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keitimai\2021-2023 SVP keitimas\2021-2023 SVP (lapkričio keitimas)\"/>
    </mc:Choice>
  </mc:AlternateContent>
  <bookViews>
    <workbookView xWindow="-120" yWindow="-120" windowWidth="24120" windowHeight="9720"/>
  </bookViews>
  <sheets>
    <sheet name="7 programa" sheetId="22" r:id="rId1"/>
    <sheet name="Lyginamasis variantas" sheetId="23" state="hidden" r:id="rId2"/>
    <sheet name="Aiškinamoji lentelė" sheetId="21" state="hidden" r:id="rId3"/>
  </sheets>
  <definedNames>
    <definedName name="_xlnm.Print_Area" localSheetId="0">'7 programa'!$A$1:$M$300</definedName>
    <definedName name="_xlnm.Print_Area" localSheetId="2">'Aiškinamoji lentelė'!$A$1:$Q$303</definedName>
    <definedName name="_xlnm.Print_Area" localSheetId="1">'Lyginamasis variantas'!$A$1:$W$297</definedName>
    <definedName name="_xlnm.Print_Titles" localSheetId="0">'7 programa'!$8:$10</definedName>
    <definedName name="_xlnm.Print_Titles" localSheetId="2">'Aiškinamoji lentelė'!$7:$9</definedName>
    <definedName name="_xlnm.Print_Titles" localSheetId="1">'Lyginamasis variantas'!$8:$10</definedName>
  </definedNames>
  <calcPr calcId="162913" fullPrecision="0"/>
</workbook>
</file>

<file path=xl/calcChain.xml><?xml version="1.0" encoding="utf-8"?>
<calcChain xmlns="http://schemas.openxmlformats.org/spreadsheetml/2006/main">
  <c r="G57" i="23" l="1"/>
  <c r="I15" i="22" l="1"/>
  <c r="N15" i="23" l="1"/>
  <c r="N101" i="23"/>
  <c r="G257" i="22" l="1"/>
  <c r="H216" i="22"/>
  <c r="H215" i="22"/>
  <c r="H213" i="22"/>
  <c r="G218" i="22"/>
  <c r="G216" i="22"/>
  <c r="G215" i="22"/>
  <c r="G214" i="22"/>
  <c r="G191" i="22"/>
  <c r="G155" i="22"/>
  <c r="H139" i="22"/>
  <c r="G139" i="22"/>
  <c r="H137" i="22"/>
  <c r="G137" i="22"/>
  <c r="H23" i="22"/>
  <c r="G23" i="22"/>
  <c r="H15" i="22"/>
  <c r="G16" i="22"/>
  <c r="G15" i="22"/>
  <c r="H256" i="23"/>
  <c r="H259" i="23"/>
  <c r="K229" i="23"/>
  <c r="L229" i="23" s="1"/>
  <c r="K228" i="23"/>
  <c r="L228" i="23" s="1"/>
  <c r="L227" i="23"/>
  <c r="K226" i="23"/>
  <c r="L226" i="23" s="1"/>
  <c r="H230" i="23"/>
  <c r="I230" i="23" s="1"/>
  <c r="H229" i="23"/>
  <c r="I229" i="23" s="1"/>
  <c r="H228" i="23"/>
  <c r="I228" i="23" s="1"/>
  <c r="H227" i="23"/>
  <c r="G227" i="23"/>
  <c r="I218" i="23"/>
  <c r="L217" i="23"/>
  <c r="H217" i="23"/>
  <c r="I217" i="23" s="1"/>
  <c r="G217" i="23"/>
  <c r="I216" i="23"/>
  <c r="K215" i="23"/>
  <c r="L215" i="23" s="1"/>
  <c r="H215" i="23"/>
  <c r="I215" i="23" s="1"/>
  <c r="K214" i="23"/>
  <c r="L214" i="23" s="1"/>
  <c r="I214" i="23"/>
  <c r="H214" i="23"/>
  <c r="H213" i="23"/>
  <c r="I213" i="23" s="1"/>
  <c r="K212" i="23"/>
  <c r="L212" i="23" s="1"/>
  <c r="H212" i="23"/>
  <c r="G212" i="23"/>
  <c r="H195" i="23"/>
  <c r="H190" i="23"/>
  <c r="H163" i="23"/>
  <c r="H154" i="23"/>
  <c r="L151" i="23"/>
  <c r="L150" i="23"/>
  <c r="H151" i="23"/>
  <c r="L144" i="23"/>
  <c r="L142" i="23"/>
  <c r="H143" i="23"/>
  <c r="H141" i="23"/>
  <c r="I141" i="23" s="1"/>
  <c r="H138" i="23"/>
  <c r="I138" i="23" s="1"/>
  <c r="N137" i="23"/>
  <c r="O137" i="23" s="1"/>
  <c r="K137" i="23"/>
  <c r="L137" i="23" s="1"/>
  <c r="G137" i="23"/>
  <c r="H137" i="23" s="1"/>
  <c r="I137" i="23" s="1"/>
  <c r="K136" i="23"/>
  <c r="L136" i="23" s="1"/>
  <c r="H136" i="23"/>
  <c r="I136" i="23" s="1"/>
  <c r="O135" i="23"/>
  <c r="L135" i="23"/>
  <c r="I135" i="23"/>
  <c r="N134" i="23"/>
  <c r="O134" i="23" s="1"/>
  <c r="M134" i="23"/>
  <c r="K134" i="23"/>
  <c r="L134" i="23" s="1"/>
  <c r="J134" i="23"/>
  <c r="H134" i="23"/>
  <c r="G134" i="23"/>
  <c r="H139" i="23"/>
  <c r="I139" i="23" s="1"/>
  <c r="K139" i="23"/>
  <c r="L139" i="23"/>
  <c r="N139" i="23"/>
  <c r="O139" i="23" s="1"/>
  <c r="H140" i="23"/>
  <c r="I140" i="23" s="1"/>
  <c r="K140" i="23"/>
  <c r="L140" i="23" s="1"/>
  <c r="N140" i="23"/>
  <c r="O140" i="23" s="1"/>
  <c r="I143" i="23"/>
  <c r="L132" i="23"/>
  <c r="H132" i="23"/>
  <c r="I132" i="23" s="1"/>
  <c r="L131" i="23"/>
  <c r="H131" i="23"/>
  <c r="I131" i="23" s="1"/>
  <c r="G131" i="23"/>
  <c r="L129" i="23"/>
  <c r="H129" i="23"/>
  <c r="I129" i="23" s="1"/>
  <c r="N127" i="23"/>
  <c r="O127" i="23" s="1"/>
  <c r="K127" i="23"/>
  <c r="L127" i="23" s="1"/>
  <c r="J127" i="23"/>
  <c r="H127" i="23"/>
  <c r="G127" i="23"/>
  <c r="I127" i="23" s="1"/>
  <c r="O101" i="23"/>
  <c r="K101" i="23"/>
  <c r="L101" i="23" s="1"/>
  <c r="I101" i="23"/>
  <c r="H76" i="23"/>
  <c r="K23" i="23"/>
  <c r="L23" i="23" s="1"/>
  <c r="H23" i="23"/>
  <c r="I23" i="23" s="1"/>
  <c r="G23" i="23"/>
  <c r="H16" i="23"/>
  <c r="I16" i="23" s="1"/>
  <c r="M15" i="23"/>
  <c r="O15" i="23" s="1"/>
  <c r="K15" i="23"/>
  <c r="J15" i="23"/>
  <c r="H15" i="23"/>
  <c r="I15" i="23" s="1"/>
  <c r="G15" i="23"/>
  <c r="N61" i="23"/>
  <c r="K61" i="23"/>
  <c r="H61" i="23"/>
  <c r="H57" i="23"/>
  <c r="H33" i="23"/>
  <c r="L15" i="23" l="1"/>
  <c r="I227" i="23"/>
  <c r="I134" i="23"/>
  <c r="I212" i="23"/>
  <c r="H64" i="23"/>
  <c r="G259" i="23" l="1"/>
  <c r="G256" i="23"/>
  <c r="G220" i="23"/>
  <c r="H220" i="23"/>
  <c r="G195" i="23"/>
  <c r="G190" i="23"/>
  <c r="G163" i="23"/>
  <c r="G154" i="23"/>
  <c r="G105" i="23"/>
  <c r="H105" i="23"/>
  <c r="G213" i="22" l="1"/>
  <c r="G67" i="23" l="1"/>
  <c r="H67" i="23"/>
  <c r="I151" i="23" l="1"/>
  <c r="H40" i="23"/>
  <c r="I40" i="23" s="1"/>
  <c r="I61" i="23"/>
  <c r="H43" i="23"/>
  <c r="I43" i="23" s="1"/>
  <c r="I259" i="23" l="1"/>
  <c r="N265" i="23"/>
  <c r="O265" i="23" s="1"/>
  <c r="N261" i="23"/>
  <c r="O261" i="23" s="1"/>
  <c r="N259" i="23"/>
  <c r="O259" i="23" s="1"/>
  <c r="K265" i="23"/>
  <c r="L265" i="23" s="1"/>
  <c r="K261" i="23"/>
  <c r="L261" i="23" s="1"/>
  <c r="K259" i="23"/>
  <c r="L259" i="23" s="1"/>
  <c r="H265" i="23"/>
  <c r="I265" i="23" s="1"/>
  <c r="H263" i="23"/>
  <c r="I263" i="23" s="1"/>
  <c r="H262" i="23"/>
  <c r="I262" i="23" s="1"/>
  <c r="H261" i="23"/>
  <c r="I261" i="23" s="1"/>
  <c r="K252" i="23"/>
  <c r="L252" i="23" s="1"/>
  <c r="K251" i="23"/>
  <c r="L251" i="23" s="1"/>
  <c r="K250" i="23"/>
  <c r="L250" i="23" s="1"/>
  <c r="K249" i="23"/>
  <c r="L249" i="23" s="1"/>
  <c r="K245" i="23"/>
  <c r="L245" i="23" s="1"/>
  <c r="H249" i="23"/>
  <c r="I249" i="23" s="1"/>
  <c r="H248" i="23"/>
  <c r="I248" i="23" s="1"/>
  <c r="H247" i="23"/>
  <c r="I247" i="23" s="1"/>
  <c r="H246" i="23"/>
  <c r="I246" i="23" s="1"/>
  <c r="H245" i="23"/>
  <c r="I245" i="23" s="1"/>
  <c r="H244" i="23"/>
  <c r="I244" i="23" s="1"/>
  <c r="N241" i="23"/>
  <c r="O241" i="23" s="1"/>
  <c r="N239" i="23"/>
  <c r="O239" i="23" s="1"/>
  <c r="N238" i="23"/>
  <c r="O238" i="23" s="1"/>
  <c r="N237" i="23"/>
  <c r="O237" i="23" s="1"/>
  <c r="N236" i="23"/>
  <c r="O236" i="23" s="1"/>
  <c r="N233" i="23"/>
  <c r="O233" i="23" s="1"/>
  <c r="K233" i="23"/>
  <c r="L233" i="23" s="1"/>
  <c r="K241" i="23"/>
  <c r="L241" i="23" s="1"/>
  <c r="K239" i="23"/>
  <c r="L239" i="23" s="1"/>
  <c r="K238" i="23"/>
  <c r="L238" i="23" s="1"/>
  <c r="K237" i="23"/>
  <c r="L237" i="23" s="1"/>
  <c r="K236" i="23"/>
  <c r="L236" i="23" s="1"/>
  <c r="H241" i="23"/>
  <c r="I241" i="23" s="1"/>
  <c r="H239" i="23"/>
  <c r="I239" i="23" s="1"/>
  <c r="H238" i="23"/>
  <c r="I238" i="23" s="1"/>
  <c r="H237" i="23"/>
  <c r="I237" i="23" s="1"/>
  <c r="H236" i="23"/>
  <c r="I236" i="23" s="1"/>
  <c r="H235" i="23"/>
  <c r="I235" i="23" s="1"/>
  <c r="H233" i="23"/>
  <c r="I233" i="23" s="1"/>
  <c r="N220" i="23"/>
  <c r="O220" i="23" s="1"/>
  <c r="K220" i="23"/>
  <c r="L220" i="23" s="1"/>
  <c r="H221" i="23"/>
  <c r="I221" i="23" s="1"/>
  <c r="I195" i="23"/>
  <c r="N207" i="23"/>
  <c r="O207" i="23" s="1"/>
  <c r="K207" i="23"/>
  <c r="L207" i="23" s="1"/>
  <c r="N195" i="23"/>
  <c r="O195" i="23" s="1"/>
  <c r="N192" i="23"/>
  <c r="O192" i="23" s="1"/>
  <c r="K192" i="23"/>
  <c r="L192" i="23" s="1"/>
  <c r="K195" i="23"/>
  <c r="L195" i="23" s="1"/>
  <c r="H192" i="23"/>
  <c r="I192" i="23" s="1"/>
  <c r="O177" i="23"/>
  <c r="K166" i="23"/>
  <c r="L166" i="23" s="1"/>
  <c r="K165" i="23"/>
  <c r="L165" i="23" s="1"/>
  <c r="H164" i="23"/>
  <c r="I164" i="23" s="1"/>
  <c r="I163" i="23"/>
  <c r="N160" i="23"/>
  <c r="O160" i="23" s="1"/>
  <c r="N159" i="23"/>
  <c r="O159" i="23" s="1"/>
  <c r="N158" i="23"/>
  <c r="O158" i="23" s="1"/>
  <c r="N156" i="23"/>
  <c r="O156" i="23" s="1"/>
  <c r="K160" i="23"/>
  <c r="L160" i="23" s="1"/>
  <c r="K159" i="23"/>
  <c r="L159" i="23" s="1"/>
  <c r="K158" i="23"/>
  <c r="L158" i="23" s="1"/>
  <c r="K156" i="23"/>
  <c r="L156" i="23" s="1"/>
  <c r="H160" i="23"/>
  <c r="I160" i="23" s="1"/>
  <c r="H159" i="23"/>
  <c r="I159" i="23" s="1"/>
  <c r="H158" i="23"/>
  <c r="I158" i="23" s="1"/>
  <c r="H157" i="23"/>
  <c r="I157" i="23" s="1"/>
  <c r="N148" i="23"/>
  <c r="O148" i="23" s="1"/>
  <c r="N146" i="23"/>
  <c r="O146" i="23" s="1"/>
  <c r="K148" i="23"/>
  <c r="L148" i="23" s="1"/>
  <c r="K146" i="23"/>
  <c r="L146" i="23" s="1"/>
  <c r="K145" i="23"/>
  <c r="L145" i="23" s="1"/>
  <c r="H150" i="23"/>
  <c r="I150" i="23" s="1"/>
  <c r="H149" i="23"/>
  <c r="I149" i="23" s="1"/>
  <c r="H148" i="23"/>
  <c r="I148" i="23" s="1"/>
  <c r="H146" i="23"/>
  <c r="I146" i="23" s="1"/>
  <c r="L125" i="23"/>
  <c r="L124" i="23"/>
  <c r="L122" i="23"/>
  <c r="I126" i="23"/>
  <c r="I125" i="23"/>
  <c r="I124" i="23"/>
  <c r="I123" i="23"/>
  <c r="I122" i="23"/>
  <c r="L118" i="23"/>
  <c r="L117" i="23"/>
  <c r="L106" i="23"/>
  <c r="L105" i="23"/>
  <c r="L103" i="23"/>
  <c r="N130" i="23"/>
  <c r="O130" i="23" s="1"/>
  <c r="N125" i="23"/>
  <c r="O125" i="23" s="1"/>
  <c r="N124" i="23"/>
  <c r="O124" i="23" s="1"/>
  <c r="N122" i="23"/>
  <c r="O122" i="23" s="1"/>
  <c r="N119" i="23"/>
  <c r="O119" i="23" s="1"/>
  <c r="N116" i="23"/>
  <c r="O116" i="23" s="1"/>
  <c r="N115" i="23"/>
  <c r="O115" i="23" s="1"/>
  <c r="N106" i="23"/>
  <c r="O106" i="23" s="1"/>
  <c r="N105" i="23"/>
  <c r="O105" i="23" s="1"/>
  <c r="N103" i="23"/>
  <c r="O103" i="23" s="1"/>
  <c r="H106" i="23"/>
  <c r="I106" i="23" s="1"/>
  <c r="H103" i="23"/>
  <c r="I103" i="23" s="1"/>
  <c r="K99" i="23"/>
  <c r="L99" i="23" s="1"/>
  <c r="H98" i="23"/>
  <c r="I98" i="23" s="1"/>
  <c r="N92" i="23"/>
  <c r="O92" i="23" s="1"/>
  <c r="K97" i="23"/>
  <c r="L97" i="23" s="1"/>
  <c r="K95" i="23"/>
  <c r="L95" i="23" s="1"/>
  <c r="K94" i="23"/>
  <c r="L94" i="23" s="1"/>
  <c r="K92" i="23"/>
  <c r="L92" i="23" s="1"/>
  <c r="H96" i="23"/>
  <c r="I96" i="23" s="1"/>
  <c r="N90" i="23"/>
  <c r="O90" i="23" s="1"/>
  <c r="N76" i="23"/>
  <c r="O76" i="23" s="1"/>
  <c r="N73" i="23"/>
  <c r="O73" i="23" s="1"/>
  <c r="N71" i="23"/>
  <c r="O71" i="23" s="1"/>
  <c r="K76" i="23"/>
  <c r="L76" i="23" s="1"/>
  <c r="K75" i="23"/>
  <c r="L75" i="23" s="1"/>
  <c r="K73" i="23"/>
  <c r="L73" i="23" s="1"/>
  <c r="K71" i="23"/>
  <c r="L71" i="23" s="1"/>
  <c r="H87" i="23"/>
  <c r="I87" i="23" s="1"/>
  <c r="H77" i="23"/>
  <c r="I77" i="23" s="1"/>
  <c r="I76" i="23"/>
  <c r="H73" i="23"/>
  <c r="I73" i="23" s="1"/>
  <c r="H71" i="23"/>
  <c r="I71" i="23" s="1"/>
  <c r="N67" i="23"/>
  <c r="O67" i="23" s="1"/>
  <c r="O61" i="23"/>
  <c r="N55" i="23"/>
  <c r="O55" i="23" s="1"/>
  <c r="L61" i="23"/>
  <c r="K55" i="23"/>
  <c r="L55" i="23" s="1"/>
  <c r="H58" i="23"/>
  <c r="I58" i="23" s="1"/>
  <c r="I57" i="23"/>
  <c r="H56" i="23"/>
  <c r="I56" i="23" s="1"/>
  <c r="H53" i="23"/>
  <c r="I53" i="23" s="1"/>
  <c r="H51" i="23"/>
  <c r="I51" i="23" s="1"/>
  <c r="N47" i="23"/>
  <c r="O47" i="23" s="1"/>
  <c r="H44" i="23"/>
  <c r="I44" i="23" s="1"/>
  <c r="N29" i="23"/>
  <c r="O29" i="23" s="1"/>
  <c r="K29" i="23"/>
  <c r="L29" i="23" s="1"/>
  <c r="H38" i="23"/>
  <c r="I38" i="23" s="1"/>
  <c r="H36" i="23"/>
  <c r="I36" i="23" s="1"/>
  <c r="H35" i="23"/>
  <c r="I35" i="23" s="1"/>
  <c r="I33" i="23"/>
  <c r="G222" i="23"/>
  <c r="H222" i="23"/>
  <c r="M154" i="23"/>
  <c r="J154" i="23"/>
  <c r="G52" i="23"/>
  <c r="G49" i="23"/>
  <c r="G42" i="23"/>
  <c r="G41" i="23"/>
  <c r="G39" i="23"/>
  <c r="G20" i="23"/>
  <c r="G19" i="23"/>
  <c r="G17" i="23"/>
  <c r="H100" i="23" l="1"/>
  <c r="H243" i="22" l="1"/>
  <c r="I243" i="22"/>
  <c r="I155" i="22"/>
  <c r="H155" i="22"/>
  <c r="I137" i="22"/>
  <c r="J242" i="23"/>
  <c r="K242" i="23"/>
  <c r="M242" i="23"/>
  <c r="N242" i="23"/>
  <c r="G242" i="23"/>
  <c r="N154" i="23"/>
  <c r="K154" i="23"/>
  <c r="H153" i="23"/>
  <c r="I223" i="23"/>
  <c r="O161" i="23"/>
  <c r="L161" i="23"/>
  <c r="I161" i="23"/>
  <c r="O152" i="23"/>
  <c r="L152" i="23"/>
  <c r="I152" i="23"/>
  <c r="O93" i="23"/>
  <c r="L93" i="23"/>
  <c r="I93" i="23"/>
  <c r="G243" i="22" l="1"/>
  <c r="G20" i="22"/>
  <c r="G19" i="22"/>
  <c r="G17" i="22"/>
  <c r="I254" i="22"/>
  <c r="H254" i="22"/>
  <c r="G254" i="22"/>
  <c r="G267" i="23"/>
  <c r="H253" i="23"/>
  <c r="J253" i="23"/>
  <c r="K253" i="23"/>
  <c r="M253" i="23"/>
  <c r="N253" i="23"/>
  <c r="O253" i="23"/>
  <c r="G253" i="23"/>
  <c r="J209" i="23"/>
  <c r="G209" i="23"/>
  <c r="G187" i="23"/>
  <c r="J153" i="23"/>
  <c r="M153" i="23"/>
  <c r="G153" i="23"/>
  <c r="G133" i="23"/>
  <c r="H277" i="23"/>
  <c r="H17" i="23"/>
  <c r="I17" i="23" s="1"/>
  <c r="H20" i="23"/>
  <c r="I20" i="23" s="1"/>
  <c r="H19" i="23"/>
  <c r="I19" i="23" s="1"/>
  <c r="O258" i="23"/>
  <c r="O256" i="23"/>
  <c r="L258" i="23"/>
  <c r="L256" i="23"/>
  <c r="I258" i="23"/>
  <c r="I257" i="23"/>
  <c r="I256" i="23"/>
  <c r="L243" i="23"/>
  <c r="L253" i="23" s="1"/>
  <c r="I243" i="23"/>
  <c r="I253" i="23" s="1"/>
  <c r="O212" i="23"/>
  <c r="O242" i="23" s="1"/>
  <c r="I219" i="23"/>
  <c r="O190" i="23"/>
  <c r="L190" i="23"/>
  <c r="I191" i="23"/>
  <c r="I190" i="23"/>
  <c r="O154" i="23"/>
  <c r="L154" i="23"/>
  <c r="I155" i="23"/>
  <c r="I154" i="23"/>
  <c r="O21" i="23"/>
  <c r="O18" i="23"/>
  <c r="O17" i="23"/>
  <c r="L18" i="23"/>
  <c r="L19" i="23"/>
  <c r="L20" i="23"/>
  <c r="L17" i="23"/>
  <c r="I18" i="23"/>
  <c r="I21" i="23"/>
  <c r="I22" i="23"/>
  <c r="I24" i="23"/>
  <c r="I25" i="23"/>
  <c r="I26" i="23"/>
  <c r="I100" i="23"/>
  <c r="H52" i="23"/>
  <c r="I52" i="23" s="1"/>
  <c r="H49" i="23"/>
  <c r="I49" i="23" s="1"/>
  <c r="H42" i="23"/>
  <c r="H41" i="23"/>
  <c r="H39" i="23"/>
  <c r="L242" i="23" l="1"/>
  <c r="I242" i="23"/>
  <c r="H242" i="23"/>
  <c r="H284" i="23"/>
  <c r="O289" i="23" l="1"/>
  <c r="N279" i="23"/>
  <c r="L289" i="23"/>
  <c r="L283" i="23"/>
  <c r="L282" i="23"/>
  <c r="K279" i="23"/>
  <c r="K278" i="23"/>
  <c r="O295" i="23"/>
  <c r="O294" i="23"/>
  <c r="O293" i="23"/>
  <c r="O292" i="23"/>
  <c r="O290" i="23"/>
  <c r="O288" i="23"/>
  <c r="O287" i="23"/>
  <c r="O286" i="23"/>
  <c r="O285" i="23"/>
  <c r="O284" i="23"/>
  <c r="O283" i="23"/>
  <c r="N286" i="23"/>
  <c r="N285" i="23"/>
  <c r="J285" i="23"/>
  <c r="M285" i="23"/>
  <c r="O282" i="23"/>
  <c r="O281" i="23"/>
  <c r="O280" i="23"/>
  <c r="O279" i="23"/>
  <c r="O278" i="23"/>
  <c r="O277" i="23"/>
  <c r="O276" i="23"/>
  <c r="N295" i="23"/>
  <c r="N294" i="23"/>
  <c r="N293" i="23"/>
  <c r="N292" i="23"/>
  <c r="N290" i="23"/>
  <c r="N289" i="23"/>
  <c r="N288" i="23"/>
  <c r="N287" i="23"/>
  <c r="N284" i="23"/>
  <c r="N283" i="23"/>
  <c r="N282" i="23"/>
  <c r="N281" i="23"/>
  <c r="N280" i="23"/>
  <c r="N278" i="23"/>
  <c r="N277" i="23"/>
  <c r="N276" i="23"/>
  <c r="L295" i="23"/>
  <c r="L294" i="23"/>
  <c r="L293" i="23"/>
  <c r="L292" i="23"/>
  <c r="L290" i="23"/>
  <c r="L288" i="23"/>
  <c r="L287" i="23"/>
  <c r="L286" i="23"/>
  <c r="L285" i="23"/>
  <c r="L284" i="23"/>
  <c r="L281" i="23"/>
  <c r="L279" i="23"/>
  <c r="L280" i="23"/>
  <c r="L278" i="23"/>
  <c r="L277" i="23"/>
  <c r="L276" i="23"/>
  <c r="K295" i="23"/>
  <c r="K294" i="23"/>
  <c r="K293" i="23"/>
  <c r="K292" i="23"/>
  <c r="K290" i="23"/>
  <c r="K289" i="23"/>
  <c r="K288" i="23"/>
  <c r="K287" i="23"/>
  <c r="K286" i="23"/>
  <c r="K285" i="23"/>
  <c r="K284" i="23"/>
  <c r="K283" i="23"/>
  <c r="K282" i="23"/>
  <c r="K281" i="23"/>
  <c r="K280" i="23"/>
  <c r="K277" i="23"/>
  <c r="K276" i="23"/>
  <c r="I295" i="23"/>
  <c r="I294" i="23"/>
  <c r="I293" i="23"/>
  <c r="I292" i="23"/>
  <c r="I290" i="23"/>
  <c r="I289" i="23"/>
  <c r="I288" i="23"/>
  <c r="I287" i="23"/>
  <c r="I286" i="23"/>
  <c r="I285" i="23"/>
  <c r="I284" i="23"/>
  <c r="I283" i="23"/>
  <c r="I282" i="23"/>
  <c r="I281" i="23"/>
  <c r="I280" i="23"/>
  <c r="I279" i="23"/>
  <c r="I278" i="23"/>
  <c r="I277" i="23"/>
  <c r="I276" i="23"/>
  <c r="H295" i="23"/>
  <c r="H294" i="23"/>
  <c r="H293" i="23"/>
  <c r="H292" i="23"/>
  <c r="H290" i="23"/>
  <c r="H289" i="23"/>
  <c r="H288" i="23"/>
  <c r="H287" i="23"/>
  <c r="H286" i="23"/>
  <c r="H285" i="23"/>
  <c r="G285" i="23"/>
  <c r="G284" i="23"/>
  <c r="H283" i="23"/>
  <c r="H282" i="23"/>
  <c r="H281" i="23"/>
  <c r="H280" i="23"/>
  <c r="H279" i="23"/>
  <c r="H278" i="23"/>
  <c r="H276" i="23"/>
  <c r="N267" i="23"/>
  <c r="N209" i="23"/>
  <c r="N210" i="23" s="1"/>
  <c r="N187" i="23"/>
  <c r="N153" i="23"/>
  <c r="N133" i="23"/>
  <c r="O267" i="23"/>
  <c r="O209" i="23"/>
  <c r="O210" i="23" s="1"/>
  <c r="O187" i="23"/>
  <c r="O153" i="23"/>
  <c r="O133" i="23"/>
  <c r="L267" i="23"/>
  <c r="L254" i="23"/>
  <c r="L209" i="23"/>
  <c r="L210" i="23" s="1"/>
  <c r="L187" i="23"/>
  <c r="L153" i="23"/>
  <c r="L133" i="23"/>
  <c r="K267" i="23"/>
  <c r="K209" i="23"/>
  <c r="K210" i="23" s="1"/>
  <c r="K187" i="23"/>
  <c r="K153" i="23"/>
  <c r="K133" i="23"/>
  <c r="H267" i="23"/>
  <c r="H209" i="23"/>
  <c r="H210" i="23" s="1"/>
  <c r="H187" i="23"/>
  <c r="H133" i="23"/>
  <c r="I267" i="23"/>
  <c r="I209" i="23"/>
  <c r="I210" i="23" s="1"/>
  <c r="I187" i="23"/>
  <c r="I153" i="23"/>
  <c r="I133" i="23"/>
  <c r="J32" i="23"/>
  <c r="K32" i="23" s="1"/>
  <c r="L32" i="23" s="1"/>
  <c r="J34" i="23"/>
  <c r="K34" i="23" s="1"/>
  <c r="L34" i="23" s="1"/>
  <c r="J37" i="23"/>
  <c r="K37" i="23" s="1"/>
  <c r="L37" i="23" s="1"/>
  <c r="J64" i="23"/>
  <c r="K64" i="23" s="1"/>
  <c r="L64" i="23" s="1"/>
  <c r="J67" i="23"/>
  <c r="K67" i="23" s="1"/>
  <c r="L67" i="23" s="1"/>
  <c r="J91" i="23"/>
  <c r="K91" i="23" s="1"/>
  <c r="L91" i="23" s="1"/>
  <c r="J133" i="23"/>
  <c r="J187" i="23"/>
  <c r="J210" i="23"/>
  <c r="J254" i="23"/>
  <c r="J267" i="23"/>
  <c r="J276" i="23"/>
  <c r="J277" i="23"/>
  <c r="J278" i="23"/>
  <c r="J279" i="23"/>
  <c r="J280" i="23"/>
  <c r="J281" i="23"/>
  <c r="J282" i="23"/>
  <c r="J283" i="23"/>
  <c r="J284" i="23"/>
  <c r="J286" i="23"/>
  <c r="J287" i="23"/>
  <c r="J288" i="23"/>
  <c r="J289" i="23"/>
  <c r="J290" i="23"/>
  <c r="J292" i="23"/>
  <c r="J293" i="23"/>
  <c r="J294" i="23"/>
  <c r="J295" i="23"/>
  <c r="H254" i="23" l="1"/>
  <c r="N188" i="23"/>
  <c r="I254" i="23"/>
  <c r="L188" i="23"/>
  <c r="L268" i="23" s="1"/>
  <c r="L269" i="23" s="1"/>
  <c r="K254" i="23"/>
  <c r="O188" i="23"/>
  <c r="N254" i="23"/>
  <c r="O254" i="23"/>
  <c r="K188" i="23"/>
  <c r="I188" i="23"/>
  <c r="J275" i="23"/>
  <c r="J274" i="23" s="1"/>
  <c r="J291" i="23"/>
  <c r="J188" i="23"/>
  <c r="J268" i="23" s="1"/>
  <c r="J269" i="23" s="1"/>
  <c r="H188" i="23"/>
  <c r="M295" i="23"/>
  <c r="G295" i="23"/>
  <c r="M294" i="23"/>
  <c r="G294" i="23"/>
  <c r="M293" i="23"/>
  <c r="G293" i="23"/>
  <c r="M292" i="23"/>
  <c r="G292" i="23"/>
  <c r="M290" i="23"/>
  <c r="G290" i="23"/>
  <c r="M289" i="23"/>
  <c r="G289" i="23"/>
  <c r="M288" i="23"/>
  <c r="G288" i="23"/>
  <c r="M287" i="23"/>
  <c r="G287" i="23"/>
  <c r="M286" i="23"/>
  <c r="G286" i="23"/>
  <c r="M284" i="23"/>
  <c r="M283" i="23"/>
  <c r="G283" i="23"/>
  <c r="M282" i="23"/>
  <c r="G282" i="23"/>
  <c r="M281" i="23"/>
  <c r="G281" i="23"/>
  <c r="M280" i="23"/>
  <c r="G280" i="23"/>
  <c r="M279" i="23"/>
  <c r="G279" i="23"/>
  <c r="M278" i="23"/>
  <c r="G278" i="23"/>
  <c r="M277" i="23"/>
  <c r="G277" i="23"/>
  <c r="M276" i="23"/>
  <c r="G276" i="23"/>
  <c r="M267" i="23"/>
  <c r="G254" i="23"/>
  <c r="G226" i="23"/>
  <c r="H226" i="23" s="1"/>
  <c r="I226" i="23" s="1"/>
  <c r="I222" i="23"/>
  <c r="M209" i="23"/>
  <c r="M210" i="23" s="1"/>
  <c r="G210" i="23"/>
  <c r="G197" i="23"/>
  <c r="H197" i="23" s="1"/>
  <c r="I197" i="23" s="1"/>
  <c r="M187" i="23"/>
  <c r="G188" i="23"/>
  <c r="G156" i="23"/>
  <c r="H156" i="23" s="1"/>
  <c r="I156" i="23" s="1"/>
  <c r="M133" i="23"/>
  <c r="M91" i="23"/>
  <c r="N91" i="23" s="1"/>
  <c r="O91" i="23" s="1"/>
  <c r="G91" i="23"/>
  <c r="H91" i="23" s="1"/>
  <c r="I91" i="23" s="1"/>
  <c r="G90" i="23"/>
  <c r="H90" i="23" s="1"/>
  <c r="I90" i="23" s="1"/>
  <c r="I67" i="23"/>
  <c r="G64" i="23"/>
  <c r="I64" i="23" s="1"/>
  <c r="G50" i="23"/>
  <c r="H50" i="23" s="1"/>
  <c r="I50" i="23" s="1"/>
  <c r="G48" i="23"/>
  <c r="H48" i="23" s="1"/>
  <c r="I48" i="23" s="1"/>
  <c r="I42" i="23"/>
  <c r="I41" i="23"/>
  <c r="I39" i="23"/>
  <c r="G37" i="23"/>
  <c r="H37" i="23" s="1"/>
  <c r="I37" i="23" s="1"/>
  <c r="G34" i="23"/>
  <c r="H34" i="23" s="1"/>
  <c r="I34" i="23" s="1"/>
  <c r="G32" i="23"/>
  <c r="G28" i="23"/>
  <c r="H28" i="23" s="1"/>
  <c r="I28" i="23" s="1"/>
  <c r="M27" i="23"/>
  <c r="H32" i="23" l="1"/>
  <c r="I32" i="23" s="1"/>
  <c r="N268" i="23"/>
  <c r="N269" i="23" s="1"/>
  <c r="I220" i="23"/>
  <c r="I105" i="23"/>
  <c r="K268" i="23"/>
  <c r="K269" i="23" s="1"/>
  <c r="O268" i="23"/>
  <c r="O269" i="23" s="1"/>
  <c r="I268" i="23"/>
  <c r="I269" i="23" s="1"/>
  <c r="J296" i="23"/>
  <c r="M291" i="23"/>
  <c r="H268" i="23"/>
  <c r="M254" i="23"/>
  <c r="G291" i="23"/>
  <c r="M188" i="23"/>
  <c r="G275" i="23"/>
  <c r="G274" i="23" s="1"/>
  <c r="G268" i="23"/>
  <c r="G269" i="23" s="1"/>
  <c r="M275" i="23"/>
  <c r="M274" i="23" s="1"/>
  <c r="H136" i="22"/>
  <c r="I136" i="22"/>
  <c r="G136" i="22"/>
  <c r="H268" i="22"/>
  <c r="I268" i="22"/>
  <c r="G268" i="22"/>
  <c r="I210" i="22"/>
  <c r="H210" i="22"/>
  <c r="G210" i="22"/>
  <c r="I188" i="22"/>
  <c r="H188" i="22"/>
  <c r="G188" i="22"/>
  <c r="I154" i="22"/>
  <c r="H154" i="22"/>
  <c r="G154" i="22"/>
  <c r="M268" i="23" l="1"/>
  <c r="M269" i="23" s="1"/>
  <c r="M296" i="23"/>
  <c r="K291" i="23"/>
  <c r="N291" i="23"/>
  <c r="H269" i="23"/>
  <c r="G296" i="23"/>
  <c r="I296" i="22"/>
  <c r="I295" i="22"/>
  <c r="I294" i="22"/>
  <c r="I293" i="22"/>
  <c r="H296" i="22"/>
  <c r="H295" i="22"/>
  <c r="H294" i="22"/>
  <c r="H293" i="22"/>
  <c r="G296" i="22"/>
  <c r="G295" i="22"/>
  <c r="G294" i="22"/>
  <c r="G293" i="22"/>
  <c r="I291" i="22"/>
  <c r="I290" i="22"/>
  <c r="I289" i="22"/>
  <c r="I288" i="22"/>
  <c r="I287" i="22"/>
  <c r="I286" i="22"/>
  <c r="H291" i="22"/>
  <c r="H290" i="22"/>
  <c r="H289" i="22"/>
  <c r="H288" i="22"/>
  <c r="H287" i="22"/>
  <c r="H286" i="22"/>
  <c r="G291" i="22"/>
  <c r="G290" i="22"/>
  <c r="G289" i="22"/>
  <c r="G288" i="22"/>
  <c r="G287" i="22"/>
  <c r="G286" i="22"/>
  <c r="I282" i="22"/>
  <c r="G283" i="22"/>
  <c r="I277" i="22"/>
  <c r="H283" i="22"/>
  <c r="H285" i="22"/>
  <c r="I285" i="22"/>
  <c r="I284" i="22"/>
  <c r="H284" i="22"/>
  <c r="G285" i="22"/>
  <c r="G284" i="22"/>
  <c r="I283" i="22"/>
  <c r="H282" i="22"/>
  <c r="G282" i="22"/>
  <c r="I281" i="22"/>
  <c r="H281" i="22"/>
  <c r="G281" i="22"/>
  <c r="I280" i="22"/>
  <c r="H280" i="22"/>
  <c r="G280" i="22"/>
  <c r="I279" i="22"/>
  <c r="H279" i="22"/>
  <c r="G279" i="22"/>
  <c r="I278" i="22"/>
  <c r="H278" i="22"/>
  <c r="G278" i="22"/>
  <c r="H277" i="22"/>
  <c r="G277" i="22"/>
  <c r="O275" i="23" l="1"/>
  <c r="O274" i="23" s="1"/>
  <c r="O291" i="23"/>
  <c r="K275" i="23"/>
  <c r="K274" i="23" s="1"/>
  <c r="K296" i="23" s="1"/>
  <c r="I275" i="23"/>
  <c r="I274" i="23" s="1"/>
  <c r="H275" i="23"/>
  <c r="N275" i="23"/>
  <c r="N274" i="23" s="1"/>
  <c r="N296" i="23" s="1"/>
  <c r="H291" i="23"/>
  <c r="I291" i="23"/>
  <c r="G227" i="22"/>
  <c r="G223" i="22"/>
  <c r="G221" i="22"/>
  <c r="I211" i="22"/>
  <c r="H211" i="22"/>
  <c r="G198" i="22"/>
  <c r="G157" i="22"/>
  <c r="G140" i="22"/>
  <c r="H130" i="22"/>
  <c r="G130" i="22"/>
  <c r="G108" i="22"/>
  <c r="I93" i="22"/>
  <c r="H93" i="22"/>
  <c r="G93" i="22"/>
  <c r="G92" i="22"/>
  <c r="H69" i="22"/>
  <c r="G69" i="22"/>
  <c r="H66" i="22"/>
  <c r="G66" i="22"/>
  <c r="G55" i="22"/>
  <c r="G52" i="22"/>
  <c r="G50" i="22"/>
  <c r="G44" i="22"/>
  <c r="G42" i="22"/>
  <c r="G40" i="22"/>
  <c r="H37" i="22"/>
  <c r="G37" i="22"/>
  <c r="H34" i="22"/>
  <c r="G34" i="22"/>
  <c r="H32" i="22"/>
  <c r="G32" i="22"/>
  <c r="G28" i="22"/>
  <c r="I27" i="22"/>
  <c r="H274" i="23" l="1"/>
  <c r="O296" i="23"/>
  <c r="I296" i="23"/>
  <c r="L291" i="23"/>
  <c r="L275" i="23"/>
  <c r="L274" i="23" s="1"/>
  <c r="G211" i="22"/>
  <c r="I189" i="22"/>
  <c r="H292" i="22"/>
  <c r="I292" i="22"/>
  <c r="I276" i="22"/>
  <c r="I275" i="22" s="1"/>
  <c r="H255" i="22"/>
  <c r="H276" i="22"/>
  <c r="H275" i="22" s="1"/>
  <c r="G276" i="22"/>
  <c r="G275" i="22" s="1"/>
  <c r="I255" i="22"/>
  <c r="G292" i="22"/>
  <c r="G255" i="22"/>
  <c r="G189" i="22"/>
  <c r="H189" i="22"/>
  <c r="L288" i="21"/>
  <c r="K288" i="21"/>
  <c r="J288" i="21"/>
  <c r="I288" i="21"/>
  <c r="H296" i="23" l="1"/>
  <c r="L296" i="23"/>
  <c r="H297" i="22"/>
  <c r="H269" i="22"/>
  <c r="H270" i="22" s="1"/>
  <c r="I297" i="22"/>
  <c r="I269" i="22"/>
  <c r="I270" i="22" s="1"/>
  <c r="G297" i="22"/>
  <c r="G269" i="22"/>
  <c r="G270" i="22" s="1"/>
  <c r="J22" i="21"/>
  <c r="L285" i="21" l="1"/>
  <c r="K285" i="21"/>
  <c r="J285" i="21"/>
  <c r="I285" i="21"/>
  <c r="J274" i="21" l="1"/>
  <c r="K274" i="21"/>
  <c r="L274" i="21"/>
  <c r="J258" i="21"/>
  <c r="J286" i="21" l="1"/>
  <c r="J226" i="21" l="1"/>
  <c r="J224" i="21"/>
  <c r="J230" i="21" l="1"/>
  <c r="J247" i="21" s="1"/>
  <c r="J40" i="21"/>
  <c r="J160" i="21" l="1"/>
  <c r="J141" i="21" l="1"/>
  <c r="I294" i="21" l="1"/>
  <c r="I295" i="21"/>
  <c r="L295" i="21" l="1"/>
  <c r="K295" i="21"/>
  <c r="J295" i="21"/>
  <c r="L294" i="21"/>
  <c r="K294" i="21"/>
  <c r="J294" i="21"/>
  <c r="J293" i="21"/>
  <c r="I293" i="21"/>
  <c r="J45" i="21"/>
  <c r="J42" i="21"/>
  <c r="J34" i="21"/>
  <c r="J32" i="21"/>
  <c r="J30" i="21"/>
  <c r="K27" i="21"/>
  <c r="J27" i="21"/>
  <c r="K24" i="21"/>
  <c r="J24" i="21"/>
  <c r="K22" i="21"/>
  <c r="J209" i="21" l="1"/>
  <c r="L93" i="21" l="1"/>
  <c r="K93" i="21"/>
  <c r="J93" i="21"/>
  <c r="L17" i="21" l="1"/>
  <c r="J284" i="21" l="1"/>
  <c r="J289" i="21"/>
  <c r="J290" i="21"/>
  <c r="J297" i="21"/>
  <c r="J302" i="21"/>
  <c r="J301" i="21"/>
  <c r="J300" i="21"/>
  <c r="J299" i="21"/>
  <c r="J291" i="21" l="1"/>
  <c r="J18" i="21" l="1"/>
  <c r="J292" i="21" l="1"/>
  <c r="K133" i="21"/>
  <c r="J133" i="21"/>
  <c r="J111" i="21"/>
  <c r="J91" i="21"/>
  <c r="K59" i="21"/>
  <c r="J59" i="21"/>
  <c r="K56" i="21"/>
  <c r="J56" i="21"/>
  <c r="K139" i="21" l="1"/>
  <c r="J139" i="21"/>
  <c r="J283" i="21"/>
  <c r="L258" i="21"/>
  <c r="K258" i="21"/>
  <c r="I75" i="21" l="1"/>
  <c r="I69" i="21"/>
  <c r="L200" i="21" l="1"/>
  <c r="L139" i="21"/>
  <c r="L302" i="21" l="1"/>
  <c r="L301" i="21"/>
  <c r="L300" i="21"/>
  <c r="L299" i="21"/>
  <c r="L297" i="21"/>
  <c r="L296" i="21"/>
  <c r="L293" i="21"/>
  <c r="L292" i="21"/>
  <c r="L291" i="21"/>
  <c r="L290" i="21"/>
  <c r="L289" i="21"/>
  <c r="L287" i="21"/>
  <c r="L286" i="21"/>
  <c r="L284" i="21"/>
  <c r="L283" i="21"/>
  <c r="K302" i="21"/>
  <c r="K301" i="21"/>
  <c r="K300" i="21"/>
  <c r="K299" i="21"/>
  <c r="K297" i="21"/>
  <c r="K296" i="21"/>
  <c r="K293" i="21"/>
  <c r="K292" i="21"/>
  <c r="K291" i="21"/>
  <c r="K290" i="21"/>
  <c r="K289" i="21"/>
  <c r="K287" i="21"/>
  <c r="K286" i="21"/>
  <c r="K284" i="21"/>
  <c r="K283" i="21"/>
  <c r="J296" i="21"/>
  <c r="J287" i="21"/>
  <c r="J282" i="21" s="1"/>
  <c r="I302" i="21"/>
  <c r="I301" i="21"/>
  <c r="I300" i="21"/>
  <c r="I299" i="21"/>
  <c r="I297" i="21"/>
  <c r="I296" i="21"/>
  <c r="I290" i="21"/>
  <c r="I287" i="21"/>
  <c r="I286" i="21"/>
  <c r="I284" i="21"/>
  <c r="I220" i="21"/>
  <c r="J281" i="21" l="1"/>
  <c r="K282" i="21"/>
  <c r="K281" i="21" s="1"/>
  <c r="I298" i="21"/>
  <c r="L298" i="21"/>
  <c r="L282" i="21" l="1"/>
  <c r="K298" i="21"/>
  <c r="J298" i="21"/>
  <c r="J303" i="21" s="1"/>
  <c r="I258" i="21"/>
  <c r="L281" i="21" l="1"/>
  <c r="L303" i="21" s="1"/>
  <c r="K303" i="21"/>
  <c r="J200" i="21"/>
  <c r="K200" i="21"/>
  <c r="J220" i="21"/>
  <c r="K220" i="21"/>
  <c r="L220" i="21"/>
  <c r="J259" i="21" l="1"/>
  <c r="K247" i="21"/>
  <c r="K259" i="21" s="1"/>
  <c r="L247" i="21"/>
  <c r="L259" i="21" s="1"/>
  <c r="J221" i="21"/>
  <c r="K221" i="21"/>
  <c r="L221" i="21"/>
  <c r="L157" i="21"/>
  <c r="L201" i="21" s="1"/>
  <c r="J157" i="21"/>
  <c r="J201" i="21" s="1"/>
  <c r="J275" i="21" s="1"/>
  <c r="J276" i="21" s="1"/>
  <c r="K157" i="21"/>
  <c r="I266" i="21"/>
  <c r="I274" i="21" s="1"/>
  <c r="I241" i="21"/>
  <c r="I240" i="21"/>
  <c r="I221" i="21"/>
  <c r="I162" i="21"/>
  <c r="I200" i="21" s="1"/>
  <c r="I143" i="21"/>
  <c r="I141" i="21"/>
  <c r="I132" i="21"/>
  <c r="I111" i="21"/>
  <c r="I93" i="21"/>
  <c r="I36" i="21"/>
  <c r="I292" i="21" s="1"/>
  <c r="I34" i="21"/>
  <c r="I30" i="21"/>
  <c r="I27" i="21"/>
  <c r="I291" i="21" s="1"/>
  <c r="I24" i="21"/>
  <c r="K201" i="21" l="1"/>
  <c r="K275" i="21" s="1"/>
  <c r="K276" i="21" s="1"/>
  <c r="I289" i="21"/>
  <c r="I139" i="21"/>
  <c r="I283" i="21"/>
  <c r="I157" i="21"/>
  <c r="L275" i="21"/>
  <c r="L276" i="21" s="1"/>
  <c r="I247" i="21"/>
  <c r="I259" i="21" s="1"/>
  <c r="I282" i="21" l="1"/>
  <c r="I281" i="21" s="1"/>
  <c r="I303" i="21" s="1"/>
  <c r="I201" i="21"/>
  <c r="I275" i="21" s="1"/>
  <c r="I276" i="21" s="1"/>
</calcChain>
</file>

<file path=xl/comments1.xml><?xml version="1.0" encoding="utf-8"?>
<comments xmlns="http://schemas.openxmlformats.org/spreadsheetml/2006/main">
  <authors>
    <author>Audra Cepiene</author>
    <author>Indrė Butenienė</author>
    <author>Inga Mikalauskienė</author>
    <author>Gintare Kareiviene</author>
  </authors>
  <commentList>
    <comment ref="E27"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E28"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E29" authorId="1"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E32" authorId="0" shapeId="0">
      <text>
        <r>
          <rPr>
            <b/>
            <sz val="9"/>
            <color indexed="81"/>
            <rFont val="Tahoma"/>
            <family val="2"/>
            <charset val="186"/>
          </rPr>
          <t xml:space="preserve">KSP P 2.4.1.2. </t>
        </r>
        <r>
          <rPr>
            <sz val="9"/>
            <color indexed="81"/>
            <rFont val="Tahoma"/>
            <family val="2"/>
            <charset val="186"/>
          </rPr>
          <t xml:space="preserve">Sutvarkyti ir pritaikyti visuomenės arba rekreaciniams poreikiams Danės upės slėnio ir žiočių teritorijas; Danės upę pritaikyti laivybai, rekonstruoti Danės upės krantines nuo Biržos tilto iki Mokyklos gatvės tilto:
</t>
        </r>
      </text>
    </comment>
    <comment ref="E33"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E34" authorId="0" shapeId="0">
      <text>
        <r>
          <rPr>
            <b/>
            <sz val="9"/>
            <color indexed="81"/>
            <rFont val="Tahoma"/>
            <family val="2"/>
            <charset val="186"/>
          </rPr>
          <t>KEPS 2030 metų (P6)</t>
        </r>
        <r>
          <rPr>
            <sz val="9"/>
            <color indexed="81"/>
            <rFont val="Tahoma"/>
            <family val="2"/>
            <charset val="186"/>
          </rPr>
          <t xml:space="preserve">
P6 3.1.13. Vystyti viešųjų erdvių gerinimo programas ir lokalius urbanistinės struktūros atgaivinimo projektus  </t>
        </r>
      </text>
    </comment>
    <comment ref="E39"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E40" authorId="0" shapeId="0">
      <text>
        <r>
          <rPr>
            <b/>
            <sz val="9"/>
            <color indexed="81"/>
            <rFont val="Tahoma"/>
            <family val="2"/>
            <charset val="186"/>
          </rPr>
          <t xml:space="preserve">KEPS2030 3.1.5. </t>
        </r>
        <r>
          <rPr>
            <sz val="9"/>
            <color indexed="81"/>
            <rFont val="Tahoma"/>
            <family val="2"/>
            <charset val="186"/>
          </rPr>
          <t xml:space="preserve">"Intensyvinti linijinį centrą Taikos pr. ašyje" 
</t>
        </r>
      </text>
    </comment>
    <comment ref="E46" authorId="0" shapeId="0">
      <text>
        <r>
          <rPr>
            <b/>
            <sz val="9"/>
            <color indexed="81"/>
            <rFont val="Tahoma"/>
            <family val="2"/>
            <charset val="186"/>
          </rPr>
          <t>KSP</t>
        </r>
        <r>
          <rPr>
            <sz val="9"/>
            <color indexed="81"/>
            <rFont val="Tahoma"/>
            <family val="2"/>
            <charset val="186"/>
          </rPr>
          <t>,</t>
        </r>
        <r>
          <rPr>
            <b/>
            <sz val="9"/>
            <color indexed="81"/>
            <rFont val="Tahoma"/>
            <family val="2"/>
            <charset val="186"/>
          </rPr>
          <t xml:space="preserve"> P 2.4.2.5. </t>
        </r>
        <r>
          <rPr>
            <sz val="9"/>
            <color indexed="81"/>
            <rFont val="Tahoma"/>
            <family val="2"/>
            <charset val="186"/>
          </rPr>
          <t xml:space="preserve"> priemonė: Atnaujinti gyvenamųjų kvartalų centrines aikštes ir kitas viešąsias erdves, 3.1.1.1. priemonė "Išvystyti senąją turgavietę", Klaipėdos miesto ekonominės plėtros strategija ir įgyvendinimo veiksmų planas iki 2030 metų 
</t>
        </r>
        <r>
          <rPr>
            <b/>
            <sz val="9"/>
            <color indexed="81"/>
            <rFont val="Tahoma"/>
            <family val="2"/>
            <charset val="186"/>
          </rPr>
          <t>P1,</t>
        </r>
        <r>
          <rPr>
            <sz val="9"/>
            <color indexed="81"/>
            <rFont val="Tahoma"/>
            <family val="2"/>
            <charset val="186"/>
          </rPr>
          <t xml:space="preserve"> </t>
        </r>
        <r>
          <rPr>
            <b/>
            <sz val="9"/>
            <color indexed="81"/>
            <rFont val="Tahoma"/>
            <family val="2"/>
            <charset val="186"/>
          </rPr>
          <t>4.1.5.</t>
        </r>
        <r>
          <rPr>
            <sz val="9"/>
            <color indexed="81"/>
            <rFont val="Tahoma"/>
            <family val="2"/>
            <charset val="186"/>
          </rPr>
          <t xml:space="preserve"> Sutvarkyta turgaus aikštė, vnt.
</t>
        </r>
        <r>
          <rPr>
            <b/>
            <sz val="9"/>
            <color indexed="81"/>
            <rFont val="Tahoma"/>
            <family val="2"/>
            <charset val="186"/>
          </rPr>
          <t xml:space="preserve">
KEPS  3.1.11.</t>
        </r>
        <r>
          <rPr>
            <sz val="9"/>
            <color indexed="81"/>
            <rFont val="Tahoma"/>
            <family val="2"/>
            <charset val="186"/>
          </rPr>
          <t xml:space="preserve"> Išvystyti senąją turgavietę</t>
        </r>
      </text>
    </comment>
    <comment ref="E50"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E52"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E54" authorId="1"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E57" authorId="0"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J57" authorId="0" shapeId="0">
      <text>
        <r>
          <rPr>
            <sz val="9"/>
            <color indexed="81"/>
            <rFont val="Tahoma"/>
            <family val="2"/>
            <charset val="186"/>
          </rPr>
          <t xml:space="preserve">Reikalinga iškelti buitinių nuotekų tinklus, kurie trukdo el. įvadų įrengimui </t>
        </r>
      </text>
    </comment>
    <comment ref="E58"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59" authorId="0"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E60"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61" authorId="1"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E63" authorId="0"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E64" authorId="0" shapeId="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E66" authorId="0" shapeId="0">
      <text>
        <r>
          <rPr>
            <b/>
            <sz val="9"/>
            <color indexed="81"/>
            <rFont val="Tahoma"/>
            <family val="2"/>
            <charset val="186"/>
          </rPr>
          <t xml:space="preserve">P, 3.2.1.7 KSP </t>
        </r>
        <r>
          <rPr>
            <sz val="9"/>
            <color indexed="81"/>
            <rFont val="Tahoma"/>
            <family val="2"/>
            <charset val="186"/>
          </rPr>
          <t xml:space="preserve">priemonė: Sutvarkyti senamiesčio ir istorinės miesto dalies reprezentacinių viešųjų erdvių (Teatro, Turgaus, Atgimimo aikščių, Ferdinando ir kitų skverų) infrastruktūrą pritaikant jas turizmo reikmėms bei renginiams 
</t>
        </r>
      </text>
    </comment>
    <comment ref="E67" authorId="0" shapeId="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E69"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D70" authorId="2" shapeId="0">
      <text>
        <r>
          <rPr>
            <sz val="9"/>
            <color indexed="81"/>
            <rFont val="Tahoma"/>
            <family val="2"/>
            <charset val="186"/>
          </rPr>
          <t xml:space="preserve">Lėšų poreikis pateiktas DNR planui suma 200,0 tūkst. Eur </t>
        </r>
      </text>
    </comment>
    <comment ref="E70"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75"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K75" authorId="2" shapeId="0">
      <text>
        <r>
          <rPr>
            <sz val="9"/>
            <color indexed="81"/>
            <rFont val="Tahoma"/>
            <family val="2"/>
            <charset val="186"/>
          </rPr>
          <t>2 naujai prižiūrimii fontanai - prie Jono kalnelio ir Vaidilos</t>
        </r>
      </text>
    </comment>
    <comment ref="J77" authorId="2" shapeId="0">
      <text>
        <r>
          <rPr>
            <sz val="9"/>
            <color indexed="81"/>
            <rFont val="Tahoma"/>
            <family val="2"/>
            <charset val="186"/>
          </rPr>
          <t>Lietuvininkų aikštė - 13,3 tūkst. Eur
Teatro aikštė - 14,7 tūkst. Eur
Prie "Meridiano" - 14,2 tūkst. Eur</t>
        </r>
      </text>
    </comment>
    <comment ref="K93" authorId="2" shapeId="0">
      <text>
        <r>
          <rPr>
            <sz val="9"/>
            <color indexed="81"/>
            <rFont val="Tahoma"/>
            <family val="2"/>
            <charset val="186"/>
          </rPr>
          <t xml:space="preserve">31 naujų kamerų priežiūra įrengtų per įvykdytus projektus. Planuojama, kameros bus įrengtos 2020 m. pabaigoje, priežiūra planuojama nuo sausio mėnesio. Nuo 2022 m. dar plius 13 kamerų. </t>
        </r>
      </text>
    </comment>
    <comment ref="L94" authorId="2" shapeId="0">
      <text>
        <r>
          <rPr>
            <sz val="9"/>
            <color indexed="81"/>
            <rFont val="Tahoma"/>
            <family val="2"/>
            <charset val="186"/>
          </rPr>
          <t xml:space="preserve">36 vnt. naujų valdomų kamerų ir 26 vnt. naujų stacionarių kamerų </t>
        </r>
      </text>
    </comment>
    <comment ref="E100" authorId="1" shapeId="0">
      <text>
        <r>
          <rPr>
            <b/>
            <sz val="9"/>
            <color indexed="81"/>
            <rFont val="Tahoma"/>
            <family val="2"/>
            <charset val="186"/>
          </rPr>
          <t>KEPS2030  4.5.1.</t>
        </r>
        <r>
          <rPr>
            <sz val="9"/>
            <color indexed="81"/>
            <rFont val="Tahoma"/>
            <family val="2"/>
            <charset val="186"/>
          </rPr>
          <t xml:space="preserve"> Išvalyti Danės upę, pastatyti ir išplėtoti mažus uostelius.</t>
        </r>
      </text>
    </comment>
    <comment ref="E101" authorId="0" shapeId="0">
      <text>
        <r>
          <rPr>
            <b/>
            <sz val="9"/>
            <color indexed="81"/>
            <rFont val="Tahoma"/>
            <family val="2"/>
            <charset val="186"/>
          </rPr>
          <t>KSP P 2.4.1.2</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J102" authorId="0" shapeId="0">
      <text>
        <r>
          <rPr>
            <sz val="9"/>
            <color indexed="81"/>
            <rFont val="Tahoma"/>
            <family val="2"/>
            <charset val="186"/>
          </rPr>
          <t>Planuojama vieta – ant naujojo Klaipėdos baseino rytinės sienos (Taikos pr.).</t>
        </r>
      </text>
    </comment>
    <comment ref="E104" authorId="0" shapeId="0">
      <text>
        <r>
          <rPr>
            <b/>
            <sz val="9"/>
            <color indexed="81"/>
            <rFont val="Tahoma"/>
            <family val="2"/>
            <charset val="186"/>
          </rPr>
          <t>P1,</t>
        </r>
        <r>
          <rPr>
            <sz val="9"/>
            <color indexed="81"/>
            <rFont val="Tahoma"/>
            <family val="2"/>
            <charset val="186"/>
          </rPr>
          <t xml:space="preserve"> 3.2.1. Patvirtinta dalyvaujamojo biudžeto koncepcija ir metodika
</t>
        </r>
      </text>
    </comment>
    <comment ref="E108"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E109" authorId="1" shapeId="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K115" authorId="2" shapeId="0">
      <text>
        <r>
          <rPr>
            <b/>
            <sz val="9"/>
            <color indexed="81"/>
            <rFont val="Tahoma"/>
            <family val="2"/>
            <charset val="186"/>
          </rPr>
          <t xml:space="preserve">2021 m. </t>
        </r>
        <r>
          <rPr>
            <sz val="9"/>
            <color indexed="81"/>
            <rFont val="Tahoma"/>
            <family val="2"/>
            <charset val="186"/>
          </rPr>
          <t xml:space="preserve">inventorius (1  gelbėjimos plaustas; 2 defibriliatoriai)
</t>
        </r>
      </text>
    </comment>
    <comment ref="E123" authorId="0" shapeId="0">
      <text>
        <r>
          <rPr>
            <b/>
            <sz val="9"/>
            <color indexed="81"/>
            <rFont val="Tahoma"/>
            <family val="2"/>
            <charset val="186"/>
          </rPr>
          <t xml:space="preserve">P1, </t>
        </r>
        <r>
          <rPr>
            <sz val="9"/>
            <color indexed="81"/>
            <rFont val="Tahoma"/>
            <family val="2"/>
            <charset val="186"/>
          </rPr>
          <t>2.3. Municipalinio (vidaus vandenų) uosto atkūrimas Klaipėdoje</t>
        </r>
      </text>
    </comment>
    <comment ref="E124" authorId="1" shapeId="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J125" authorId="0" shapeId="0">
      <text>
        <r>
          <rPr>
            <sz val="9"/>
            <color indexed="81"/>
            <rFont val="Tahoma"/>
            <family val="2"/>
            <charset val="186"/>
          </rPr>
          <t>Viešieji tualetai: Stovyklų g. 4 –21,79 m2; Kopų g. 1A (I Melnragė) – 87,25 m2;</t>
        </r>
      </text>
    </comment>
    <comment ref="E130"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L130" authorId="3" shapeId="0">
      <text>
        <r>
          <rPr>
            <sz val="9"/>
            <color indexed="81"/>
            <rFont val="Tahoma"/>
            <family val="2"/>
            <charset val="186"/>
          </rPr>
          <t xml:space="preserve">2022 m. konteinerinio WC pastatymas (Smiltynės g. 31), konteinerinio WC pastatymas (Smiltynės g. 14A), konteinerinio WC pastatymas  (Smiltynės g. 30) 
</t>
        </r>
      </text>
    </comment>
    <comment ref="M130" authorId="3" shapeId="0">
      <text>
        <r>
          <rPr>
            <sz val="9"/>
            <color indexed="81"/>
            <rFont val="Tahoma"/>
            <family val="2"/>
            <charset val="186"/>
          </rPr>
          <t>2023 m. konteinerinio WC pastatymas (Smiltynės g. 14B), konteinerinio WC oastatymas (Smiltynės g. 14C)</t>
        </r>
      </text>
    </comment>
    <comment ref="E133" authorId="0" shapeId="0">
      <text>
        <r>
          <rPr>
            <b/>
            <sz val="9"/>
            <color indexed="81"/>
            <rFont val="Tahoma"/>
            <family val="2"/>
            <charset val="186"/>
          </rPr>
          <t>KSP P 2.4.2.8</t>
        </r>
        <r>
          <rPr>
            <sz val="9"/>
            <color indexed="81"/>
            <rFont val="Tahoma"/>
            <family val="2"/>
            <charset val="186"/>
          </rPr>
          <t xml:space="preserve">
Diegti aukšto lygio paslaugų ir infrastruktūros parametrus miesto paplūdimiuose ir kitose poilsio zonose</t>
        </r>
      </text>
    </comment>
    <comment ref="E155" authorId="0" shapeId="0">
      <text>
        <r>
          <rPr>
            <b/>
            <sz val="9"/>
            <color indexed="81"/>
            <rFont val="Tahoma"/>
            <family val="2"/>
            <charset val="186"/>
          </rPr>
          <t xml:space="preserve">P, KSP 2.3.2.5
</t>
        </r>
        <r>
          <rPr>
            <sz val="9"/>
            <color indexed="81"/>
            <rFont val="Tahoma"/>
            <family val="2"/>
            <charset val="186"/>
          </rPr>
          <t xml:space="preserve">Gerinti Klaipėdos miesto viešųjų erdvių apšvietimo efektyvumą ir kokybę
</t>
        </r>
      </text>
    </comment>
    <comment ref="K165" authorId="2" shapeId="0">
      <text>
        <r>
          <rPr>
            <sz val="9"/>
            <color indexed="81"/>
            <rFont val="Tahoma"/>
            <family val="2"/>
            <charset val="186"/>
          </rPr>
          <t>2021 m. 
1. Karlskronos aikštė (perkelta iš 2020 m., kadangi pratęstas projekto parengimo terminas 2 mėnesių laikotarpiui nuo 2020-12-11 pagal sutartį Nr. J9-3279)
2. Skveras tarp H. Manto g. 38 ir 36 (perkelta iš 2020 m., kadangi projekto parengimo terminas baigiasi 2021-03-05) 
3. I. Simonaitytės kalnas ties I. Simonaitytės g. 2-6 (perkelta iš 2020 m., kadangi nebaigta techninės priežiūros paslauga)
4. Praėjimas nuo Veterinarijos g. iki Neringos sodų (perkelta iš 2020 m., kadangi nebaigta techninės priežiūros paslauga)
Taip pat perkeltos lėšos Viešųjų erdvių apšvietimo techninių darbo projektų parengimo ir projektų vykdymo priežiūros paslaugų (I ir II dalys), kadangi neparengti projektai.</t>
        </r>
      </text>
    </comment>
    <comment ref="L167" authorId="2" shapeId="0">
      <text>
        <r>
          <rPr>
            <sz val="9"/>
            <color indexed="81"/>
            <rFont val="Tahoma"/>
            <family val="2"/>
            <charset val="186"/>
          </rPr>
          <t>2022 m.
1. Takai nuo I. Simonaitytės g. 6 iki 22 (500 m.)
2. Takas nuo Markučių g. 5 iki Vingio g. (220 m)
3. Takas nuo Paryžiaus Komunos g. 27 iki Šilutės pl. 2A (150 m.)
4. Takas nuo Baltijos pr.45 palei Baltijos gimnazija (230 m)
5. Takas nuo Simonaitytės kalno iki Aukuro gimnazijos (250 m)
6. Laistų 1-oji,2-oji, 3-oji g. (1200 m)
7. Smilgų g. (150 m)
8. Smilčių g. (250 m)
Taip pat projektų ekspertizės (2300 Eur)</t>
        </r>
      </text>
    </comment>
    <comment ref="E222" authorId="0" shapeId="0">
      <text>
        <r>
          <rPr>
            <b/>
            <sz val="9"/>
            <color indexed="81"/>
            <rFont val="Tahoma"/>
            <family val="2"/>
            <charset val="186"/>
          </rPr>
          <t>P, 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223" authorId="0" shapeId="0">
      <text>
        <r>
          <rPr>
            <b/>
            <sz val="9"/>
            <color indexed="81"/>
            <rFont val="Tahoma"/>
            <family val="2"/>
            <charset val="186"/>
          </rPr>
          <t>P1, 3.4.</t>
        </r>
        <r>
          <rPr>
            <sz val="9"/>
            <color indexed="81"/>
            <rFont val="Tahoma"/>
            <family val="2"/>
            <charset val="186"/>
          </rPr>
          <t xml:space="preserve"> Daugiabučių namų kvartalinės renovacijos skatinimas</t>
        </r>
      </text>
    </comment>
    <comment ref="E228" authorId="0" shapeId="0">
      <text>
        <r>
          <rPr>
            <b/>
            <sz val="9"/>
            <color indexed="81"/>
            <rFont val="Tahoma"/>
            <family val="2"/>
            <charset val="186"/>
          </rPr>
          <t>P, 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229" authorId="0" shapeId="0">
      <text>
        <r>
          <rPr>
            <b/>
            <sz val="9"/>
            <color indexed="81"/>
            <rFont val="Tahoma"/>
            <family val="2"/>
            <charset val="186"/>
          </rPr>
          <t>P1, 3.4.</t>
        </r>
        <r>
          <rPr>
            <sz val="9"/>
            <color indexed="81"/>
            <rFont val="Tahoma"/>
            <family val="2"/>
            <charset val="186"/>
          </rPr>
          <t xml:space="preserve"> Daugiabučių namų kvartalinės renovacijos skatinimas;</t>
        </r>
      </text>
    </comment>
    <comment ref="J229" authorId="0" shapeId="0">
      <text>
        <r>
          <rPr>
            <sz val="9"/>
            <color indexed="81"/>
            <rFont val="Tahoma"/>
            <family val="2"/>
            <charset val="186"/>
          </rPr>
          <t xml:space="preserve">iš viso įrengta automobilių aikštelių - 446 vnt.
</t>
        </r>
      </text>
    </comment>
    <comment ref="J231" authorId="0" shapeId="0">
      <text>
        <r>
          <rPr>
            <sz val="9"/>
            <color indexed="81"/>
            <rFont val="Tahoma"/>
            <family val="2"/>
            <charset val="186"/>
          </rPr>
          <t>Iš viso įrengta apšvietimo atramų - 259 vnt.</t>
        </r>
        <r>
          <rPr>
            <sz val="9"/>
            <color indexed="81"/>
            <rFont val="Tahoma"/>
            <family val="2"/>
            <charset val="186"/>
          </rPr>
          <t xml:space="preserve">
</t>
        </r>
      </text>
    </comment>
  </commentList>
</comments>
</file>

<file path=xl/comments2.xml><?xml version="1.0" encoding="utf-8"?>
<comments xmlns="http://schemas.openxmlformats.org/spreadsheetml/2006/main">
  <authors>
    <author>Audra Cepiene</author>
    <author>Indrė Butenienė</author>
    <author>Inga Mikalauskienė</author>
    <author>Gintare Kareiviene</author>
  </authors>
  <commentList>
    <comment ref="E27"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E28"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E29" authorId="1"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E32" authorId="0" shapeId="0">
      <text>
        <r>
          <rPr>
            <b/>
            <sz val="9"/>
            <color indexed="81"/>
            <rFont val="Tahoma"/>
            <family val="2"/>
            <charset val="186"/>
          </rPr>
          <t xml:space="preserve">KSP P 2.4.1.2. </t>
        </r>
        <r>
          <rPr>
            <sz val="9"/>
            <color indexed="81"/>
            <rFont val="Tahoma"/>
            <family val="2"/>
            <charset val="186"/>
          </rPr>
          <t xml:space="preserve">Sutvarkyti ir pritaikyti visuomenės arba rekreaciniams poreikiams Danės upės slėnio ir žiočių teritorijas; Danės upę pritaikyti laivybai, rekonstruoti Danės upės krantines nuo Biržos tilto iki Mokyklos gatvės tilto:
</t>
        </r>
      </text>
    </comment>
    <comment ref="E33"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E34" authorId="0" shapeId="0">
      <text>
        <r>
          <rPr>
            <b/>
            <sz val="9"/>
            <color indexed="81"/>
            <rFont val="Tahoma"/>
            <family val="2"/>
            <charset val="186"/>
          </rPr>
          <t>KEPS 2030 metų (P6)</t>
        </r>
        <r>
          <rPr>
            <sz val="9"/>
            <color indexed="81"/>
            <rFont val="Tahoma"/>
            <family val="2"/>
            <charset val="186"/>
          </rPr>
          <t xml:space="preserve">
P6 3.1.13. Vystyti viešųjų erdvių gerinimo programas ir lokalius urbanistinės struktūros atgaivinimo projektus  </t>
        </r>
      </text>
    </comment>
    <comment ref="E39"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E40" authorId="0" shapeId="0">
      <text>
        <r>
          <rPr>
            <b/>
            <sz val="9"/>
            <color indexed="81"/>
            <rFont val="Tahoma"/>
            <family val="2"/>
            <charset val="186"/>
          </rPr>
          <t xml:space="preserve">KEPS2030 3.1.5. </t>
        </r>
        <r>
          <rPr>
            <sz val="9"/>
            <color indexed="81"/>
            <rFont val="Tahoma"/>
            <family val="2"/>
            <charset val="186"/>
          </rPr>
          <t xml:space="preserve">"Intensyvinti linijinį centrą Taikos pr. ašyje" 
</t>
        </r>
      </text>
    </comment>
    <comment ref="E44" authorId="0" shapeId="0">
      <text>
        <r>
          <rPr>
            <b/>
            <sz val="9"/>
            <color indexed="81"/>
            <rFont val="Tahoma"/>
            <family val="2"/>
            <charset val="186"/>
          </rPr>
          <t>KSP</t>
        </r>
        <r>
          <rPr>
            <sz val="9"/>
            <color indexed="81"/>
            <rFont val="Tahoma"/>
            <family val="2"/>
            <charset val="186"/>
          </rPr>
          <t>,</t>
        </r>
        <r>
          <rPr>
            <b/>
            <sz val="9"/>
            <color indexed="81"/>
            <rFont val="Tahoma"/>
            <family val="2"/>
            <charset val="186"/>
          </rPr>
          <t xml:space="preserve"> P 2.4.2.5. </t>
        </r>
        <r>
          <rPr>
            <sz val="9"/>
            <color indexed="81"/>
            <rFont val="Tahoma"/>
            <family val="2"/>
            <charset val="186"/>
          </rPr>
          <t xml:space="preserve"> priemonė: Atnaujinti gyvenamųjų kvartalų centrines aikštes ir kitas viešąsias erdves, 3.1.1.1. priemonė "Išvystyti senąją turgavietę", Klaipėdos miesto ekonominės plėtros strategija ir įgyvendinimo veiksmų planas iki 2030 metų 
</t>
        </r>
        <r>
          <rPr>
            <b/>
            <sz val="9"/>
            <color indexed="81"/>
            <rFont val="Tahoma"/>
            <family val="2"/>
            <charset val="186"/>
          </rPr>
          <t>P1,</t>
        </r>
        <r>
          <rPr>
            <sz val="9"/>
            <color indexed="81"/>
            <rFont val="Tahoma"/>
            <family val="2"/>
            <charset val="186"/>
          </rPr>
          <t xml:space="preserve"> </t>
        </r>
        <r>
          <rPr>
            <b/>
            <sz val="9"/>
            <color indexed="81"/>
            <rFont val="Tahoma"/>
            <family val="2"/>
            <charset val="186"/>
          </rPr>
          <t>4.1.5.</t>
        </r>
        <r>
          <rPr>
            <sz val="9"/>
            <color indexed="81"/>
            <rFont val="Tahoma"/>
            <family val="2"/>
            <charset val="186"/>
          </rPr>
          <t xml:space="preserve"> Sutvarkyta turgaus aikštė, vnt.
</t>
        </r>
        <r>
          <rPr>
            <b/>
            <sz val="9"/>
            <color indexed="81"/>
            <rFont val="Tahoma"/>
            <family val="2"/>
            <charset val="186"/>
          </rPr>
          <t xml:space="preserve">
KEPS  3.1.11.</t>
        </r>
        <r>
          <rPr>
            <sz val="9"/>
            <color indexed="81"/>
            <rFont val="Tahoma"/>
            <family val="2"/>
            <charset val="186"/>
          </rPr>
          <t xml:space="preserve"> Išvystyti senąją turgavietę</t>
        </r>
      </text>
    </comment>
    <comment ref="E48"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E50"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E52" authorId="1"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E55" authorId="0"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P55" authorId="0" shapeId="0">
      <text>
        <r>
          <rPr>
            <sz val="9"/>
            <color indexed="81"/>
            <rFont val="Tahoma"/>
            <family val="2"/>
            <charset val="186"/>
          </rPr>
          <t xml:space="preserve">Reikalinga iškelti buitinių nuotekų tinklus, kurie trukdo el. įvadų įrengimui </t>
        </r>
      </text>
    </comment>
    <comment ref="E56"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57" authorId="0"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E58"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59" authorId="1"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E61" authorId="0"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E62" authorId="0" shapeId="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E64" authorId="0" shapeId="0">
      <text>
        <r>
          <rPr>
            <b/>
            <sz val="9"/>
            <color indexed="81"/>
            <rFont val="Tahoma"/>
            <family val="2"/>
            <charset val="186"/>
          </rPr>
          <t xml:space="preserve">P, 3.2.1.7 KSP </t>
        </r>
        <r>
          <rPr>
            <sz val="9"/>
            <color indexed="81"/>
            <rFont val="Tahoma"/>
            <family val="2"/>
            <charset val="186"/>
          </rPr>
          <t xml:space="preserve">priemonė: Sutvarkyti senamiesčio ir istorinės miesto dalies reprezentacinių viešųjų erdvių (Teatro, Turgaus, Atgimimo aikščių, Ferdinando ir kitų skverų) infrastruktūrą pritaikant jas turizmo reikmėms bei renginiams 
</t>
        </r>
      </text>
    </comment>
    <comment ref="E65" authorId="0" shapeId="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E67"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D68" authorId="2" shapeId="0">
      <text>
        <r>
          <rPr>
            <sz val="9"/>
            <color indexed="81"/>
            <rFont val="Tahoma"/>
            <family val="2"/>
            <charset val="186"/>
          </rPr>
          <t xml:space="preserve">Lėšų poreikis pateiktas DNR planui suma 200,0 tūkst. Eur </t>
        </r>
      </text>
    </comment>
    <comment ref="E68"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73"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Q73" authorId="2" shapeId="0">
      <text>
        <r>
          <rPr>
            <sz val="9"/>
            <color indexed="81"/>
            <rFont val="Tahoma"/>
            <family val="2"/>
            <charset val="186"/>
          </rPr>
          <t>2 naujai prižiūrimii fontanai - prie Jono kalnelio ir Vaidilos</t>
        </r>
      </text>
    </comment>
    <comment ref="P75" authorId="2" shapeId="0">
      <text>
        <r>
          <rPr>
            <sz val="9"/>
            <color indexed="81"/>
            <rFont val="Tahoma"/>
            <family val="2"/>
            <charset val="186"/>
          </rPr>
          <t>Lietuvininkų aikštė - 13,3 tūkst. Eur
Teatro aikštė - 14,7 tūkst. Eur
Prie "Meridiano" - 14,2 tūkst. Eur</t>
        </r>
      </text>
    </comment>
    <comment ref="Q91" authorId="2" shapeId="0">
      <text>
        <r>
          <rPr>
            <sz val="9"/>
            <color indexed="81"/>
            <rFont val="Tahoma"/>
            <family val="2"/>
            <charset val="186"/>
          </rPr>
          <t xml:space="preserve">31 naujų kamerų priežiūra įrengtų per įvykdytus projektus. Planuojama, kameros bus įrengtos 2020 m. pabaigoje, priežiūra planuojama nuo sausio mėnesio. Nuo 2022 m. dar plius 13 kamerų. </t>
        </r>
      </text>
    </comment>
    <comment ref="S92" authorId="2" shapeId="0">
      <text>
        <r>
          <rPr>
            <sz val="9"/>
            <color indexed="81"/>
            <rFont val="Tahoma"/>
            <family val="2"/>
            <charset val="186"/>
          </rPr>
          <t xml:space="preserve">36 vnt. naujų valdomų kamerų ir 26 vnt. naujų stacionarių kamerų </t>
        </r>
      </text>
    </comment>
    <comment ref="E98" authorId="1" shapeId="0">
      <text>
        <r>
          <rPr>
            <b/>
            <sz val="9"/>
            <color indexed="81"/>
            <rFont val="Tahoma"/>
            <family val="2"/>
            <charset val="186"/>
          </rPr>
          <t>KEPS2030  4.5.1.</t>
        </r>
        <r>
          <rPr>
            <sz val="9"/>
            <color indexed="81"/>
            <rFont val="Tahoma"/>
            <family val="2"/>
            <charset val="186"/>
          </rPr>
          <t xml:space="preserve"> Išvalyti Danės upę, pastatyti ir išplėtoti mažus uostelius.</t>
        </r>
      </text>
    </comment>
    <comment ref="E99" authorId="0" shapeId="0">
      <text>
        <r>
          <rPr>
            <b/>
            <sz val="9"/>
            <color indexed="81"/>
            <rFont val="Tahoma"/>
            <family val="2"/>
            <charset val="186"/>
          </rPr>
          <t>KSP P 2.4.1.2</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P100" authorId="0" shapeId="0">
      <text>
        <r>
          <rPr>
            <sz val="9"/>
            <color indexed="81"/>
            <rFont val="Tahoma"/>
            <family val="2"/>
            <charset val="186"/>
          </rPr>
          <t>Planuojama vieta – ant naujojo Klaipėdos baseino rytinės sienos (Taikos pr.).</t>
        </r>
      </text>
    </comment>
    <comment ref="E101" authorId="0" shapeId="0">
      <text>
        <r>
          <rPr>
            <b/>
            <sz val="9"/>
            <color indexed="81"/>
            <rFont val="Tahoma"/>
            <family val="2"/>
            <charset val="186"/>
          </rPr>
          <t>P1,</t>
        </r>
        <r>
          <rPr>
            <sz val="9"/>
            <color indexed="81"/>
            <rFont val="Tahoma"/>
            <family val="2"/>
            <charset val="186"/>
          </rPr>
          <t xml:space="preserve"> 3.2.1. Patvirtinta dalyvaujamojo biudžeto koncepcija ir metodika
</t>
        </r>
      </text>
    </comment>
    <comment ref="E105"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E106" authorId="1" shapeId="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Q112" authorId="2" shapeId="0">
      <text>
        <r>
          <rPr>
            <b/>
            <sz val="9"/>
            <color indexed="81"/>
            <rFont val="Tahoma"/>
            <family val="2"/>
            <charset val="186"/>
          </rPr>
          <t xml:space="preserve">2021 m. </t>
        </r>
        <r>
          <rPr>
            <sz val="9"/>
            <color indexed="81"/>
            <rFont val="Tahoma"/>
            <family val="2"/>
            <charset val="186"/>
          </rPr>
          <t xml:space="preserve">inventorius (1  gelbėjimos plaustas; 2 defibriliatoriai)
</t>
        </r>
      </text>
    </comment>
    <comment ref="E120" authorId="0" shapeId="0">
      <text>
        <r>
          <rPr>
            <b/>
            <sz val="9"/>
            <color indexed="81"/>
            <rFont val="Tahoma"/>
            <family val="2"/>
            <charset val="186"/>
          </rPr>
          <t xml:space="preserve">P1, </t>
        </r>
        <r>
          <rPr>
            <sz val="9"/>
            <color indexed="81"/>
            <rFont val="Tahoma"/>
            <family val="2"/>
            <charset val="186"/>
          </rPr>
          <t>2.3. Municipalinio (vidaus vandenų) uosto atkūrimas Klaipėdoje</t>
        </r>
      </text>
    </comment>
    <comment ref="E121" authorId="1" shapeId="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P122" authorId="0" shapeId="0">
      <text>
        <r>
          <rPr>
            <sz val="9"/>
            <color indexed="81"/>
            <rFont val="Tahoma"/>
            <family val="2"/>
            <charset val="186"/>
          </rPr>
          <t>Viešieji tualetai: Stovyklų g. 4 –21,79 m2; Kopų g. 1A (I Melnragė) – 87,25 m2;</t>
        </r>
      </text>
    </comment>
    <comment ref="E127"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Q127" authorId="3" shapeId="0">
      <text>
        <r>
          <rPr>
            <sz val="9"/>
            <color indexed="81"/>
            <rFont val="Tahoma"/>
            <family val="2"/>
            <charset val="186"/>
          </rPr>
          <t xml:space="preserve">2021 m. konteinerinio WC pastatymas  (Smiltynės g. 30) 
</t>
        </r>
      </text>
    </comment>
    <comment ref="S127" authorId="3" shapeId="0">
      <text>
        <r>
          <rPr>
            <sz val="9"/>
            <color indexed="81"/>
            <rFont val="Tahoma"/>
            <family val="2"/>
            <charset val="186"/>
          </rPr>
          <t xml:space="preserve">2022 m. konteinerinio WC pastatymas (Smiltynės g. 31), konteinerinio WC pastatymas (Smiltynės g. 14A)
</t>
        </r>
      </text>
    </comment>
    <comment ref="T127" authorId="3" shapeId="0">
      <text>
        <r>
          <rPr>
            <sz val="9"/>
            <color indexed="81"/>
            <rFont val="Tahoma"/>
            <family val="2"/>
            <charset val="186"/>
          </rPr>
          <t xml:space="preserve">2022 m. konteinerinio WC pastatymas (Smiltynės g. 31), konteinerinio WC pastatymas (Smiltynės g. 14A), konteinerinio WC pastatymas  (Smiltynės g. 30) 
</t>
        </r>
      </text>
    </comment>
    <comment ref="U127" authorId="3" shapeId="0">
      <text>
        <r>
          <rPr>
            <sz val="9"/>
            <color indexed="81"/>
            <rFont val="Tahoma"/>
            <family val="2"/>
            <charset val="186"/>
          </rPr>
          <t>2023 m. konteinerinio WC pastatymas (Smiltynės g. 14B), konteinerinio WC oastatymas (Smiltynės g. 14C)</t>
        </r>
      </text>
    </comment>
    <comment ref="E130" authorId="0" shapeId="0">
      <text>
        <r>
          <rPr>
            <b/>
            <sz val="9"/>
            <color indexed="81"/>
            <rFont val="Tahoma"/>
            <family val="2"/>
            <charset val="186"/>
          </rPr>
          <t>KSP P 2.4.2.8</t>
        </r>
        <r>
          <rPr>
            <sz val="9"/>
            <color indexed="81"/>
            <rFont val="Tahoma"/>
            <family val="2"/>
            <charset val="186"/>
          </rPr>
          <t xml:space="preserve">
Diegti aukšto lygio paslaugų ir infrastruktūros parametrus miesto paplūdimiuose ir kitose poilsio zonose</t>
        </r>
      </text>
    </comment>
    <comment ref="E154" authorId="0" shapeId="0">
      <text>
        <r>
          <rPr>
            <b/>
            <sz val="9"/>
            <color indexed="81"/>
            <rFont val="Tahoma"/>
            <family val="2"/>
            <charset val="186"/>
          </rPr>
          <t xml:space="preserve">P, KSP 2.3.2.5
</t>
        </r>
        <r>
          <rPr>
            <sz val="9"/>
            <color indexed="81"/>
            <rFont val="Tahoma"/>
            <family val="2"/>
            <charset val="186"/>
          </rPr>
          <t xml:space="preserve">Gerinti Klaipėdos miesto viešųjų erdvių apšvietimo efektyvumą ir kokybę
</t>
        </r>
      </text>
    </comment>
    <comment ref="Q164" authorId="2" shapeId="0">
      <text>
        <r>
          <rPr>
            <sz val="9"/>
            <color indexed="81"/>
            <rFont val="Tahoma"/>
            <family val="2"/>
            <charset val="186"/>
          </rPr>
          <t>2021 m. 
1. Karlskronos aikštė (perkelta iš 2020 m., kadangi pratęstas projekto parengimo terminas 2 mėnesių laikotarpiui nuo 2020-12-11 pagal sutartį Nr. J9-3279)
2. Skveras tarp H. Manto g. 38 ir 36 (perkelta iš 2020 m., kadangi projekto parengimo terminas baigiasi 2021-03-05) 
3. I. Simonaitytės kalnas ties I. Simonaitytės g. 2-6 (perkelta iš 2020 m., kadangi nebaigta techninės priežiūros paslauga)
4. Praėjimas nuo Veterinarijos g. iki Neringos sodų (perkelta iš 2020 m., kadangi nebaigta techninės priežiūros paslauga)
Taip pat perkeltos lėšos Viešųjų erdvių apšvietimo techninių darbo projektų parengimo ir projektų vykdymo priežiūros paslaugų (I ir II dalys), kadangi neparengti projektai.</t>
        </r>
      </text>
    </comment>
    <comment ref="S166" authorId="2" shapeId="0">
      <text>
        <r>
          <rPr>
            <sz val="9"/>
            <color indexed="81"/>
            <rFont val="Tahoma"/>
            <family val="2"/>
            <charset val="186"/>
          </rPr>
          <t>2022 m.
1. Takai nuo I. Simonaitytės g. 6 iki 22 (500 m.)
2. Takas nuo Markučių g. 5 iki Vingio g. (220 m)
3. Takas nuo Paryžiaus Komunos g. 27 iki Šilutės pl. 2A (150 m.)
4. Takas nuo Baltijos pr.45 palei Baltijos gimnazija (230 m)
5. Takas nuo Simonaitytės kalno iki Aukuro gimnazijos (250 m)
6. Laistų 1-oji,2-oji, 3-oji g. (1200 m)
7. Smilgų g. (150 m)
8. Smilčių g. (250 m)
Taip pat projektų ekspertizės (2300 Eur)</t>
        </r>
      </text>
    </comment>
    <comment ref="W212" authorId="2" shapeId="0">
      <text>
        <r>
          <rPr>
            <sz val="9"/>
            <color indexed="81"/>
            <rFont val="Tahoma"/>
            <family val="2"/>
            <charset val="186"/>
          </rPr>
          <t xml:space="preserve">Darbai būtų vykdomi šiuose adresuose:
Baltijos pr. 14, 16
Baltijos pr. 65*,67*-73
Rumpiškės g. 27-31*-33, Ryšininkų g. 2-4-6*-8
Taikos pr. 127, 133 
Kalnupės g. 21, Nidos 54-56, Minijos 143-151
Minijos g. 120-122, Sulupės g. 5, 7
Danės g. 5, 7, 9*
Sportininkų g. 5-9
I. Kanto g. 36*-38*-40
Klevų g. 3-5
</t>
        </r>
      </text>
    </comment>
    <comment ref="E221" authorId="0" shapeId="0">
      <text>
        <r>
          <rPr>
            <b/>
            <sz val="9"/>
            <color indexed="81"/>
            <rFont val="Tahoma"/>
            <family val="2"/>
            <charset val="186"/>
          </rPr>
          <t>P, 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222" authorId="0" shapeId="0">
      <text>
        <r>
          <rPr>
            <b/>
            <sz val="9"/>
            <color indexed="81"/>
            <rFont val="Tahoma"/>
            <family val="2"/>
            <charset val="186"/>
          </rPr>
          <t>P1, 3.4.</t>
        </r>
        <r>
          <rPr>
            <sz val="9"/>
            <color indexed="81"/>
            <rFont val="Tahoma"/>
            <family val="2"/>
            <charset val="186"/>
          </rPr>
          <t xml:space="preserve"> Daugiabučių namų kvartalinės renovacijos skatinimas</t>
        </r>
      </text>
    </comment>
    <comment ref="E227" authorId="0" shapeId="0">
      <text>
        <r>
          <rPr>
            <b/>
            <sz val="9"/>
            <color indexed="81"/>
            <rFont val="Tahoma"/>
            <family val="2"/>
            <charset val="186"/>
          </rPr>
          <t>P, 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228" authorId="0" shapeId="0">
      <text>
        <r>
          <rPr>
            <b/>
            <sz val="9"/>
            <color indexed="81"/>
            <rFont val="Tahoma"/>
            <family val="2"/>
            <charset val="186"/>
          </rPr>
          <t>P1, 3.4.</t>
        </r>
        <r>
          <rPr>
            <sz val="9"/>
            <color indexed="81"/>
            <rFont val="Tahoma"/>
            <family val="2"/>
            <charset val="186"/>
          </rPr>
          <t xml:space="preserve"> Daugiabučių namų kvartalinės renovacijos skatinimas;</t>
        </r>
      </text>
    </comment>
    <comment ref="P228" authorId="0" shapeId="0">
      <text>
        <r>
          <rPr>
            <sz val="9"/>
            <color indexed="81"/>
            <rFont val="Tahoma"/>
            <family val="2"/>
            <charset val="186"/>
          </rPr>
          <t xml:space="preserve">iš viso įrengta automobilių aikštelių - 446 vnt.
</t>
        </r>
      </text>
    </comment>
    <comment ref="P230" authorId="0" shapeId="0">
      <text>
        <r>
          <rPr>
            <sz val="9"/>
            <color indexed="81"/>
            <rFont val="Tahoma"/>
            <family val="2"/>
            <charset val="186"/>
          </rPr>
          <t>Iš viso įrengta apšvietimo atramų - 259 vnt.</t>
        </r>
        <r>
          <rPr>
            <sz val="9"/>
            <color indexed="81"/>
            <rFont val="Tahoma"/>
            <family val="2"/>
            <charset val="186"/>
          </rPr>
          <t xml:space="preserve">
</t>
        </r>
      </text>
    </comment>
  </commentList>
</comments>
</file>

<file path=xl/comments3.xml><?xml version="1.0" encoding="utf-8"?>
<comments xmlns="http://schemas.openxmlformats.org/spreadsheetml/2006/main">
  <authors>
    <author>Audra Cepiene</author>
    <author>Indrė Butenienė</author>
    <author>Inga Mikalauskienė</author>
    <author>Gintare Kareiviene</author>
  </authors>
  <commentList>
    <comment ref="F17"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F18"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F19" authorId="1"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F22" authorId="0" shapeId="0">
      <text>
        <r>
          <rPr>
            <b/>
            <sz val="9"/>
            <color indexed="81"/>
            <rFont val="Tahoma"/>
            <family val="2"/>
            <charset val="186"/>
          </rPr>
          <t xml:space="preserve">KSP P 2.4.1.2. </t>
        </r>
        <r>
          <rPr>
            <sz val="9"/>
            <color indexed="81"/>
            <rFont val="Tahoma"/>
            <family val="2"/>
            <charset val="186"/>
          </rPr>
          <t xml:space="preserve">Sutvarkyti ir pritaikyti visuomenės arba rekreaciniams poreikiams Danės upės slėnio ir žiočių teritorijas; Danės upę pritaikyti laivybai, rekonstruoti Danės upės krantines nuo Biržos tilto iki Mokyklos gatvės tilto:
</t>
        </r>
      </text>
    </comment>
    <comment ref="F23"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F24" authorId="0" shapeId="0">
      <text>
        <r>
          <rPr>
            <b/>
            <sz val="9"/>
            <color indexed="81"/>
            <rFont val="Tahoma"/>
            <family val="2"/>
            <charset val="186"/>
          </rPr>
          <t>KEPS 2030 metų (P6)</t>
        </r>
        <r>
          <rPr>
            <sz val="9"/>
            <color indexed="81"/>
            <rFont val="Tahoma"/>
            <family val="2"/>
            <charset val="186"/>
          </rPr>
          <t xml:space="preserve">
P6 3.1.13. Vystyti viešųjų erdvių gerinimo programas ir lokalius urbanistinės struktūros atgaivinimo projektus  </t>
        </r>
      </text>
    </comment>
    <comment ref="F29"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F30" authorId="0" shapeId="0">
      <text>
        <r>
          <rPr>
            <b/>
            <sz val="9"/>
            <color indexed="81"/>
            <rFont val="Tahoma"/>
            <family val="2"/>
            <charset val="186"/>
          </rPr>
          <t xml:space="preserve">KEPS2030 3.1.5. </t>
        </r>
        <r>
          <rPr>
            <sz val="9"/>
            <color indexed="81"/>
            <rFont val="Tahoma"/>
            <family val="2"/>
            <charset val="186"/>
          </rPr>
          <t xml:space="preserve">"Intensyvinti linijinį centrą Taikos pr. ašyje" 
</t>
        </r>
      </text>
    </comment>
    <comment ref="F36" authorId="0" shapeId="0">
      <text>
        <r>
          <rPr>
            <b/>
            <sz val="9"/>
            <color indexed="81"/>
            <rFont val="Tahoma"/>
            <family val="2"/>
            <charset val="186"/>
          </rPr>
          <t>KSP</t>
        </r>
        <r>
          <rPr>
            <sz val="9"/>
            <color indexed="81"/>
            <rFont val="Tahoma"/>
            <family val="2"/>
            <charset val="186"/>
          </rPr>
          <t>,</t>
        </r>
        <r>
          <rPr>
            <b/>
            <sz val="9"/>
            <color indexed="81"/>
            <rFont val="Tahoma"/>
            <family val="2"/>
            <charset val="186"/>
          </rPr>
          <t xml:space="preserve"> P 2.4.2.5. </t>
        </r>
        <r>
          <rPr>
            <sz val="9"/>
            <color indexed="81"/>
            <rFont val="Tahoma"/>
            <family val="2"/>
            <charset val="186"/>
          </rPr>
          <t xml:space="preserve"> priemonė: Atnaujinti gyvenamųjų kvartalų centrines aikštes ir kitas viešąsias erdves, 3.1.1.1. priemonė "Išvystyti senąją turgavietę", Klaipėdos miesto ekonominės plėtros strategija ir įgyvendinimo veiksmų planas iki 2030 metų 
</t>
        </r>
        <r>
          <rPr>
            <b/>
            <sz val="9"/>
            <color indexed="81"/>
            <rFont val="Tahoma"/>
            <family val="2"/>
            <charset val="186"/>
          </rPr>
          <t>P1,</t>
        </r>
        <r>
          <rPr>
            <sz val="9"/>
            <color indexed="81"/>
            <rFont val="Tahoma"/>
            <family val="2"/>
            <charset val="186"/>
          </rPr>
          <t xml:space="preserve"> </t>
        </r>
        <r>
          <rPr>
            <b/>
            <sz val="9"/>
            <color indexed="81"/>
            <rFont val="Tahoma"/>
            <family val="2"/>
            <charset val="186"/>
          </rPr>
          <t>4.1.5.</t>
        </r>
        <r>
          <rPr>
            <sz val="9"/>
            <color indexed="81"/>
            <rFont val="Tahoma"/>
            <family val="2"/>
            <charset val="186"/>
          </rPr>
          <t xml:space="preserve"> Sutvarkyta turgaus aikštė, vnt.
</t>
        </r>
        <r>
          <rPr>
            <b/>
            <sz val="9"/>
            <color indexed="81"/>
            <rFont val="Tahoma"/>
            <family val="2"/>
            <charset val="186"/>
          </rPr>
          <t xml:space="preserve">
KEPS  3.1.11.</t>
        </r>
        <r>
          <rPr>
            <sz val="9"/>
            <color indexed="81"/>
            <rFont val="Tahoma"/>
            <family val="2"/>
            <charset val="186"/>
          </rPr>
          <t xml:space="preserve"> Išvystyti senąją turgavietę</t>
        </r>
      </text>
    </comment>
    <comment ref="H39" authorId="2" shapeId="0">
      <text>
        <r>
          <rPr>
            <sz val="9"/>
            <color indexed="81"/>
            <rFont val="Tahoma"/>
            <family val="2"/>
            <charset val="186"/>
          </rPr>
          <t xml:space="preserve">Teritorija išbraukta iš priemonės „Didžiųjų miestų kompleksinė plėtra“. Gautas atsakymas LR Vidaus reikalų ministerijos  į KMSA 2020-09-01 raštą Nr. (4.83E)-R2-2353 dėl galimo projekto finansavimo 4,04 mln. Eur per 12 mėn.
</t>
        </r>
      </text>
    </comment>
    <comment ref="F40"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F42"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F44" authorId="1"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F47" authorId="0"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M47" authorId="0" shapeId="0">
      <text>
        <r>
          <rPr>
            <sz val="9"/>
            <color indexed="81"/>
            <rFont val="Tahoma"/>
            <family val="2"/>
            <charset val="186"/>
          </rPr>
          <t xml:space="preserve">Reikalinga iškelti buitinių nuotekų tinklus, kurie trukdo el. įvadų įrengimui </t>
        </r>
      </text>
    </comment>
    <comment ref="F48"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F49" authorId="0"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F50"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F51" authorId="1"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F53" authorId="0"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F54" authorId="0" shapeId="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F56" authorId="0" shapeId="0">
      <text>
        <r>
          <rPr>
            <b/>
            <sz val="9"/>
            <color indexed="81"/>
            <rFont val="Tahoma"/>
            <family val="2"/>
            <charset val="186"/>
          </rPr>
          <t xml:space="preserve">P, 3.2.1.7 KSP </t>
        </r>
        <r>
          <rPr>
            <sz val="9"/>
            <color indexed="81"/>
            <rFont val="Tahoma"/>
            <family val="2"/>
            <charset val="186"/>
          </rPr>
          <t xml:space="preserve">priemonė: Sutvarkyti senamiesčio ir istorinės miesto dalies reprezentacinių viešųjų erdvių (Teatro, Turgaus, Atgimimo aikščių, Ferdinando ir kitų skverų) infrastruktūrą pritaikant jas turizmo reikmėms bei renginiams 
</t>
        </r>
      </text>
    </comment>
    <comment ref="F57" authorId="0" shapeId="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F59"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F60"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62" authorId="2" shapeId="0">
      <text>
        <r>
          <rPr>
            <sz val="9"/>
            <color indexed="81"/>
            <rFont val="Tahoma"/>
            <family val="2"/>
            <charset val="186"/>
          </rPr>
          <t xml:space="preserve">Keičiamas pavadinimas pagal atliktą pirkimą
</t>
        </r>
      </text>
    </comment>
    <comment ref="F62"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64" authorId="2" shapeId="0">
      <text>
        <r>
          <rPr>
            <sz val="9"/>
            <color indexed="81"/>
            <rFont val="Tahoma"/>
            <family val="2"/>
            <charset val="186"/>
          </rPr>
          <t xml:space="preserve">Lėšų poreikis pateiktas DNR planui suma 200,0 tūkst. Eur </t>
        </r>
      </text>
    </comment>
    <comment ref="F64"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F69"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N69" authorId="0" shapeId="0">
      <text>
        <r>
          <rPr>
            <b/>
            <sz val="9"/>
            <color indexed="81"/>
            <rFont val="Tahoma"/>
            <family val="2"/>
            <charset val="186"/>
          </rPr>
          <t>Eksploatuojami 5 fontanai:</t>
        </r>
        <r>
          <rPr>
            <sz val="9"/>
            <color indexed="81"/>
            <rFont val="Tahoma"/>
            <family val="2"/>
            <charset val="186"/>
          </rPr>
          <t xml:space="preserve"> "Taravos Anikė"; "Laivelis" Meridiano skvere; Debreceno aikštės fontanas; Pempininkų aikštės fontanas; „Laivelis“ skvere prie „Meridiano“.</t>
        </r>
      </text>
    </comment>
    <comment ref="O69" authorId="2" shapeId="0">
      <text>
        <r>
          <rPr>
            <sz val="9"/>
            <color indexed="81"/>
            <rFont val="Tahoma"/>
            <family val="2"/>
            <charset val="186"/>
          </rPr>
          <t>2 naujai prižiūrimii fontanai - prie Jono kalnelio ir Vaidilos</t>
        </r>
      </text>
    </comment>
    <comment ref="M73" authorId="2" shapeId="0">
      <text>
        <r>
          <rPr>
            <sz val="9"/>
            <color indexed="81"/>
            <rFont val="Tahoma"/>
            <family val="2"/>
            <charset val="186"/>
          </rPr>
          <t>Lietuvininkų aikštė - 13,3 tūkst. Eur
Teatro aikštė - 14,7 tūkst. Eur
Prie "Meridiano" - 14,2 tūkst. Eur</t>
        </r>
      </text>
    </comment>
    <comment ref="N93" authorId="2" shapeId="0">
      <text>
        <r>
          <rPr>
            <b/>
            <sz val="9"/>
            <color indexed="81"/>
            <rFont val="Tahoma"/>
            <family val="2"/>
            <charset val="186"/>
          </rPr>
          <t xml:space="preserve">87 kamerų priežiūra </t>
        </r>
        <r>
          <rPr>
            <sz val="9"/>
            <color indexed="81"/>
            <rFont val="Tahoma"/>
            <family val="2"/>
            <charset val="186"/>
          </rPr>
          <t>(58 esamos+8(Poilsio parkas)+7(Sąjūdžio parkas)+12(Gedminų alėja)+2(Minijos-Baltijos sankryža),</t>
        </r>
        <r>
          <rPr>
            <b/>
            <sz val="9"/>
            <color indexed="81"/>
            <rFont val="Tahoma"/>
            <family val="2"/>
            <charset val="186"/>
          </rPr>
          <t xml:space="preserve"> 60 kamerų priežiūra </t>
        </r>
        <r>
          <rPr>
            <sz val="9"/>
            <color indexed="81"/>
            <rFont val="Tahoma"/>
            <family val="2"/>
            <charset val="186"/>
          </rPr>
          <t>(45 naujų kamerų, 7 naujos policijai pagal prašymą, 8 (Klaipėdos piliavietė ir Vasaros estradoje)</t>
        </r>
        <r>
          <rPr>
            <b/>
            <sz val="9"/>
            <color indexed="81"/>
            <rFont val="Tahoma"/>
            <family val="2"/>
            <charset val="186"/>
          </rPr>
          <t xml:space="preserve">
4 slaptos kameros
3 kameros Jono kalnelyje
</t>
        </r>
        <r>
          <rPr>
            <sz val="9"/>
            <color indexed="81"/>
            <rFont val="Tahoma"/>
            <family val="2"/>
            <charset val="186"/>
          </rPr>
          <t>Stebėjimo kamerų tinklo diegimas autobusų ir geležinkelių stotyse bei intermodaliniuose centruose (Darnaus judumo planas)</t>
        </r>
      </text>
    </comment>
    <comment ref="O93" authorId="2" shapeId="0">
      <text>
        <r>
          <rPr>
            <sz val="9"/>
            <color indexed="81"/>
            <rFont val="Tahoma"/>
            <family val="2"/>
            <charset val="186"/>
          </rPr>
          <t xml:space="preserve">31 naujų kamerų priežiūra įrengtų per įvykdytus projektus. Planuojama, kameros bus įrengtos 2020 m. pabaigoje, priežiūra planuojama nuo sausio mėnesio. Nuo 2022 m. dar plius 13 kamerų. </t>
        </r>
      </text>
    </comment>
    <comment ref="P94" authorId="2" shapeId="0">
      <text>
        <r>
          <rPr>
            <sz val="9"/>
            <color indexed="81"/>
            <rFont val="Tahoma"/>
            <family val="2"/>
            <charset val="186"/>
          </rPr>
          <t xml:space="preserve">36 vnt. naujų valdomų kamerų ir 26 vnt. naujų stacionarių kamerų </t>
        </r>
      </text>
    </comment>
    <comment ref="F102" authorId="1" shapeId="0">
      <text>
        <r>
          <rPr>
            <b/>
            <sz val="9"/>
            <color indexed="81"/>
            <rFont val="Tahoma"/>
            <family val="2"/>
            <charset val="186"/>
          </rPr>
          <t>KEPS2030  4.5.1.</t>
        </r>
        <r>
          <rPr>
            <sz val="9"/>
            <color indexed="81"/>
            <rFont val="Tahoma"/>
            <family val="2"/>
            <charset val="186"/>
          </rPr>
          <t xml:space="preserve"> Išvalyti Danės upę, pastatyti ir išplėtoti mažus uostelius.</t>
        </r>
      </text>
    </comment>
    <comment ref="F103" authorId="0" shapeId="0">
      <text>
        <r>
          <rPr>
            <b/>
            <sz val="9"/>
            <color indexed="81"/>
            <rFont val="Tahoma"/>
            <family val="2"/>
            <charset val="186"/>
          </rPr>
          <t>KSP P 2.4.1.2</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M104" authorId="0" shapeId="0">
      <text>
        <r>
          <rPr>
            <sz val="9"/>
            <color indexed="81"/>
            <rFont val="Tahoma"/>
            <family val="2"/>
            <charset val="186"/>
          </rPr>
          <t>Planuojama vieta – ant naujojo Klaipėdos baseino rytinės sienos (Taikos pr.).</t>
        </r>
      </text>
    </comment>
    <comment ref="F106" authorId="2" shapeId="0">
      <text>
        <r>
          <rPr>
            <b/>
            <sz val="9"/>
            <color indexed="81"/>
            <rFont val="Tahoma"/>
            <family val="2"/>
            <charset val="186"/>
          </rPr>
          <t>P1, 3.2.1.</t>
        </r>
        <r>
          <rPr>
            <sz val="9"/>
            <color indexed="81"/>
            <rFont val="Tahoma"/>
            <family val="2"/>
            <charset val="186"/>
          </rPr>
          <t xml:space="preserve"> Patvirtinta dalyvaujamojo biudžeto koncepcija ir metodika
</t>
        </r>
      </text>
    </comment>
    <comment ref="F111"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F112" authorId="1" shapeId="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O118" authorId="2" shapeId="0">
      <text>
        <r>
          <rPr>
            <b/>
            <sz val="9"/>
            <color indexed="81"/>
            <rFont val="Tahoma"/>
            <family val="2"/>
            <charset val="186"/>
          </rPr>
          <t xml:space="preserve">2021 m. </t>
        </r>
        <r>
          <rPr>
            <sz val="9"/>
            <color indexed="81"/>
            <rFont val="Tahoma"/>
            <family val="2"/>
            <charset val="186"/>
          </rPr>
          <t xml:space="preserve">inventorius (1  gelbėjimos plaustas; 2 defibriliatoriai)
</t>
        </r>
      </text>
    </comment>
    <comment ref="F125" authorId="0" shapeId="0">
      <text>
        <r>
          <rPr>
            <b/>
            <sz val="9"/>
            <color indexed="81"/>
            <rFont val="Tahoma"/>
            <family val="2"/>
            <charset val="186"/>
          </rPr>
          <t xml:space="preserve">P1, </t>
        </r>
        <r>
          <rPr>
            <sz val="9"/>
            <color indexed="81"/>
            <rFont val="Tahoma"/>
            <family val="2"/>
            <charset val="186"/>
          </rPr>
          <t>2.3. Municipalinio (vidaus vandenų) uosto atkūrimas Klaipėdoje</t>
        </r>
      </text>
    </comment>
    <comment ref="F126" authorId="1" shapeId="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M127" authorId="0" shapeId="0">
      <text>
        <r>
          <rPr>
            <sz val="9"/>
            <color indexed="81"/>
            <rFont val="Tahoma"/>
            <family val="2"/>
            <charset val="186"/>
          </rPr>
          <t>Viešieji tualetai: Stovyklų g. 4 –21,79 m2; Kopų g. 1A (I Melnragė) – 87,25 m2;</t>
        </r>
      </text>
    </comment>
    <comment ref="F132"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O133" authorId="3" shapeId="0">
      <text>
        <r>
          <rPr>
            <sz val="9"/>
            <color indexed="81"/>
            <rFont val="Tahoma"/>
            <family val="2"/>
            <charset val="186"/>
          </rPr>
          <t xml:space="preserve">2021 m. konteinerinio WC pastatymas  (Smiltynės g. 30) 
</t>
        </r>
      </text>
    </comment>
    <comment ref="P133" authorId="3" shapeId="0">
      <text>
        <r>
          <rPr>
            <sz val="9"/>
            <color indexed="81"/>
            <rFont val="Tahoma"/>
            <family val="2"/>
            <charset val="186"/>
          </rPr>
          <t xml:space="preserve">2022 m. konteinerinio WC pastatymas (Smiltynės g. 31), konteinerinio WC pastatymas (Smiltynės g. 14A)
</t>
        </r>
      </text>
    </comment>
    <comment ref="Q133" authorId="3" shapeId="0">
      <text>
        <r>
          <rPr>
            <sz val="9"/>
            <color indexed="81"/>
            <rFont val="Tahoma"/>
            <family val="2"/>
            <charset val="186"/>
          </rPr>
          <t>2023 m. konteinerinio WC pastatymas (Smiltynės g. 14B), konteinerinio WC oastatymas (Smiltynės g. 14C)</t>
        </r>
      </text>
    </comment>
    <comment ref="F136" authorId="0" shapeId="0">
      <text>
        <r>
          <rPr>
            <b/>
            <sz val="9"/>
            <color indexed="81"/>
            <rFont val="Tahoma"/>
            <family val="2"/>
            <charset val="186"/>
          </rPr>
          <t>KSP P 2.4.2.8</t>
        </r>
        <r>
          <rPr>
            <sz val="9"/>
            <color indexed="81"/>
            <rFont val="Tahoma"/>
            <family val="2"/>
            <charset val="186"/>
          </rPr>
          <t xml:space="preserve">
Diegti aukšto lygio paslaugų ir infrastruktūros parametrus miesto paplūdimiuose ir kitose poilsio zonose</t>
        </r>
      </text>
    </comment>
    <comment ref="F158" authorId="0" shapeId="0">
      <text>
        <r>
          <rPr>
            <b/>
            <sz val="9"/>
            <color indexed="81"/>
            <rFont val="Tahoma"/>
            <family val="2"/>
            <charset val="186"/>
          </rPr>
          <t xml:space="preserve">P, KSP 2.3.2.5
</t>
        </r>
        <r>
          <rPr>
            <sz val="9"/>
            <color indexed="81"/>
            <rFont val="Tahoma"/>
            <family val="2"/>
            <charset val="186"/>
          </rPr>
          <t xml:space="preserve">Gerinti Klaipėdos miesto viešųjų erdvių apšvietimo efektyvumą ir kokybę
</t>
        </r>
      </text>
    </comment>
    <comment ref="N162" authorId="0" shapeId="0">
      <text>
        <r>
          <rPr>
            <sz val="9"/>
            <color indexed="81"/>
            <rFont val="Tahoma"/>
            <family val="2"/>
            <charset val="186"/>
          </rPr>
          <t xml:space="preserve">Pagal ES projektą 2019-10 </t>
        </r>
        <r>
          <rPr>
            <b/>
            <sz val="9"/>
            <color indexed="81"/>
            <rFont val="Tahoma"/>
            <family val="2"/>
            <charset val="186"/>
          </rPr>
          <t xml:space="preserve">įrengtos 3 greito krovimo elektromobilių įkrovimo stotelės </t>
        </r>
        <r>
          <rPr>
            <sz val="9"/>
            <color indexed="81"/>
            <rFont val="Tahoma"/>
            <family val="2"/>
            <charset val="186"/>
          </rPr>
          <t>(Jūrininkų pr. 16, S. Nėries g. 16A ir Taikos pr. 80). Savivaldybė 5 metus po stotelių įrengimo turi užtikrinti nemokamą elektromobilių įkrovimo paslaugų teikimą.</t>
        </r>
      </text>
    </comment>
    <comment ref="O177" authorId="2" shapeId="0">
      <text>
        <r>
          <rPr>
            <sz val="9"/>
            <color indexed="81"/>
            <rFont val="Tahoma"/>
            <family val="2"/>
            <charset val="186"/>
          </rPr>
          <t>2021 m. 
1. Karlskronos aikštė (perkelta iš 2020 m., kadangi pratęstas projekto parengimo terminas 2 mėnesių laikotarpiui nuo 2020-12-11 pagal sutartį Nr. J9-3279)
2. Skveras tarp H. Manto g. 38 ir 36 (perkelta iš 2020 m., kadangi projekto parengimo terminas baigiasi 2021-03-05) 
3. I. Simonaitytės kalnas ties I. Simonaitytės g. 2-6 (perkelta iš 2020 m., kadangi nebaigta techninės priežiūros paslauga)
4. Praėjimas nuo Veterinarijos g. iki Neringos sodų (perkelta iš 2020 m., kadangi nebaigta techninės priežiūros paslauga)
Taip pat perkeltos lėšos Viešųjų erdvių apšvietimo techninių darbo projektų parengimo ir projektų vykdymo priežiūros paslaugų (I ir II dalys), kadangi neparengti projektai.</t>
        </r>
      </text>
    </comment>
    <comment ref="P179" authorId="2" shapeId="0">
      <text>
        <r>
          <rPr>
            <sz val="9"/>
            <color indexed="81"/>
            <rFont val="Tahoma"/>
            <family val="2"/>
            <charset val="186"/>
          </rPr>
          <t>2022 m.
1. Takai nuo I. Simonaitytės g. 6 iki 22 (500 m.)
2. Takas nuo Markučių g. 5 iki Vingio g. (220 m)
3. Takas nuo Paryžiaus Komunos g. 27 iki Šilutės pl. 2A (150 m.)
4. Takas nuo Baltijos pr.45 palei Baltijos gimnazija (230 m)
5. Takas nuo Simonaitytės kalno iki Aukuro gimnazijos (250 m)
6. Laistų 1-oji,2-oji, 3-oji g. (1200 m)
7. Smilgų g. (150 m)
8. Smilčių g. (250 m)
Taip pat projektų ekspertizės (2300 Eur)</t>
        </r>
      </text>
    </comment>
    <comment ref="F225" authorId="0" shapeId="0">
      <text>
        <r>
          <rPr>
            <b/>
            <sz val="9"/>
            <color indexed="81"/>
            <rFont val="Tahoma"/>
            <family val="2"/>
            <charset val="186"/>
          </rPr>
          <t>P, 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226" authorId="0" shapeId="0">
      <text>
        <r>
          <rPr>
            <b/>
            <sz val="9"/>
            <color indexed="81"/>
            <rFont val="Tahoma"/>
            <family val="2"/>
            <charset val="186"/>
          </rPr>
          <t>P1, 3.4.</t>
        </r>
        <r>
          <rPr>
            <sz val="9"/>
            <color indexed="81"/>
            <rFont val="Tahoma"/>
            <family val="2"/>
            <charset val="186"/>
          </rPr>
          <t xml:space="preserve"> Daugiabučių namų kvartalinės renovacijos skatinimas</t>
        </r>
      </text>
    </comment>
    <comment ref="F231" authorId="0" shapeId="0">
      <text>
        <r>
          <rPr>
            <b/>
            <sz val="9"/>
            <color indexed="81"/>
            <rFont val="Tahoma"/>
            <family val="2"/>
            <charset val="186"/>
          </rPr>
          <t>P, 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232" authorId="0" shapeId="0">
      <text>
        <r>
          <rPr>
            <b/>
            <sz val="9"/>
            <color indexed="81"/>
            <rFont val="Tahoma"/>
            <family val="2"/>
            <charset val="186"/>
          </rPr>
          <t>P1, 3.4.</t>
        </r>
        <r>
          <rPr>
            <sz val="9"/>
            <color indexed="81"/>
            <rFont val="Tahoma"/>
            <family val="2"/>
            <charset val="186"/>
          </rPr>
          <t xml:space="preserve"> Daugiabučių namų kvartalinės renovacijos skatinimas;</t>
        </r>
      </text>
    </comment>
    <comment ref="N234" authorId="0" shapeId="0">
      <text>
        <r>
          <rPr>
            <b/>
            <sz val="9"/>
            <color indexed="81"/>
            <rFont val="Tahoma"/>
            <family val="2"/>
            <charset val="186"/>
          </rPr>
          <t>2020 m.</t>
        </r>
        <r>
          <rPr>
            <sz val="9"/>
            <color indexed="81"/>
            <rFont val="Tahoma"/>
            <family val="2"/>
            <charset val="186"/>
          </rPr>
          <t xml:space="preserve">
(plotas 64668 m2 + padidintas 78735 m2=143403 m2) . Papildomas poreikis SB lėšų +965,6 tūkst. Eur, VB+195,6, ES+2216,9 tūkst. Eur.</t>
        </r>
      </text>
    </comment>
    <comment ref="M236" authorId="0" shapeId="0">
      <text>
        <r>
          <rPr>
            <sz val="9"/>
            <color indexed="81"/>
            <rFont val="Tahoma"/>
            <family val="2"/>
            <charset val="186"/>
          </rPr>
          <t xml:space="preserve">iš viso įrengta automobilių aikštelių - 446 vnt.
</t>
        </r>
      </text>
    </comment>
    <comment ref="M237" authorId="0" shapeId="0">
      <text>
        <r>
          <rPr>
            <sz val="9"/>
            <color indexed="81"/>
            <rFont val="Tahoma"/>
            <family val="2"/>
            <charset val="186"/>
          </rPr>
          <t>Iš viso įrengta apšvietimo atramų - 259 vnt.</t>
        </r>
        <r>
          <rPr>
            <sz val="9"/>
            <color indexed="81"/>
            <rFont val="Tahoma"/>
            <family val="2"/>
            <charset val="186"/>
          </rPr>
          <t xml:space="preserve">
</t>
        </r>
      </text>
    </comment>
  </commentList>
</comments>
</file>

<file path=xl/sharedStrings.xml><?xml version="1.0" encoding="utf-8"?>
<sst xmlns="http://schemas.openxmlformats.org/spreadsheetml/2006/main" count="1853" uniqueCount="461">
  <si>
    <t>Uždavinio kodas</t>
  </si>
  <si>
    <t>Priemonės kodas</t>
  </si>
  <si>
    <t>Priemonės požymis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</si>
  <si>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</si>
  <si>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</si>
  <si>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</si>
  <si>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</si>
  <si>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</si>
  <si>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</si>
  <si>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</si>
  <si>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</si>
  <si>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</si>
  <si>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</si>
  <si>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</si>
  <si>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</si>
  <si>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</si>
  <si>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Veiklos plano tikslo kodas</t>
  </si>
  <si>
    <r>
      <t xml:space="preserve">Savivaldybės biudžeto lėšos </t>
    </r>
    <r>
      <rPr>
        <b/>
        <sz val="10"/>
        <rFont val="Times New Roman"/>
        <family val="1"/>
        <charset val="186"/>
      </rPr>
      <t>SB</t>
    </r>
  </si>
  <si>
    <r>
      <t xml:space="preserve">Specialiosios programos lėšos (pajamos už atsitiktines paslaugas) </t>
    </r>
    <r>
      <rPr>
        <b/>
        <sz val="10"/>
        <rFont val="Times New Roman"/>
        <family val="1"/>
        <charset val="186"/>
      </rPr>
      <t>SB(SP)</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</si>
  <si>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</si>
  <si>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</si>
  <si>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</si>
  <si>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</si>
  <si>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</si>
  <si>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MIESTO INFRASTRUKTŪROS OBJEKTŲ PRIEŽIŪROS IR MODERNIZAVIMO PROGRAMOS (NR. 07)</t>
  </si>
  <si>
    <t>03</t>
  </si>
  <si>
    <t>06</t>
  </si>
  <si>
    <t>08</t>
  </si>
  <si>
    <t>Fontanų priežiūra, remontas ir atnaujinimas</t>
  </si>
  <si>
    <t>Miesto viešų teritorijų inventoriaus priežiūra, įrengimas ir įsigijimas</t>
  </si>
  <si>
    <t>Prižiūrima fontanų, vnt.</t>
  </si>
  <si>
    <t>Įsigyta šiukšliadėžių, vnt.</t>
  </si>
  <si>
    <t>04</t>
  </si>
  <si>
    <t>05</t>
  </si>
  <si>
    <t>07</t>
  </si>
  <si>
    <t>Miesto viešųjų tualetų remontas, priežiūra ir nuoma</t>
  </si>
  <si>
    <t>Nugriauta statinių, vnt.</t>
  </si>
  <si>
    <t>Prižiūrima viešųjų tualetų, vnt.</t>
  </si>
  <si>
    <t>SB(SP)</t>
  </si>
  <si>
    <t>Siekti, kad miesto viešosios erdvės būtų tvarkingos, jaukios ir saugios</t>
  </si>
  <si>
    <t>Užtikrinti laidojimo paslaugų teikimą, miesto kapinių priežiūrą ir poreikius atitinkantį laidojimo vietų skaičių</t>
  </si>
  <si>
    <t>Eksploatuoti, remontuoti ir plėtoti inžinerinio aprūpinimo sistemas</t>
  </si>
  <si>
    <t>07 Miesto infrastruktūros objektų priežiūros ir modernizavimo programa</t>
  </si>
  <si>
    <t>I</t>
  </si>
  <si>
    <t>ES</t>
  </si>
  <si>
    <t>Suvartota el. energijos, tūkst. MWh</t>
  </si>
  <si>
    <t>Mirusių (žuvusių) žmonių palaikų pervežimas iš įvykio vietų, neatpažintų, vienišų ir mirusių, kuriuos artimieji atsisako laidoti, žmonių palaikų laikinas laikymas (saugojimas), palaidojimas savivaldybės lėšomis</t>
  </si>
  <si>
    <t>Švaros ir tvarkos užtikrinimas bendro naudojimo teritorijose:</t>
  </si>
  <si>
    <t>Miesto viešųjų erdvių ir gatvių apšvietimo užtikrinimas:</t>
  </si>
  <si>
    <t xml:space="preserve">Iš viso  programai: </t>
  </si>
  <si>
    <t xml:space="preserve">Statinių, keliančių pavojų gyvybei ir sveikatai, griovimas </t>
  </si>
  <si>
    <t>SB(L)</t>
  </si>
  <si>
    <r>
      <t xml:space="preserve">Programų lėšų likučių laikinai laisvos lėšos </t>
    </r>
    <r>
      <rPr>
        <b/>
        <sz val="10"/>
        <rFont val="Times New Roman"/>
        <family val="1"/>
        <charset val="186"/>
      </rPr>
      <t>SB(L)</t>
    </r>
  </si>
  <si>
    <t>Strateginis tikslas 02. Kurti mieste patrauklią, švarią ir saugią gyvenamąją aplinką</t>
  </si>
  <si>
    <t>Teikti miesto gyventojams kokybiškas komunalines ir viešųjų erdvių priežiūros paslaugas</t>
  </si>
  <si>
    <t>Pirties paslaugų teikimas Smiltynės paplūdimyje</t>
  </si>
  <si>
    <t>09</t>
  </si>
  <si>
    <r>
      <t xml:space="preserve">Vietinių rinkliavų lėšos </t>
    </r>
    <r>
      <rPr>
        <b/>
        <sz val="10"/>
        <rFont val="Times New Roman"/>
        <family val="1"/>
        <charset val="186"/>
      </rPr>
      <t>SB(VR)</t>
    </r>
  </si>
  <si>
    <t>Savivaldybei priskirtų teritorijų sanitarinis valymas, parkų, skverų, žaliųjų plotų želdinimas ir aplinkotvarka</t>
  </si>
  <si>
    <t>Nuomojama kilnojamųjų tualetų švenčių metu, vnt.</t>
  </si>
  <si>
    <t>Eksploatuojama šviestuvų, tūkst. vnt.</t>
  </si>
  <si>
    <t>Papriemonės kodas</t>
  </si>
  <si>
    <t>Viešosios tvarkos skyrius</t>
  </si>
  <si>
    <t>Laidojimo paslaugų teikimas ir kapinių priežiūros organizavimas:</t>
  </si>
  <si>
    <t>Įsigyta suoliukų, vnt.</t>
  </si>
  <si>
    <t>Prižiūrima gertuvių Poilsio parke, vnt.</t>
  </si>
  <si>
    <t>Planas</t>
  </si>
  <si>
    <t xml:space="preserve">Palaidota mirusiųjų, skaičius </t>
  </si>
  <si>
    <t>BĮ „Klaipėdos paplūdimiai“ veiklos organizavimas</t>
  </si>
  <si>
    <t>SB(SPL)</t>
  </si>
  <si>
    <t xml:space="preserve">Savivaldybės biudžetas, iš jo: </t>
  </si>
  <si>
    <r>
      <t xml:space="preserve">Pajamų įmokų už patalpų nuomą likutis </t>
    </r>
    <r>
      <rPr>
        <b/>
        <sz val="10"/>
        <rFont val="Times New Roman"/>
        <family val="1"/>
        <charset val="186"/>
      </rPr>
      <t>SB(SPL)</t>
    </r>
  </si>
  <si>
    <r>
      <t xml:space="preserve">Vietinių rinkliavų lėšų likutis </t>
    </r>
    <r>
      <rPr>
        <b/>
        <sz val="10"/>
        <rFont val="Times New Roman"/>
        <family val="1"/>
        <charset val="186"/>
      </rPr>
      <t>SB(VRL)</t>
    </r>
  </si>
  <si>
    <r>
      <t xml:space="preserve">Valstybės biudžeto specialiosios tikslinės dotacijos lėšos </t>
    </r>
    <r>
      <rPr>
        <b/>
        <sz val="10"/>
        <rFont val="Times New Roman"/>
        <family val="1"/>
        <charset val="186"/>
      </rPr>
      <t>SB(VB)</t>
    </r>
  </si>
  <si>
    <r>
      <t xml:space="preserve">Žemės pardavimų likučio lėšos </t>
    </r>
    <r>
      <rPr>
        <b/>
        <sz val="10"/>
        <rFont val="Times New Roman"/>
        <family val="1"/>
        <charset val="186"/>
      </rPr>
      <t>SB(ŽPL)</t>
    </r>
  </si>
  <si>
    <t>Miesto aikščių, skverų ir kitų bendro naudojimo teritorijų atnaujinimas ir priežiūra:</t>
  </si>
  <si>
    <t>Parengtas techninis projektas, vnt.</t>
  </si>
  <si>
    <t>Gatvių ir viešųjų erdvių apšvietimo organizavimo funkcijos įgyvendinimas</t>
  </si>
  <si>
    <t>tūkst. Eur</t>
  </si>
  <si>
    <t xml:space="preserve">Įsigyta gėlinių, vnt. </t>
  </si>
  <si>
    <t xml:space="preserve">Prižiūrima kapinių  (įskaitant senąsias kapinaites), vnt. </t>
  </si>
  <si>
    <t xml:space="preserve"> TIKSLŲ, UŽDAVINIŲ, PRIEMONIŲ, PRIEMONIŲ IŠLAIDŲ IR PRODUKTO KRITERIJŲ DETALI SUVESTINĖ</t>
  </si>
  <si>
    <r>
      <t>Gėlynų atnaujinimas ir įrengimas</t>
    </r>
    <r>
      <rPr>
        <i/>
        <sz val="10"/>
        <rFont val="Times New Roman"/>
        <family val="1"/>
        <charset val="186"/>
      </rPr>
      <t xml:space="preserve"> </t>
    </r>
  </si>
  <si>
    <t>Vingio mikrorajono aikštės atnaujinimas</t>
  </si>
  <si>
    <t>Mėlynosios vėliavos programos koordinavimo paslaugų įsigijimas</t>
  </si>
  <si>
    <t>Beglobių gyvūnų gerovės ir apsaugos priemonių įgyvendinimas (gyvūnų gaudymas, surinkimas, sterilizacija, karantinavimas, eutanazija ir kt.)</t>
  </si>
  <si>
    <t>Atlikta aikštės atnaujinimo darbų. Užbaigtumas, proc.</t>
  </si>
  <si>
    <t>Prižiūrima konteinerinių tualetų, vnt.</t>
  </si>
  <si>
    <t>Nuolatinių darbuotojų skaičius</t>
  </si>
  <si>
    <t>Sezoninių darbuotojų skaičius</t>
  </si>
  <si>
    <t>Eksploatuojama kamerų, vnt.</t>
  </si>
  <si>
    <t xml:space="preserve">Atlikta krantinių ir prieigų sutvarkymo darbų. Užbaigtumas, proc. </t>
  </si>
  <si>
    <t xml:space="preserve">Išvežta mirusiųjų iš įvykio vietos,  skaičius </t>
  </si>
  <si>
    <t xml:space="preserve">Mirusiųjų palaikų laikinas laikymas (saugojimas), skaičius </t>
  </si>
  <si>
    <t xml:space="preserve">47,4 ha Medelyno gyvenamojo rajono infrastruktūros išvystymas. I etapas
</t>
  </si>
  <si>
    <t>Skvero Bokštų gatvėje sutvarkymas</t>
  </si>
  <si>
    <t>90</t>
  </si>
  <si>
    <r>
      <t xml:space="preserve">Klaipėdos valstybinio jūrų uosto direkcijos lėšos </t>
    </r>
    <r>
      <rPr>
        <b/>
        <sz val="10"/>
        <rFont val="Times New Roman"/>
        <family val="1"/>
        <charset val="186"/>
      </rPr>
      <t>KVJUD</t>
    </r>
  </si>
  <si>
    <t>Užtikrinti švarą ir tvarką daugiabučių gyvenamųjų namų kvartaluose, skatinti gyventojus renovuoti, prižiūrėti ir saugoti savo turtą</t>
  </si>
  <si>
    <t>Prižiūrima stacionarių tualetų, vnt.</t>
  </si>
  <si>
    <t>Želdinių tvarkymas;</t>
  </si>
  <si>
    <t xml:space="preserve">Daugiabučių namų savininkų bendrijų (DNSB) pirmininkų mokymų organizavimas </t>
  </si>
  <si>
    <t xml:space="preserve">Paimta, sugauta gyvūnų, vnt. </t>
  </si>
  <si>
    <t>Atlikta beglobių kačių sterilizacijų, vnt.</t>
  </si>
  <si>
    <t>Prižiūrima informacinės sistemos objektų (nuorodų, stendų), vnt.</t>
  </si>
  <si>
    <t>Remontuota suoliukų, vnt.</t>
  </si>
  <si>
    <t>Remontuota šiukšliadėžių, vnt.</t>
  </si>
  <si>
    <t>Įgyvendintas projektas, vnt.</t>
  </si>
  <si>
    <t>Atlikta skvero rekonstravimo darbų. Užbaigtumas, proc.</t>
  </si>
  <si>
    <t>Organizuota mokymų, vnt.</t>
  </si>
  <si>
    <t>Įrengta apšvietimo infrastruktūros kiemuose, tūkst. m.</t>
  </si>
  <si>
    <t xml:space="preserve">Viešosios erdvės prie buvusio „Vaidilos“ kino teatro konversija </t>
  </si>
  <si>
    <t xml:space="preserve">Atgimimo aikštės sutvarkymas, didinant patrauklumą investicijoms, skatinant lankytojų srautus </t>
  </si>
  <si>
    <t>Kompleksinis tikslinės teritorijos daugiabučių namų kiemų tvarkymas</t>
  </si>
  <si>
    <t>Saugios kaimynystės bendruomenėje projektų įgyvendinimas:</t>
  </si>
  <si>
    <t>Sutvarkyta švietimo įstaigų želdinių, vnt.</t>
  </si>
  <si>
    <t>Viešųjų erdvių (šviesoforų, fontanų, tualetų ir kt.) apšvietimo tinklų ir įrangos eksploatacija</t>
  </si>
  <si>
    <t>10</t>
  </si>
  <si>
    <r>
      <t xml:space="preserve">Kelių priežiūros ir plėtros programos lėšos </t>
    </r>
    <r>
      <rPr>
        <b/>
        <sz val="10"/>
        <rFont val="Times New Roman"/>
        <family val="1"/>
        <charset val="186"/>
      </rPr>
      <t>SB(KPP)</t>
    </r>
  </si>
  <si>
    <t xml:space="preserve">Eksploatuojama informacinė miesto sistema: </t>
  </si>
  <si>
    <t>Įrengta gatvių pavadinimų lentelių ir gatvių krypties nuorodų, vnt.</t>
  </si>
  <si>
    <t>Įsigyta inventoriaus:</t>
  </si>
  <si>
    <t>Atlikta inventoriaus remonto darbų:</t>
  </si>
  <si>
    <t>Įsigyta kalėdinių papuošimų ir eglė:</t>
  </si>
  <si>
    <t>Atlikta vandens maudyklų tyrimų, sk.</t>
  </si>
  <si>
    <t>Suteikta asistento paslauga neįgaliesiems, vnt.</t>
  </si>
  <si>
    <t xml:space="preserve">Prevencinio projekto „Būk pilietiškas, būk saugus“ įgyvendinimas kartu su Klaipėdos apskrities vyriausiuoju policijos komisariatu </t>
  </si>
  <si>
    <t>Įrengta vaikų žaidimų aikštelių viešose erdvėse, vnt.</t>
  </si>
  <si>
    <t>Prižiūrima vaikų žaidimų aikštelių viešose erdvėse, vnt.</t>
  </si>
  <si>
    <t>I. Kanto ir S. Daukanto gatvių sankryžoje esančio skvero sutvarkymas</t>
  </si>
  <si>
    <t>LRVB</t>
  </si>
  <si>
    <t xml:space="preserve">Danės upės krantinių rekonstrukcija ir prieigų (Danės skveras su fontanais) sutvarkymas  </t>
  </si>
  <si>
    <t>Rekonstruota, nutiesta lietaus nuotekų tinklų, m</t>
  </si>
  <si>
    <t>Klaipėdos miesto paviršinių nuotekų tinklų įrengimas, remontas ir rekonstrukcija</t>
  </si>
  <si>
    <t>Papuošta kalėdinė eglė Atgimimo aikštėje, kartai</t>
  </si>
  <si>
    <t>Savivaldybei priskirtų valyti ir prižiūrėti teritorijų plotas, kv. km</t>
  </si>
  <si>
    <t>Tvarkoma gėlynų ploto, tūkst. m²</t>
  </si>
  <si>
    <t xml:space="preserve">Turgaus aikštės su prieigomis sutvarkymas, pritaikant verslo,  bendruomenės poreikiams </t>
  </si>
  <si>
    <t>100</t>
  </si>
  <si>
    <t>Viešųjų tualetų paslaugų teikimas Melnragės paplūdimyje ir Klaipėdos poilsio parke</t>
  </si>
  <si>
    <t>Įrengta ir atnaujinta automobilių stovėjimo vietų, vnt.</t>
  </si>
  <si>
    <t>Įsigyta želdinių apsauginių tvorelių, m</t>
  </si>
  <si>
    <t>Nutiesta lietaus nuotekų tinklų, m</t>
  </si>
  <si>
    <t xml:space="preserve">Laivų nuleidimo prieplaukos ir saugojimo aikštelės sklype šalia Liepų g. tilto įrengimas </t>
  </si>
  <si>
    <t>Įsigyta šachmatų figūrų, vnt.</t>
  </si>
  <si>
    <t>Įsigyta šunų ekskrementų šiukšliadėžių, vnt.</t>
  </si>
  <si>
    <t>20</t>
  </si>
  <si>
    <t>Parengta Danės upės ir krantinių valdymo modelio parinkimo galimybių studija, vnt.</t>
  </si>
  <si>
    <t>Atlikta įrengimo darbų. Užbaigtumas, proc.</t>
  </si>
  <si>
    <t>Suremontuota takų Joniškės ir Lėbartų kapinėse, tūkst. kv. m</t>
  </si>
  <si>
    <t>Įrengta lietaus nuotekų sistema Joniškės kapinėse. Užbaigtumas, proc.</t>
  </si>
  <si>
    <t>Valdų, kuriose tvarkomi želdiniai, skaičius</t>
  </si>
  <si>
    <t>Pašalinta netinkamų naudoti įrenginių, vnt.</t>
  </si>
  <si>
    <t>Atnaujinta (pagerinta) sporto aikštelių daugiabučių namų kiemuose ar viešosiose miesto erdvėse, vnt.</t>
  </si>
  <si>
    <t>Parengta techninių projektų, vnt.</t>
  </si>
  <si>
    <t>Projekto „Tu esi svarbus“ įgyvendinimas kartu su Klaipėdos apskrities vyriausiuoju policijos komisariatu</t>
  </si>
  <si>
    <t>Apšvietimo projektavimas ir įrengimas</t>
  </si>
  <si>
    <t>Daugiabučių namų kiemų infrastruktūros gerinimo priemonių plano įgyvendinimas</t>
  </si>
  <si>
    <t>SB(VB)</t>
  </si>
  <si>
    <t>SB(ES)</t>
  </si>
  <si>
    <t>Šlaitų stabilizavimo darbų Šiaurės prospekte atlikimas</t>
  </si>
  <si>
    <t>Interneto prieigų viešosiose vietose belaidžio ryšio (Wi-Fi) paslaugos teikimas</t>
  </si>
  <si>
    <t xml:space="preserve">Suteikta  belaidžio ryšio (Wi-Fi) paslauga Kruizinių laivų terminale ir Teatro aikštėje, vnt. </t>
  </si>
  <si>
    <t xml:space="preserve">Prižiūrima tūrinių ir kitų gėlinių, vnt. </t>
  </si>
  <si>
    <t>P6</t>
  </si>
  <si>
    <t>Automobilių stovėjimo aikštelių projektavimas, įrengimas ir atnaujinimas</t>
  </si>
  <si>
    <t xml:space="preserve">Pėsčiųjų tako sutvarkymas palei Taikos pr. nuo Sausio 15-osios iki Kauno g., paverčiant viešąja erdve, pritaikyta gyventojams bei smulkiajam ir vidutiniam verslui  </t>
  </si>
  <si>
    <t xml:space="preserve">Vaikų žaidimo aikštelių įrengimo ir atnaujinimo programos įgyvendinimas </t>
  </si>
  <si>
    <t>Įsigyta šviečiančių kalėdinių elementų apšvietimo atramoms, vnt.</t>
  </si>
  <si>
    <t>Įsigyta šviesos elementų (LED girliandų) fasadams ir medžiams puošti, tūkst. vnt</t>
  </si>
  <si>
    <t>Pakabinta ir eksploatuojama papuošimo elementų, vnt.</t>
  </si>
  <si>
    <t>Pakabinta ir eksploatuojama šviesos elementų (LED girliandų) fasadams ir medžiams puošti, tūkst. m</t>
  </si>
  <si>
    <t>Retransliuojamo vaizdo stebėjimo kamerų viešosiose vietose eksploatacija</t>
  </si>
  <si>
    <t>Projekto „Saugus kaimynas – saugus aš“ įgyvendinimas kartu su Klaipėdos apskrities vyriausiuoju policijos komisariatu</t>
  </si>
  <si>
    <t>Gaisrų prevencijos projekto „Gyvenkime saugiai“ įgyvendinimas kartu su Klaipėdos apskrities priešgaisrine gelbėjimo valdyba</t>
  </si>
  <si>
    <t xml:space="preserve">Privažiuojamojo kelio ties Baltijos pr. 109 lietaus nuotekų tinklų tiesimas
</t>
  </si>
  <si>
    <t>Parengtas naujų gertuvių įrengimo projektas, vnt.</t>
  </si>
  <si>
    <t>Atnaujintas vaizdo stebėjimo punktas, vnt.</t>
  </si>
  <si>
    <t xml:space="preserve">Prevencinio projekto „Stebima Klaipėda saugesnė“ įgyvendinimas kartu su Klaipėdos apskrities vyriausiuoju policijos komisariatu </t>
  </si>
  <si>
    <t>50</t>
  </si>
  <si>
    <t>32</t>
  </si>
  <si>
    <t>1300</t>
  </si>
  <si>
    <t>400</t>
  </si>
  <si>
    <t>Parengti inžinerinių tinklų, reikalingų tualetų Smiltynėje atnaujinimui ir eksploatavimui, techniniai darbo projektai, vnt.</t>
  </si>
  <si>
    <t>Demontuota antžeminių dalių ir įrengta konteinerinių tualetų su išgriebimo duobėmis buvusių stacionarių tualetų vietose: Smiltynės g. 33 (Naujoji perkėla)</t>
  </si>
  <si>
    <t>Konteinerinių tualetų įrengimas Klaipėdos miesto paplūdimiuose</t>
  </si>
  <si>
    <t>40</t>
  </si>
  <si>
    <t>Autonominių belaidžio (Wi-Fi) ryšio stotelių apsauga, priežiūra ir remontas, vnt.</t>
  </si>
  <si>
    <t xml:space="preserve">2020 m. </t>
  </si>
  <si>
    <t>Namų ūkių, kuriems skirtas dalinis finansavimas, skaičius</t>
  </si>
  <si>
    <t>Viešųjų erdvių ir gatvių apšvietimo įrengimas</t>
  </si>
  <si>
    <t xml:space="preserve">Prevencinio projekto „Policijos rėmėjas – aktyvus pagalbininkas kuriant saugesnę Lietuvą!“ įgyvendinimas kartu su Klaipėdos apskrities vyriausiuoju policijos komisariatu </t>
  </si>
  <si>
    <t xml:space="preserve">Dalinio finansavimo skyrimas namų ūkių prisijungimui prie centralizuotų geriamojo vandens tiekimo ir nuotekų tvarkymo infrastruktūros
</t>
  </si>
  <si>
    <t xml:space="preserve">Muzikinio teatro pastato Danės g. 19 aplinkos tvarkybos darbai už sklypo ribos </t>
  </si>
  <si>
    <t>P1</t>
  </si>
  <si>
    <t>Atnaujinta Poilsio parko vaikų žaidimo aikštelė, vnt.</t>
  </si>
  <si>
    <t>Elektros įvadų įrengimas paplūdimiuose</t>
  </si>
  <si>
    <t>Suremontuota lietaus nuotekų Lėbartų kapinėse, m</t>
  </si>
  <si>
    <t>12</t>
  </si>
  <si>
    <t>11</t>
  </si>
  <si>
    <t>13</t>
  </si>
  <si>
    <t>14</t>
  </si>
  <si>
    <t>15</t>
  </si>
  <si>
    <t>16</t>
  </si>
  <si>
    <t xml:space="preserve">Atlikta viešosios erdvės (47 247 m²) sutvarkymo darbų. Užbaigtumas, proc. </t>
  </si>
  <si>
    <t xml:space="preserve">Atlikta daugiabučių namų kiemų (146 000 m²) sutvarkymo darbų. Užbaigtumas, proc. </t>
  </si>
  <si>
    <t xml:space="preserve">Atlikta pėsčiųjų tako (41 010 m²) sutvarkymo darbų. Užbaigtumas, proc. </t>
  </si>
  <si>
    <t>Inžinerinio aprūpinimo sistemų tobulinimas:</t>
  </si>
  <si>
    <t xml:space="preserve">Daugiabučių gyvenamųjų namų kvartalų atnaujinimo ir priežiūros vykdymas: </t>
  </si>
  <si>
    <t>17</t>
  </si>
  <si>
    <t>18</t>
  </si>
  <si>
    <t>Atstatyta įspėjamųjų ženklų, stendų, vnt.</t>
  </si>
  <si>
    <t xml:space="preserve"> Projektų skyrius  </t>
  </si>
  <si>
    <t>Miesto tvarkymo  sk.</t>
  </si>
  <si>
    <t>Projektų skyrius</t>
  </si>
  <si>
    <t>Miesto tvarkymo skyrius</t>
  </si>
  <si>
    <t>Statybos ir infrastruktūros plėtros skyrius</t>
  </si>
  <si>
    <t xml:space="preserve">Miesto tvarkymo skyrius </t>
  </si>
  <si>
    <t xml:space="preserve"> Miesto tvarkymo skyrius</t>
  </si>
  <si>
    <t>Miesto paplūdimių priežiūros organizavimas</t>
  </si>
  <si>
    <t>19</t>
  </si>
  <si>
    <t>21</t>
  </si>
  <si>
    <t>22</t>
  </si>
  <si>
    <t>23</t>
  </si>
  <si>
    <t>Miesto teritorijų priežiūra</t>
  </si>
  <si>
    <t>P</t>
  </si>
  <si>
    <t>Įrengta apšvietimo atramų kiemuose, vnt.</t>
  </si>
  <si>
    <t>Meno kūrinio pano „Plaukikas“  įrengimas</t>
  </si>
  <si>
    <t>Iškelta nuotekų tinklų, proc.</t>
  </si>
  <si>
    <t>Miesto kapinių priežiūra ir  infrastruktūros atnaujinimas</t>
  </si>
  <si>
    <t>Atlikta fontano, esančio prie paminklo „Žvejys“, remonto darbų. Užbaigtumas, proc.</t>
  </si>
  <si>
    <t>Pasirašyta sutartis dėl dalyvavimo Mėlynosios vėliavos programoje pagrindiniame Smiltynės ir Antrosios Melnragės paplūdimiuose, vnt.</t>
  </si>
  <si>
    <t>Antrosios  Melnragės gelbėjimo stotyje esančios kavinės nuoma</t>
  </si>
  <si>
    <t>Atnaujintas konteinerinis tualetas Antrosios Melnragės g. 12, vnt.</t>
  </si>
  <si>
    <t xml:space="preserve">Įrengtas elektros įvadas Smiltynės g. 25 C, Klaipėda, vnt. </t>
  </si>
  <si>
    <t>Įsigyta ir įrengta inventoriaus, vnt.</t>
  </si>
  <si>
    <t>Informacinių technologijų skyrius</t>
  </si>
  <si>
    <t xml:space="preserve">Statinių administravimo skyrius </t>
  </si>
  <si>
    <t>2020-ųjų metų asignavimų planas*</t>
  </si>
  <si>
    <t xml:space="preserve">Vykdytojas </t>
  </si>
  <si>
    <t xml:space="preserve">Vyr. patarėjas K. Macijauskas </t>
  </si>
  <si>
    <t>Vyr. patarėjas G. Dovidaitis</t>
  </si>
  <si>
    <t>Vyr. patarėja I. Kubilienė</t>
  </si>
  <si>
    <t>SB(P)</t>
  </si>
  <si>
    <t>Įrengta buitinių nuotekų Smiltynėje. Užbaigtumas proc.</t>
  </si>
  <si>
    <t>Parengtas konteinerinio tualeto Kruizinių laivų terminale atnaujinimo projektas, vnt.</t>
  </si>
  <si>
    <t>Įsigyta elektros įrenginių prijungimo prie el.tinklo paslaugų, vnt.</t>
  </si>
  <si>
    <t>67</t>
  </si>
  <si>
    <t>Akmenos–Danės upės vidaus vandens kelio valdymas</t>
  </si>
  <si>
    <r>
      <t>2020–2023 M. KLAIPĖDOS MIESTO SAVIVALDYBĖS</t>
    </r>
    <r>
      <rPr>
        <b/>
        <sz val="12"/>
        <rFont val="Times New Roman"/>
        <family val="1"/>
        <charset val="186"/>
      </rPr>
      <t xml:space="preserve">        </t>
    </r>
  </si>
  <si>
    <t>2021-ųjų metų asignavimų projektas</t>
  </si>
  <si>
    <t>2022-ųjų metų asignavimų projektas</t>
  </si>
  <si>
    <t>2023-ųjų metų asignavimų projektas</t>
  </si>
  <si>
    <t>2021-ieji metai</t>
  </si>
  <si>
    <t>2020-ieji metai*</t>
  </si>
  <si>
    <t>2022-ieji metai</t>
  </si>
  <si>
    <t>2023-ieji metai</t>
  </si>
  <si>
    <t xml:space="preserve">Atlikta aikštės (8 066 m²) sutvarkymo darbų. Užbaigtumas, proc. </t>
  </si>
  <si>
    <t>Atlikta aplinkos sutvarkymo darbų. Užbaigtumas, proc.</t>
  </si>
  <si>
    <t>Klaipėdos miesto savivaldybės kultūros centro Žvejų rūmų teritorijos sutvarkymas</t>
  </si>
  <si>
    <t>Atlikta teritorijos sutvarkymo darbų. Užbaigtumas proc.</t>
  </si>
  <si>
    <t>Klaipėdos miesto Skulptūrų parko (senųjų miesto kapinių) sutvarkymas</t>
  </si>
  <si>
    <t>Atlikta parko sutvarkymo darbų. Užbaigtumas proc.</t>
  </si>
  <si>
    <t>Įrengta laivų nuleidimo prieplauka, vnt.</t>
  </si>
  <si>
    <t>Atraminių apsauginių įėjimo į paplūdimį sienučių remontas</t>
  </si>
  <si>
    <t>Kapitališkai suremontuota atraminių apsauginių sienučių Smiltynės paplūdimyje prie centrinės gelbėtojų stoties. Užbaigtumas, proc. (darbų pradžia 2022 m.)</t>
  </si>
  <si>
    <t xml:space="preserve">Įrengtas konteinerinis tualetas galinėje autobusų stotelėje Mogiliovo g. (2020 m. techninis projektas), vnt. </t>
  </si>
  <si>
    <t>Atlikta šlaitų stabilizavimo darbų Šiaurės pr. Užbaigtumas, proc.</t>
  </si>
  <si>
    <t>Take tarp Baltjos pr. 55 ir Baltijos pr. 63</t>
  </si>
  <si>
    <t>2021 m.</t>
  </si>
  <si>
    <t>Suremontuotas viešasis tualetas Lėbartų kapinėse. Užbaigtumas, proc.</t>
  </si>
  <si>
    <t>Atliktas Lėbartų kapinių centrinių vartų remontas. Užbaigtumas, proc.</t>
  </si>
  <si>
    <t>Įrengta betoninių trinkelių danga Lėbartų kapinėse, kv. m.</t>
  </si>
  <si>
    <t>Naujų kapinių įrengimas</t>
  </si>
  <si>
    <t xml:space="preserve">Įsigytas žemės sklypas,vnt. </t>
  </si>
  <si>
    <t>2021 metų asignavimų projektas</t>
  </si>
  <si>
    <t>24</t>
  </si>
  <si>
    <t>25</t>
  </si>
  <si>
    <t>26</t>
  </si>
  <si>
    <t xml:space="preserve">Atnaujintas konteinerinis tualetas Kruizinių laivų terminale, vnt. </t>
  </si>
  <si>
    <t>Pravažiuojamajame kelyje nuo J. Janonio g. 5 iki Pievų  tako g. 37</t>
  </si>
  <si>
    <t>2020 metų asignavimų planas*</t>
  </si>
  <si>
    <t>Atlikta atnaujinimo darbų. Užbaigtumas, proc.</t>
  </si>
  <si>
    <t>Įrengta fontanėlių gertuvių, vnt.</t>
  </si>
  <si>
    <t>30</t>
  </si>
  <si>
    <t>Eksploatuojama naujai įsigytų kamerų, vnt.</t>
  </si>
  <si>
    <t>Įsigyta kamerų, vnt.</t>
  </si>
  <si>
    <t>Vaizdo stebėjimo punkto įrengimas, vnt.</t>
  </si>
  <si>
    <t>Serverių atnaujinimas, vnt.</t>
  </si>
  <si>
    <t>1</t>
  </si>
  <si>
    <t>Viešasis tualetas Giruliuose pritaikytas neįgaliesiems. Užbaigtumas, proc.</t>
  </si>
  <si>
    <t>Atlikta Smiltynės gelbėjimo stoties fasado apdaila. Užbaigtumas, proc.</t>
  </si>
  <si>
    <t>Atlikti Smiltynės gelbėjimo stoties vidaus apdailos, santechnikos. Užbaigtumas, proc.</t>
  </si>
  <si>
    <t>1-oje Melnragėje įrengtos stacionarios gelbėjimo stotys. Užbaigtumas, proc.</t>
  </si>
  <si>
    <t>Giruliuose įrengtos stacionarios gelbėjimo stotys. Užbaigtumas, proc.</t>
  </si>
  <si>
    <t>Viešųjų tualetų ir jų infrastruktūros įrengimas Smiltynėje, vnt.</t>
  </si>
  <si>
    <t>Kadetų mokykla (Naikupės g. 25) 750 m</t>
  </si>
  <si>
    <t>Simonaitytės kalnas (300 m)</t>
  </si>
  <si>
    <t>Įvažiavimas į aikštelę Pietų tako g. 14-16 (50 m)</t>
  </si>
  <si>
    <t>Kaštonų g. (nuo Kretingos g. iki Valstiečių g. ) oro linija (135 m)</t>
  </si>
  <si>
    <t>Takas nuo Vaivos g. iki Audros g. (130 m)</t>
  </si>
  <si>
    <t>Takas nuo Turistų g. iki Pamario g. (230 m)</t>
  </si>
  <si>
    <t>Reikjaviko g. 13 (takas) (350 m)</t>
  </si>
  <si>
    <t>Praėjimas nuo Simonaitytės g. 29 link Simonaitytės g. 33 (80 m)</t>
  </si>
  <si>
    <t>Nėgių g. (220 m)</t>
  </si>
  <si>
    <t>Šlakių g. (120 m)</t>
  </si>
  <si>
    <t>Žiobrių g. (130 m)</t>
  </si>
  <si>
    <t>Skveras tarp H. Manto g. 38 ir 36 (200 m)</t>
  </si>
  <si>
    <t>Takai nuo I. Simonaitytės g. 6 iki 22 (500 m)</t>
  </si>
  <si>
    <t>Takas nuo Markučių g. 5 iki Vingio g. (220 m)</t>
  </si>
  <si>
    <t>Takas nuo Baltijos pr. 45 palei Baltijos gimnaziją (230 m)</t>
  </si>
  <si>
    <t>Laistų 1-oji, 2-oji, 3-oji g. (1200 m)</t>
  </si>
  <si>
    <t>2023 m.</t>
  </si>
  <si>
    <t>Takas nuo Simonaitytės kalno iki Aukuro gimnazijos (250 m)</t>
  </si>
  <si>
    <t>Takas nuo Paryžiaus Komunos g. 27 iki Šilutės pl. 2A (150 m)</t>
  </si>
  <si>
    <t>Kompleksiškai sutvarkyta sporto ir laisvalaikio zonų seniūnaitijose, vnt.</t>
  </si>
  <si>
    <t>Suformuotos kapavietės, vnt.</t>
  </si>
  <si>
    <t xml:space="preserve">Projekto parengimas,vnt. </t>
  </si>
  <si>
    <t>Gaisrų prevencijos projekto „Išmok naudotis ugnies gesintuvu“ įgyvendinimas kartu su Klaipėdos apskrities priešgaisrine gelbėjimo valdyba</t>
  </si>
  <si>
    <t>Gaisrų prevencijos projekto „Saugumą kuriame kartu“ įgyvendinimas kartu su Klaipėdos apskrities priešgaisrine gelbėjimo valdyba</t>
  </si>
  <si>
    <t>Projekto "Vaikų saugumas - svarbiausia" įgyvendinimas kartu su Klaipėdos apskrities vyriausiuoju policijos komisariatu</t>
  </si>
  <si>
    <t xml:space="preserve">Atlikta aikštės ir jos prieigų (11 215 m²) sutvarkymo darbų ( I, II, IV etapai). Užbaigtumas, proc.  </t>
  </si>
  <si>
    <t xml:space="preserve">Atlikta aikštės ir jos prieigų (11 215 m²) sutvarkymo darbų ( III, V, VI, VII, VIII etapai). Užbaigtumas, proc.  </t>
  </si>
  <si>
    <t>Architektūrinis konkursas, vnt.</t>
  </si>
  <si>
    <t xml:space="preserve">Danės skvero su inžineriniais tinklais (tarp Naujojo Uosto g. ir Senosios perkėlos) rekonstrukcija </t>
  </si>
  <si>
    <t>Atlikta infrastruktūros įrengimo darbų. Užbaigtumas, proc.</t>
  </si>
  <si>
    <t>Įsigytas drenažo siurblys, vnt.</t>
  </si>
  <si>
    <t>* Pagal Klaipėdos miesto savivaldybės tarybos 2020-10-29 sprendimą Nr. T2-231</t>
  </si>
  <si>
    <t>Duomenų saugyklos įsigijimas, vnt.</t>
  </si>
  <si>
    <t>Praėjimas nuo Veterinarijos g. iki Neringos sodų (110 m)</t>
  </si>
  <si>
    <t>Vyturio g.nuo Laukininkų g. 11 iki Vyturio g. 23 (300 m)</t>
  </si>
  <si>
    <t>Pravažiavimas nuo Daukanto g. 13A iki Pievų tako g. 8 (200 m.)</t>
  </si>
  <si>
    <t>3</t>
  </si>
  <si>
    <t>SB(VR)''</t>
  </si>
  <si>
    <t xml:space="preserve"> Skvero ties prekybos centru „Maxima“ (Šilutės pl. 40A) ir pėsčiųjų ir dviračių tako nuo Šilutės pl. iki Taikos pr. atnaujinimas (senas pavadinimas -Teritorijos Pempininkų tako gale (ties Debreceno g.18) sutvarkymas)</t>
  </si>
  <si>
    <t>I-as etapas (požeminio garažo statyba)</t>
  </si>
  <si>
    <t>II-as etapas (aikštės sutvarkymas)</t>
  </si>
  <si>
    <t>Kt</t>
  </si>
  <si>
    <t>2022 m.</t>
  </si>
  <si>
    <t>Karlskronos aikštė</t>
  </si>
  <si>
    <t>Takas nuo Kretingos g. iki Geležinkelio g. 2A</t>
  </si>
  <si>
    <t>Praėjimo takas nuo Taikos pr. 8 iki Sausio 15-osios 2A</t>
  </si>
  <si>
    <t>I. Simonaitytės g. kalva</t>
  </si>
  <si>
    <t>Įvaža į aikštelę Pievų Tako g. 14-16</t>
  </si>
  <si>
    <t>Kaštonų g. (nuo Kretingos g. iki Valstiečių g.)</t>
  </si>
  <si>
    <t>Praėjimo takas nuo Veterinarijos g. iki Neringos sodų</t>
  </si>
  <si>
    <t>SB(VBL)</t>
  </si>
  <si>
    <t>SB(ESL)</t>
  </si>
  <si>
    <r>
      <t xml:space="preserve">Europos Sąjungos finansinės paramos lėšų likučio metų pradžioje lėšos </t>
    </r>
    <r>
      <rPr>
        <b/>
        <sz val="10"/>
        <rFont val="Times New Roman"/>
        <family val="1"/>
        <charset val="186"/>
      </rPr>
      <t>SB(ESL)</t>
    </r>
  </si>
  <si>
    <r>
      <t xml:space="preserve">Valstybės biudžeto specialiosios tikslinės dotacijos lėšų likutis </t>
    </r>
    <r>
      <rPr>
        <b/>
        <sz val="10"/>
        <rFont val="Times New Roman"/>
        <family val="1"/>
        <charset val="186"/>
      </rPr>
      <t>SB(VBL)</t>
    </r>
  </si>
  <si>
    <r>
      <t xml:space="preserve">Europos Sąjungos finansinės paramos lėšos, kurios įtrauktos į savivaldybės biudžetą </t>
    </r>
    <r>
      <rPr>
        <b/>
        <sz val="10"/>
        <rFont val="Times New Roman"/>
        <family val="1"/>
        <charset val="186"/>
      </rPr>
      <t>SB(ES)</t>
    </r>
  </si>
  <si>
    <t>Urbanistikos ir architektūros skyrius</t>
  </si>
  <si>
    <t>70</t>
  </si>
  <si>
    <t>Suremontuota raudonų plytų siena H.Manto gatvėje, m</t>
  </si>
  <si>
    <t>268</t>
  </si>
  <si>
    <t xml:space="preserve">Dalyvaujamojo biudžeto iniciatyvų įgyvendinimas </t>
  </si>
  <si>
    <t>Įgyvendinama projektų, vnt.</t>
  </si>
  <si>
    <t>SB(SPI)</t>
  </si>
  <si>
    <t>Kompensacijų mokėjimas infrastruktūros plėtros iniciatoriams už patirtas infrastruktūros plėtros sutartyje nustatytas savivaldybės infrastruktūros plėtros išlaidas</t>
  </si>
  <si>
    <t>Išmokėta kompensacijų pagal sudarytas infrastruktūros plėtros sutartis, proc.</t>
  </si>
  <si>
    <r>
      <t xml:space="preserve">Pajamų įmokų infrastruktūros plėtrai lėšos </t>
    </r>
    <r>
      <rPr>
        <b/>
        <sz val="10"/>
        <rFont val="Times New Roman"/>
        <family val="1"/>
        <charset val="186"/>
      </rPr>
      <t>SB(SPI)</t>
    </r>
  </si>
  <si>
    <t>SB(K)</t>
  </si>
  <si>
    <r>
      <t xml:space="preserve">Valstybės biudžeto kompensacija 2020 m. negautoms pajamoms padengti </t>
    </r>
    <r>
      <rPr>
        <b/>
        <sz val="10"/>
        <rFont val="Times New Roman"/>
        <family val="1"/>
        <charset val="186"/>
      </rPr>
      <t>SB(K)</t>
    </r>
  </si>
  <si>
    <t>Urbanistikos ir architektūros  skyrius    Statybos ir infrastruktūros plėtros skyrius</t>
  </si>
  <si>
    <r>
      <t>2021–2023 M. KLAIPĖDOS MIESTO SAVIVALDYBĖS</t>
    </r>
    <r>
      <rPr>
        <b/>
        <sz val="12"/>
        <rFont val="Times New Roman"/>
        <family val="1"/>
        <charset val="186"/>
      </rPr>
      <t xml:space="preserve">        </t>
    </r>
  </si>
  <si>
    <t>priedas</t>
  </si>
  <si>
    <t>SB'</t>
  </si>
  <si>
    <t>SB(L)'</t>
  </si>
  <si>
    <t>SB(P)'</t>
  </si>
  <si>
    <t>SB(K)'</t>
  </si>
  <si>
    <t>SB(VB)'</t>
  </si>
  <si>
    <t>SB(VBL)'</t>
  </si>
  <si>
    <t>SB(ES)'</t>
  </si>
  <si>
    <t>SB(ESL)'</t>
  </si>
  <si>
    <t>ES'</t>
  </si>
  <si>
    <t>LRVB'</t>
  </si>
  <si>
    <t>Kt'</t>
  </si>
  <si>
    <t>SB(SP)'</t>
  </si>
  <si>
    <t>SB(SPL)'</t>
  </si>
  <si>
    <t>Viešųjų erdvių ir gatvių apšvietimo įrengimas:</t>
  </si>
  <si>
    <t>SB(SPI)'</t>
  </si>
  <si>
    <t>Įrengta apšvietimo infrastruktūros kiemuose, tūkst. m</t>
  </si>
  <si>
    <t>2022 metų asignavimų projektas</t>
  </si>
  <si>
    <t>2023 metų asignavimų projektas</t>
  </si>
  <si>
    <t>P1       I</t>
  </si>
  <si>
    <t>P1     I</t>
  </si>
  <si>
    <t>P         I</t>
  </si>
  <si>
    <t>P      I</t>
  </si>
  <si>
    <t xml:space="preserve">Klaipėdos miesto savivaldybės miesto infrastruktūros objektų priežiūros ir modernizavimo programos (Nr. 07) aprašymo </t>
  </si>
  <si>
    <t>I etapas (požeminio garažo statyba)</t>
  </si>
  <si>
    <t>II etapas (aikštės sutvarkymas)</t>
  </si>
  <si>
    <t xml:space="preserve">Atlikta aikštės ir jos prieigų (11 215 m²) sutvarkymo darbų (III, V, VI, VII, VIII etapai). Užbaigtumas, proc.  </t>
  </si>
  <si>
    <t xml:space="preserve">Danės skvero su inžineriniais tinklais (tarp Naujosios Uosto g. ir Senosios perkėlos) rekonstrukcija </t>
  </si>
  <si>
    <t>Suremontuota raudonų plytų siena H. Manto gatvėje, m</t>
  </si>
  <si>
    <t>Meno kūrinio pano „Plaukikas“ įrengimas</t>
  </si>
  <si>
    <t>Atlikta vandens maudyklų tyrimų, skaičius</t>
  </si>
  <si>
    <t>Antrosios Melnragės gelbėjimo stotyje esančios kavinės nuoma</t>
  </si>
  <si>
    <t>Melnragėje įrengtos stacionarios gelbėjimo stotys. Užbaigtumas, proc.</t>
  </si>
  <si>
    <t>Viešasis tualetas Giruliuose, pritaikytas neįgaliesiems. Užbaigtumas, proc.</t>
  </si>
  <si>
    <t>Atlikti Smiltynės gelbėjimo stoties vidaus apdailos, santechnikos darbai. Užbaigtumas, proc.</t>
  </si>
  <si>
    <t xml:space="preserve">Įrengtas elektros įvadas Smiltynės g. 25C, Klaipėda, vnt. </t>
  </si>
  <si>
    <t>Suvartota elektros energijos, tūkst. MWh</t>
  </si>
  <si>
    <t>Praėjimo kelias nuo I. Simonaitytės g. 29 link I. Simonaitytės g. 33 (80 m)</t>
  </si>
  <si>
    <t>I. Simonaitytės g. kalva (300 m)</t>
  </si>
  <si>
    <t>Takas tarp Baltjos pr. 55 ir Baltijos pr. 63</t>
  </si>
  <si>
    <t>Įvažiuojamasis kelias į aikštelę Pievų Tako g. 14–16 (50 m)</t>
  </si>
  <si>
    <t>Kaštonų g. (nuo Kretingos g. iki Valstiečių g.) oro linija (135 m)</t>
  </si>
  <si>
    <t>Praėjimo takas nuo Veterinarijos g. iki „Neringos“ sodų (110 m)</t>
  </si>
  <si>
    <t>Takas nuo I. Simonaitytės g. kalvos iki „Aukuro“ gimnazijos (250 m)</t>
  </si>
  <si>
    <t>Vyturio g. nuo Laukininkų g. 11 iki Vyturio g. 23 (300 m)</t>
  </si>
  <si>
    <t>Pravažiuojamasis kelias nuo S. Daukanto g. 13A iki Pievų Tako g. 8 (200 m.)</t>
  </si>
  <si>
    <t xml:space="preserve">Išvežta mirusiųjų iš įvykio vietos, skaičius </t>
  </si>
  <si>
    <t xml:space="preserve">Prižiūrima kapinių (įskaitant senąsias kapinaites), vnt. </t>
  </si>
  <si>
    <t>Įrengta betoninių trinkelių danga Lėbartų kapinėse, kv. m</t>
  </si>
  <si>
    <t>Želdinių tvarkymas</t>
  </si>
  <si>
    <t>Prižiūrima vaikų žaidimų aikštelių viešosiose erdvėse, vnt.</t>
  </si>
  <si>
    <t>Įrengta vaikų žaidimų aikštelių viešosiose erdvėse, vnt.</t>
  </si>
  <si>
    <t>Projekto „Vaikų saugumas – svarbiausia“ įgyvendinimas kartu su Klaipėdos apskrities vyriausiuoju policijos komisariatu</t>
  </si>
  <si>
    <t xml:space="preserve">Aiškinamojo rašto 3 priedas </t>
  </si>
  <si>
    <t>2021-ųjų metų asignavimų planas</t>
  </si>
  <si>
    <t>2022-ųjų metų asignavimų planas</t>
  </si>
  <si>
    <t>2023-ųjų metų asignavimų planas</t>
  </si>
  <si>
    <t>planas</t>
  </si>
  <si>
    <t>Siūlomas keisti 2021-ųjų metų asignavimų planas</t>
  </si>
  <si>
    <t>Skirtumas</t>
  </si>
  <si>
    <t>Siūlomas keisti 2022-ųjų metų asignavimų planas</t>
  </si>
  <si>
    <t>Siūlomas keisti 2023-ųjų metų asignavimų planas</t>
  </si>
  <si>
    <t>Siūlomas keisti</t>
  </si>
  <si>
    <t>Keitimo priežastis</t>
  </si>
  <si>
    <t>Parengta projektų,vnt.</t>
  </si>
  <si>
    <t>Atlikta darbų. Užbaigtumas proc.</t>
  </si>
  <si>
    <t>Įsigytas traktorius, vnt.</t>
  </si>
  <si>
    <t>Parengtas projektas, vnt.</t>
  </si>
  <si>
    <t>Nenaudojamų automobilių nuvežimas ir saugojimas, pripažįstant juos bešeimininkiu turtu</t>
  </si>
  <si>
    <t>SB(VR)</t>
  </si>
  <si>
    <t>SB(VR)'</t>
  </si>
  <si>
    <t>Nuolatinių darbuotojų etatų skaičius</t>
  </si>
  <si>
    <t>Sezoninių darbuotojų etatų skaičius</t>
  </si>
  <si>
    <t xml:space="preserve">Nuvežtų ir saugomų nenaudojamų automobilių skaičius, vnt.  </t>
  </si>
  <si>
    <t>Eksploatuojamos belaidžio ryšio (Wi-Fi) stotelės įrengtos šalia kamerų, vnt.</t>
  </si>
  <si>
    <r>
      <t>Nuvežtų ir saugomų</t>
    </r>
    <r>
      <rPr>
        <b/>
        <sz val="10"/>
        <rFont val="Times New Roman"/>
        <family val="1"/>
        <charset val="186"/>
      </rPr>
      <t xml:space="preserve"> </t>
    </r>
    <r>
      <rPr>
        <sz val="10"/>
        <rFont val="Times New Roman"/>
        <family val="1"/>
        <charset val="186"/>
      </rPr>
      <t xml:space="preserve">nenaudojamų automobilių skaičius, vnt. </t>
    </r>
  </si>
  <si>
    <t>Atlikti Joniškės tvoros sutvirtinimo darbai. Užbaigtumas proc.</t>
  </si>
  <si>
    <t>Lyginamasis variantas</t>
  </si>
  <si>
    <t>Įsigytas Joniškės kapinių automatinis užtvaras, vnt.</t>
  </si>
  <si>
    <t>Įsigytas greideris, vnt.</t>
  </si>
  <si>
    <t>Atliktas Smiltynės gelbėjimo stoties avarinio stogo remontas. Užbaigtumas, proc.</t>
  </si>
  <si>
    <r>
      <rPr>
        <b/>
        <sz val="10"/>
        <rFont val="Times New Roman"/>
        <family val="1"/>
        <charset val="186"/>
      </rPr>
      <t>Mažinama</t>
    </r>
    <r>
      <rPr>
        <sz val="10"/>
        <rFont val="Times New Roman"/>
        <family val="1"/>
        <charset val="186"/>
      </rPr>
      <t xml:space="preserve"> finansavimo apimtis </t>
    </r>
    <r>
      <rPr>
        <b/>
        <sz val="10"/>
        <rFont val="Times New Roman"/>
        <family val="1"/>
        <charset val="186"/>
      </rPr>
      <t>60,4 tūkst. Eur</t>
    </r>
    <r>
      <rPr>
        <sz val="10"/>
        <rFont val="Times New Roman"/>
        <family val="1"/>
        <charset val="186"/>
      </rPr>
      <t xml:space="preserve"> (SB), nes lėšos liko po įvarių pirkimų, taip pat nebuvo gauta pasiūlymų  šiukšliadėžių senamiesčiui ir suolų pirkimams. </t>
    </r>
  </si>
  <si>
    <r>
      <rPr>
        <b/>
        <sz val="10"/>
        <rFont val="Times New Roman"/>
        <family val="1"/>
        <charset val="186"/>
      </rPr>
      <t xml:space="preserve">Mažinama </t>
    </r>
    <r>
      <rPr>
        <sz val="10"/>
        <rFont val="Times New Roman"/>
        <family val="1"/>
        <charset val="186"/>
      </rPr>
      <t xml:space="preserve">finansavimo apimtis </t>
    </r>
    <r>
      <rPr>
        <b/>
        <sz val="10"/>
        <rFont val="Times New Roman"/>
        <family val="1"/>
        <charset val="186"/>
      </rPr>
      <t>100,0 tūkst. Eur</t>
    </r>
    <r>
      <rPr>
        <sz val="10"/>
        <rFont val="Times New Roman"/>
        <family val="1"/>
        <charset val="186"/>
      </rPr>
      <t xml:space="preserve"> (SB), nes šiais metais inciatyvos nebus įgyvendinamos. </t>
    </r>
    <r>
      <rPr>
        <b/>
        <sz val="10"/>
        <rFont val="Times New Roman"/>
        <family val="1"/>
        <charset val="186"/>
      </rPr>
      <t>Didinama</t>
    </r>
    <r>
      <rPr>
        <sz val="10"/>
        <rFont val="Times New Roman"/>
        <family val="1"/>
        <charset val="186"/>
      </rPr>
      <t xml:space="preserve"> finansavimo apimtis </t>
    </r>
    <r>
      <rPr>
        <b/>
        <sz val="10"/>
        <rFont val="Times New Roman"/>
        <family val="1"/>
        <charset val="186"/>
      </rPr>
      <t>2022 m.</t>
    </r>
    <r>
      <rPr>
        <sz val="10"/>
        <rFont val="Times New Roman"/>
        <family val="1"/>
        <charset val="186"/>
      </rPr>
      <t xml:space="preserve"> </t>
    </r>
    <r>
      <rPr>
        <b/>
        <sz val="10"/>
        <rFont val="Times New Roman"/>
        <family val="1"/>
        <charset val="186"/>
      </rPr>
      <t>50,0 tūkst. Eur</t>
    </r>
    <r>
      <rPr>
        <sz val="10"/>
        <rFont val="Times New Roman"/>
        <family val="1"/>
        <charset val="186"/>
      </rPr>
      <t xml:space="preserve"> (SB) planuojama įgyvendinti tris iniciatyvas. Analogiškai didinama finansavimo apimtis ir 2023 m.</t>
    </r>
  </si>
  <si>
    <t xml:space="preserve">Priemonė papildoma naujais rodikliais:
1. „Įsigytas greideris, vnt.“ – bus įsigytas ratinio traktoriaus greideris (4,2 tūkst. Eur), kuris reikalingas vykdyti įstaigai pavestus Melnragės–Girulių, Smiltynės paplūdimių ir šalia esančių teritorijų smėlio–sniego valymo  darbus. Šiuo metu turimas senas greideris sugedęs. Įrenginį remontuoti ekonomiškai nenaudinga. 
2. „Atliktas Smiltynės gelbėjimo stoties avarinio stogo remontas. Užbaigtumas, proc.“ – (9,4 tūkst. Eur), nes bus atliktas vandenį praleidžiančio avarinio stogo remontas. Pirkimai bus vykdomi iš sutaupytų lėšų darbo užmokesčiui.
</t>
  </si>
  <si>
    <r>
      <rPr>
        <b/>
        <sz val="10"/>
        <rFont val="Times New Roman"/>
        <family val="1"/>
        <charset val="186"/>
      </rPr>
      <t>Mažinama</t>
    </r>
    <r>
      <rPr>
        <sz val="10"/>
        <rFont val="Times New Roman"/>
        <family val="1"/>
        <charset val="186"/>
      </rPr>
      <t xml:space="preserve"> finansavimo apimtis </t>
    </r>
    <r>
      <rPr>
        <b/>
        <sz val="10"/>
        <rFont val="Times New Roman"/>
        <family val="1"/>
        <charset val="186"/>
      </rPr>
      <t xml:space="preserve">2021 m.  91,4 tūkst. Eur </t>
    </r>
    <r>
      <rPr>
        <sz val="10"/>
        <rFont val="Times New Roman"/>
        <family val="1"/>
        <charset val="186"/>
      </rPr>
      <t xml:space="preserve">(SB), nes  užtruko projekto rengimas, šiuo metu rengiamas papildomas aprašas, darbų šiais metais nespės atlikti. </t>
    </r>
    <r>
      <rPr>
        <b/>
        <sz val="10"/>
        <rFont val="Times New Roman"/>
        <family val="1"/>
        <charset val="186"/>
      </rPr>
      <t>Didinama</t>
    </r>
    <r>
      <rPr>
        <sz val="10"/>
        <rFont val="Times New Roman"/>
        <family val="1"/>
        <charset val="186"/>
      </rPr>
      <t xml:space="preserve"> finansavimo apimtis </t>
    </r>
    <r>
      <rPr>
        <b/>
        <sz val="10"/>
        <rFont val="Times New Roman"/>
        <family val="1"/>
        <charset val="186"/>
      </rPr>
      <t xml:space="preserve">2022 m. </t>
    </r>
    <r>
      <rPr>
        <sz val="10"/>
        <rFont val="Times New Roman"/>
        <family val="1"/>
        <charset val="186"/>
      </rPr>
      <t xml:space="preserve">225,4 tūkst. Eur (SB) ir 94,6 tūkst. Eur (SB(L)), nes darbams atlikti reikės daugiau lėšų nei planuota. </t>
    </r>
  </si>
  <si>
    <r>
      <rPr>
        <b/>
        <sz val="10"/>
        <rFont val="Times New Roman"/>
        <family val="1"/>
        <charset val="186"/>
      </rPr>
      <t>Didinama</t>
    </r>
    <r>
      <rPr>
        <sz val="10"/>
        <rFont val="Times New Roman"/>
        <family val="1"/>
        <charset val="186"/>
      </rPr>
      <t xml:space="preserve"> finansavimo apimtis </t>
    </r>
    <r>
      <rPr>
        <b/>
        <sz val="10"/>
        <rFont val="Times New Roman"/>
        <family val="1"/>
        <charset val="186"/>
      </rPr>
      <t>12,4 tūkst. Eur</t>
    </r>
    <r>
      <rPr>
        <sz val="10"/>
        <rFont val="Times New Roman"/>
        <family val="1"/>
        <charset val="186"/>
      </rPr>
      <t xml:space="preserve"> (SB), nes pakartotinai trečią kartą vykdant  Karlskronos aikštės apšvietimo įrengimo darbų mažos vertės pirkimą, gautas tik vieno tiekėjo pasiūlymas ir nustatyta, kad vienintelio tiekėjo pasiūlyta kaina viršija suplanuotas pirkimui lėšas. </t>
    </r>
  </si>
  <si>
    <r>
      <rPr>
        <b/>
        <sz val="10"/>
        <rFont val="Times New Roman"/>
        <family val="1"/>
        <charset val="186"/>
      </rPr>
      <t>Mažinama</t>
    </r>
    <r>
      <rPr>
        <sz val="10"/>
        <rFont val="Times New Roman"/>
        <family val="1"/>
        <charset val="186"/>
      </rPr>
      <t xml:space="preserve"> finansavimo apimtis </t>
    </r>
    <r>
      <rPr>
        <b/>
        <sz val="10"/>
        <rFont val="Times New Roman"/>
        <family val="1"/>
        <charset val="186"/>
      </rPr>
      <t xml:space="preserve">2021 m.  117,5 tūkst. Eur </t>
    </r>
    <r>
      <rPr>
        <sz val="10"/>
        <rFont val="Times New Roman"/>
        <family val="1"/>
        <charset val="186"/>
      </rPr>
      <t xml:space="preserve">(iš jų: 50,0 tūkst. Eur SB ir 67,5 tūkst. Eur SB(L)), tualeto pirkimo procedūros kartojamos trečią kartą, net ir pasirašius sutartį šiais metais, nespės įrengti. Lėšos bus reikalingos kitais metais, nes iki metų galo bus parengtas projektas, todėl </t>
    </r>
    <r>
      <rPr>
        <b/>
        <sz val="10"/>
        <rFont val="Times New Roman"/>
        <family val="1"/>
        <charset val="186"/>
      </rPr>
      <t>didinama</t>
    </r>
    <r>
      <rPr>
        <sz val="10"/>
        <rFont val="Times New Roman"/>
        <family val="1"/>
        <charset val="186"/>
      </rPr>
      <t xml:space="preserve"> finansavimo apimtis </t>
    </r>
    <r>
      <rPr>
        <b/>
        <sz val="10"/>
        <rFont val="Times New Roman"/>
        <family val="1"/>
        <charset val="186"/>
      </rPr>
      <t>2022 m.</t>
    </r>
    <r>
      <rPr>
        <sz val="10"/>
        <rFont val="Times New Roman"/>
        <family val="1"/>
        <charset val="186"/>
      </rPr>
      <t xml:space="preserve"> – 177,5 tūkst. Eur SB(L).</t>
    </r>
  </si>
  <si>
    <r>
      <rPr>
        <b/>
        <sz val="10"/>
        <rFont val="Times New Roman"/>
        <family val="1"/>
        <charset val="186"/>
      </rPr>
      <t>Mažinama</t>
    </r>
    <r>
      <rPr>
        <sz val="10"/>
        <rFont val="Times New Roman"/>
        <family val="1"/>
        <charset val="186"/>
      </rPr>
      <t xml:space="preserve"> finansavimo apimtis </t>
    </r>
    <r>
      <rPr>
        <b/>
        <sz val="10"/>
        <rFont val="Times New Roman"/>
        <family val="1"/>
        <charset val="186"/>
      </rPr>
      <t>2021 m.  101,3 tūkst. Eur</t>
    </r>
    <r>
      <rPr>
        <sz val="10"/>
        <rFont val="Times New Roman"/>
        <family val="1"/>
        <charset val="186"/>
      </rPr>
      <t xml:space="preserve"> (iš jų: 92,0 tūkst. Eur SB ir 9,3 tūkst. Eur SB(L)), nes šiuo metu vyksta viešųjų pirkimų procedūros darbų pirkimui, jei ir bus nupirkti darbai, tačiau šiemet nespės atlikti.  Lėšos bus reikalingos kitais metais, todėl </t>
    </r>
    <r>
      <rPr>
        <b/>
        <sz val="10"/>
        <rFont val="Times New Roman"/>
        <family val="1"/>
        <charset val="186"/>
      </rPr>
      <t>didinama</t>
    </r>
    <r>
      <rPr>
        <sz val="10"/>
        <rFont val="Times New Roman"/>
        <family val="1"/>
        <charset val="186"/>
      </rPr>
      <t xml:space="preserve"> finansavimo apimtis </t>
    </r>
    <r>
      <rPr>
        <b/>
        <sz val="10"/>
        <rFont val="Times New Roman"/>
        <family val="1"/>
        <charset val="186"/>
      </rPr>
      <t xml:space="preserve">2022 m. – </t>
    </r>
    <r>
      <rPr>
        <sz val="10"/>
        <rFont val="Times New Roman"/>
        <family val="1"/>
        <charset val="186"/>
      </rPr>
      <t>8,4 tūkst. Eur SB, 102,0 tūkst. Eur SB(L).</t>
    </r>
  </si>
  <si>
    <r>
      <rPr>
        <b/>
        <sz val="10"/>
        <rFont val="Times New Roman"/>
        <family val="1"/>
        <charset val="186"/>
      </rPr>
      <t>Mažinama</t>
    </r>
    <r>
      <rPr>
        <sz val="10"/>
        <rFont val="Times New Roman"/>
        <family val="1"/>
        <charset val="186"/>
      </rPr>
      <t xml:space="preserve"> finansavimo apimtis</t>
    </r>
    <r>
      <rPr>
        <b/>
        <sz val="10"/>
        <rFont val="Times New Roman"/>
        <family val="1"/>
        <charset val="186"/>
      </rPr>
      <t xml:space="preserve"> 2021 m.  180,0 tūkst. Eur </t>
    </r>
    <r>
      <rPr>
        <sz val="10"/>
        <rFont val="Times New Roman"/>
        <family val="1"/>
        <charset val="186"/>
      </rPr>
      <t xml:space="preserve">(SB), nes trečią kartą kartojamos viešųjų pirkimų procedūros, jei sutartis ir bus pasirašyta šiais metais, tačiau nespės pastatyti konteinerinio tualeto. Lėšos bus reikalingos kitais metais, todėl </t>
    </r>
    <r>
      <rPr>
        <b/>
        <sz val="10"/>
        <rFont val="Times New Roman"/>
        <family val="1"/>
        <charset val="186"/>
      </rPr>
      <t xml:space="preserve">didinama </t>
    </r>
    <r>
      <rPr>
        <sz val="10"/>
        <rFont val="Times New Roman"/>
        <family val="1"/>
        <charset val="186"/>
      </rPr>
      <t xml:space="preserve">finansavimo apimtis </t>
    </r>
    <r>
      <rPr>
        <b/>
        <sz val="10"/>
        <rFont val="Times New Roman"/>
        <family val="1"/>
        <charset val="186"/>
      </rPr>
      <t>2022 m.</t>
    </r>
    <r>
      <rPr>
        <sz val="10"/>
        <rFont val="Times New Roman"/>
        <family val="1"/>
        <charset val="186"/>
      </rPr>
      <t xml:space="preserve"> - 180,0 tūkst. Eur (SB(L)).</t>
    </r>
  </si>
  <si>
    <r>
      <rPr>
        <b/>
        <sz val="10"/>
        <rFont val="Times New Roman"/>
        <family val="1"/>
        <charset val="186"/>
      </rPr>
      <t>Mažinama</t>
    </r>
    <r>
      <rPr>
        <sz val="10"/>
        <rFont val="Times New Roman"/>
        <family val="1"/>
        <charset val="186"/>
      </rPr>
      <t xml:space="preserve"> finansavimo apimtis </t>
    </r>
    <r>
      <rPr>
        <b/>
        <sz val="10"/>
        <rFont val="Times New Roman"/>
        <family val="1"/>
        <charset val="186"/>
      </rPr>
      <t>88,5 tūkst. Eur (SB)</t>
    </r>
    <r>
      <rPr>
        <sz val="10"/>
        <rFont val="Times New Roman"/>
        <family val="1"/>
        <charset val="186"/>
      </rPr>
      <t xml:space="preserve">, nes šiais metais nepavyko nupirkti viešojo tualeto Lėbartų kapinėse remonto darbų. Tris kartus skelbtas pirkimas, tačiau negauta pasiūlymų. </t>
    </r>
  </si>
  <si>
    <r>
      <rPr>
        <b/>
        <sz val="10"/>
        <rFont val="Times New Roman"/>
        <family val="1"/>
        <charset val="186"/>
      </rPr>
      <t xml:space="preserve">Mažinama </t>
    </r>
    <r>
      <rPr>
        <sz val="10"/>
        <rFont val="Times New Roman"/>
        <family val="1"/>
      </rPr>
      <t xml:space="preserve">finansavimo apimtis </t>
    </r>
    <r>
      <rPr>
        <b/>
        <sz val="10"/>
        <rFont val="Times New Roman"/>
        <family val="1"/>
        <charset val="186"/>
      </rPr>
      <t>82,3 tūkst. Eur</t>
    </r>
    <r>
      <rPr>
        <sz val="10"/>
        <rFont val="Times New Roman"/>
        <family val="1"/>
      </rPr>
      <t xml:space="preserve"> (SB), nes pigiau nei planuota nupirkti darbai, taip pat užsitęsė bešeimininkių tinklų registravimo procedūros, be kurių negalima pradėti darbų. </t>
    </r>
  </si>
  <si>
    <r>
      <rPr>
        <b/>
        <sz val="10"/>
        <rFont val="Times New Roman"/>
        <family val="1"/>
        <charset val="186"/>
      </rPr>
      <t>Mažinama</t>
    </r>
    <r>
      <rPr>
        <sz val="10"/>
        <rFont val="Times New Roman"/>
        <family val="1"/>
        <charset val="186"/>
      </rPr>
      <t xml:space="preserve"> finansavimo apimtis</t>
    </r>
    <r>
      <rPr>
        <b/>
        <sz val="10"/>
        <rFont val="Times New Roman"/>
        <family val="1"/>
        <charset val="186"/>
      </rPr>
      <t xml:space="preserve"> 2021 m. 153,4 tūkst. Eur</t>
    </r>
    <r>
      <rPr>
        <sz val="10"/>
        <rFont val="Times New Roman"/>
        <family val="1"/>
        <charset val="186"/>
      </rPr>
      <t xml:space="preserve"> (SB), nes rangovas informavo, kad darbų šiemet atliks mažiau nei planuota. Reikėjo papildomai nupirkti griovimo aprašą ir tai trukdė pradėti darbus laiku, todėl finansavimo apimtis </t>
    </r>
    <r>
      <rPr>
        <b/>
        <sz val="10"/>
        <rFont val="Times New Roman"/>
        <family val="1"/>
        <charset val="186"/>
      </rPr>
      <t xml:space="preserve">didinama 2022 m. - 140,7 tūkst. Eur </t>
    </r>
    <r>
      <rPr>
        <sz val="10"/>
        <rFont val="Times New Roman"/>
        <family val="1"/>
        <charset val="186"/>
      </rPr>
      <t xml:space="preserve">(SB). </t>
    </r>
    <r>
      <rPr>
        <b/>
        <sz val="10"/>
        <rFont val="Times New Roman"/>
        <family val="1"/>
        <charset val="186"/>
      </rPr>
      <t xml:space="preserve">2023 m. mažinama </t>
    </r>
    <r>
      <rPr>
        <sz val="10"/>
        <rFont val="Times New Roman"/>
        <family val="1"/>
        <charset val="186"/>
      </rPr>
      <t xml:space="preserve">finansavimo apimtis </t>
    </r>
    <r>
      <rPr>
        <b/>
        <sz val="10"/>
        <rFont val="Times New Roman"/>
        <family val="1"/>
        <charset val="186"/>
      </rPr>
      <t>265,7 tūkst. Eur</t>
    </r>
    <r>
      <rPr>
        <sz val="10"/>
        <rFont val="Times New Roman"/>
        <family val="1"/>
        <charset val="186"/>
      </rPr>
      <t xml:space="preserve"> (SB), nes pagal projektą lėšų reikės mažiau nei planuota. </t>
    </r>
  </si>
  <si>
    <r>
      <t xml:space="preserve">Dėl rizikos nepanaudoti SB(K) lėšų, </t>
    </r>
    <r>
      <rPr>
        <b/>
        <sz val="10"/>
        <rFont val="Times New Roman"/>
        <family val="1"/>
        <charset val="186"/>
      </rPr>
      <t>keičiami lėšų šaltiniai</t>
    </r>
    <r>
      <rPr>
        <sz val="10"/>
        <rFont val="Times New Roman"/>
        <family val="1"/>
        <charset val="186"/>
      </rPr>
      <t xml:space="preserve"> su 10 programos  priemone „Bendrojo ugdymo mokyklos pastato statyba šiaurinėje miesto dalyje“ panaudotų lėšų atstatymui.</t>
    </r>
  </si>
  <si>
    <r>
      <rPr>
        <b/>
        <sz val="10"/>
        <rFont val="Times New Roman"/>
        <family val="1"/>
        <charset val="186"/>
      </rPr>
      <t>Didinama</t>
    </r>
    <r>
      <rPr>
        <sz val="10"/>
        <rFont val="Times New Roman"/>
        <family val="1"/>
        <charset val="186"/>
      </rPr>
      <t xml:space="preserve"> finansavimo apimtis </t>
    </r>
    <r>
      <rPr>
        <b/>
        <sz val="10"/>
        <rFont val="Times New Roman"/>
        <family val="1"/>
        <charset val="186"/>
      </rPr>
      <t>310,8 tūkst. Eur (SB), 9,3 tūkst. Eur (SB(L))</t>
    </r>
    <r>
      <rPr>
        <sz val="10"/>
        <rFont val="Times New Roman"/>
        <family val="1"/>
        <charset val="186"/>
      </rPr>
      <t xml:space="preserve">,  nes buvo ilga žiema ir pareikalavo daugiau lėšų, tai pat šiuo metu perkamos Klaipėdos miesto dalies gatvių mechanizuoto tvarkymo paslaugos, tikėtina, kad bus didesni įkainiai, taip pat padidėjo želdinių prižiūrimi plotai. Buvo gautas prašymas iš AB "Klaipėdos vanduo",  kad būtų išvengta miesto teritorijų užliejimo lietaus metu dėl lapais užsikišusių lietaus grotelių dažniau valyti gatves (periode nuo spalio iki lapkričio vidurio). </t>
    </r>
  </si>
  <si>
    <r>
      <rPr>
        <b/>
        <sz val="10"/>
        <rFont val="Times New Roman"/>
        <family val="1"/>
        <charset val="186"/>
      </rPr>
      <t>Mažinama</t>
    </r>
    <r>
      <rPr>
        <sz val="10"/>
        <rFont val="Times New Roman"/>
        <family val="1"/>
        <charset val="186"/>
      </rPr>
      <t xml:space="preserve"> finansavimo apimtis </t>
    </r>
    <r>
      <rPr>
        <b/>
        <sz val="10"/>
        <rFont val="Times New Roman"/>
        <family val="1"/>
        <charset val="186"/>
      </rPr>
      <t xml:space="preserve">2021 m. 111,2 tūkst. Eur </t>
    </r>
    <r>
      <rPr>
        <sz val="10"/>
        <rFont val="Times New Roman"/>
        <family val="1"/>
        <charset val="186"/>
      </rPr>
      <t xml:space="preserve">SB(L), </t>
    </r>
    <r>
      <rPr>
        <b/>
        <sz val="10"/>
        <rFont val="Times New Roman"/>
        <family val="1"/>
        <charset val="186"/>
      </rPr>
      <t xml:space="preserve">86,8 tūkst. Eur </t>
    </r>
    <r>
      <rPr>
        <sz val="10"/>
        <rFont val="Times New Roman"/>
        <family val="1"/>
        <charset val="186"/>
      </rPr>
      <t xml:space="preserve">SB(VB), </t>
    </r>
    <r>
      <rPr>
        <b/>
        <sz val="10"/>
        <rFont val="Times New Roman"/>
        <family val="1"/>
        <charset val="186"/>
      </rPr>
      <t>983,2 tūkst. Eur</t>
    </r>
    <r>
      <rPr>
        <sz val="10"/>
        <rFont val="Times New Roman"/>
        <family val="1"/>
        <charset val="186"/>
      </rPr>
      <t xml:space="preserve"> SB(ES), </t>
    </r>
    <r>
      <rPr>
        <b/>
        <sz val="10"/>
        <rFont val="Times New Roman"/>
        <family val="1"/>
        <charset val="186"/>
      </rPr>
      <t>93,6 tūkst. Eur</t>
    </r>
    <r>
      <rPr>
        <sz val="10"/>
        <rFont val="Times New Roman"/>
        <family val="1"/>
        <charset val="186"/>
      </rPr>
      <t xml:space="preserve"> SB(P),</t>
    </r>
    <r>
      <rPr>
        <b/>
        <sz val="10"/>
        <rFont val="Times New Roman"/>
        <family val="1"/>
        <charset val="186"/>
      </rPr>
      <t xml:space="preserve"> </t>
    </r>
    <r>
      <rPr>
        <sz val="10"/>
        <rFont val="Times New Roman"/>
        <family val="1"/>
        <charset val="186"/>
      </rPr>
      <t>nes</t>
    </r>
    <r>
      <rPr>
        <b/>
        <sz val="10"/>
        <rFont val="Times New Roman"/>
        <family val="1"/>
        <charset val="186"/>
      </rPr>
      <t xml:space="preserve"> s</t>
    </r>
    <r>
      <rPr>
        <sz val="10"/>
        <rFont val="Times New Roman"/>
        <family val="1"/>
        <charset val="186"/>
      </rPr>
      <t>udarius taikos sutartį su asociacija „Klaipėdos žalieji“, atsirado papildomi projektiniai sprendiniai ir poreikis atlikti projekto korekcijas. Taip pat, remiantis III teritorijos projektinių sprendinių pakeitimais, 6 mėn. pratęstas rangos sutarties terminas su rangovu UAB „VVARFF“. Projekto „Kompleksinis tikslinės teritorijos daugiabučių kiemų tvarkymas“ rangos darbų pabaiga numatyta 2022-08-28. Todėl nusikelia ir III teritorijos rangos darbai, ir jiems reikalingos lėšos, į 2022 m. Dėl rizikos nepanaudoti 93,6 tūkst. Eur SB(P) lėšos perkeliamos į 11 programos  projektą „Futbolo mokyklos ir baseino pastatų konversija II et.“ (panaudotų SB lėšų atstatymui).</t>
    </r>
  </si>
  <si>
    <r>
      <rPr>
        <b/>
        <sz val="10"/>
        <rFont val="Times New Roman"/>
        <family val="1"/>
        <charset val="186"/>
      </rPr>
      <t>Mažinama</t>
    </r>
    <r>
      <rPr>
        <sz val="10"/>
        <rFont val="Times New Roman"/>
        <family val="1"/>
        <charset val="186"/>
      </rPr>
      <t xml:space="preserve"> finansavimo apimtis</t>
    </r>
    <r>
      <rPr>
        <b/>
        <sz val="10"/>
        <rFont val="Times New Roman"/>
        <family val="1"/>
        <charset val="186"/>
      </rPr>
      <t xml:space="preserve"> 10,9 tūkst. Eur</t>
    </r>
    <r>
      <rPr>
        <sz val="10"/>
        <rFont val="Times New Roman"/>
        <family val="1"/>
        <charset val="186"/>
      </rPr>
      <t xml:space="preserve"> (SB) kadangi sutaupyta po viešųjų pirkimų.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</si>
</sst>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409]General"/>
  </numFmts>
  <fonts count="32" x14ac:knownFonts="1">
    <font>
      <sz val="10"/>
      <name val="Arial"/>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sz val="9"/>
      <name val="Times New Roman"/>
      <family val="1"/>
      <charset val="186"/>
    </font>
    <font>
      <sz val="9"/>
      <color indexed="81"/>
      <name val="Tahoma"/>
      <family val="2"/>
      <charset val="186"/>
    </font>
    <font>
      <sz val="10"/>
      <name val="Times New Roman"/>
      <family val="1"/>
    </font>
    <font>
      <b/>
      <sz val="10"/>
      <name val="Times New Roman"/>
      <family val="1"/>
      <charset val="204"/>
    </font>
    <font>
      <sz val="10"/>
      <name val="Times New Roman"/>
      <family val="1"/>
      <charset val="204"/>
    </font>
    <font>
      <b/>
      <sz val="10"/>
      <name val="Times New Roman"/>
      <family val="1"/>
    </font>
    <font>
      <b/>
      <sz val="9"/>
      <color indexed="81"/>
      <name val="Tahoma"/>
      <family val="2"/>
      <charset val="186"/>
    </font>
    <font>
      <i/>
      <sz val="10"/>
      <name val="Times New Roman"/>
      <family val="1"/>
      <charset val="186"/>
    </font>
    <font>
      <b/>
      <sz val="9"/>
      <name val="Arial"/>
      <family val="2"/>
      <charset val="186"/>
    </font>
    <font>
      <u/>
      <sz val="10"/>
      <name val="Times New Roman"/>
      <family val="1"/>
      <charset val="186"/>
    </font>
    <font>
      <sz val="10"/>
      <name val="Cambria"/>
      <family val="1"/>
      <charset val="186"/>
    </font>
    <font>
      <sz val="11"/>
      <color rgb="FF000000"/>
      <name val="Calibri"/>
      <family val="2"/>
      <charset val="186"/>
    </font>
    <font>
      <sz val="11"/>
      <name val="Times"/>
      <family val="1"/>
    </font>
    <font>
      <sz val="10"/>
      <name val="Times"/>
      <family val="1"/>
    </font>
    <font>
      <b/>
      <sz val="10"/>
      <name val="Arial"/>
      <family val="2"/>
      <charset val="186"/>
    </font>
    <font>
      <strike/>
      <sz val="10"/>
      <name val="Times New Roman"/>
      <family val="1"/>
      <charset val="186"/>
    </font>
    <font>
      <sz val="10"/>
      <color theme="0"/>
      <name val="Times New Roman"/>
      <family val="1"/>
      <charset val="186"/>
    </font>
    <font>
      <sz val="10"/>
      <color theme="0"/>
      <name val="Cambria"/>
      <family val="1"/>
      <charset val="186"/>
    </font>
    <font>
      <sz val="10"/>
      <color theme="0"/>
      <name val="Times New Roman"/>
      <family val="1"/>
    </font>
    <font>
      <sz val="10"/>
      <color rgb="FFFF0000"/>
      <name val="Times New Roman"/>
      <family val="1"/>
      <charset val="186"/>
    </font>
    <font>
      <sz val="10"/>
      <color rgb="FF0070C0"/>
      <name val="Times New Roman"/>
      <family val="1"/>
      <charset val="186"/>
    </font>
    <font>
      <b/>
      <sz val="11"/>
      <name val="Times"/>
      <family val="1"/>
    </font>
    <font>
      <sz val="10"/>
      <color rgb="FFFF0000"/>
      <name val="Cambria"/>
      <family val="1"/>
      <charset val="186"/>
    </font>
    <font>
      <sz val="10"/>
      <color rgb="FFC00000"/>
      <name val="Times New Roman"/>
      <family val="1"/>
      <charset val="186"/>
    </font>
    <font>
      <sz val="10"/>
      <color rgb="FFFF0000"/>
      <name val="Times New Roman"/>
      <family val="1"/>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3" tint="0.79998168889431442"/>
        <bgColor indexed="64"/>
      </patternFill>
    </fill>
    <fill>
      <patternFill patternType="solid">
        <fgColor rgb="FFC5D9F1"/>
        <bgColor indexed="64"/>
      </patternFill>
    </fill>
    <fill>
      <patternFill patternType="solid">
        <fgColor rgb="FFFFFFFF"/>
        <bgColor indexed="64"/>
      </patternFill>
    </fill>
  </fills>
  <borders count="120">
    <border>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top style="hair">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hair">
        <color indexed="64"/>
      </top>
      <bottom style="hair">
        <color indexed="64"/>
      </bottom>
      <diagonal/>
    </border>
    <border>
      <left style="thin">
        <color indexed="64"/>
      </left>
      <right/>
      <top style="thin">
        <color indexed="64"/>
      </top>
      <bottom style="hair">
        <color indexed="64"/>
      </bottom>
      <diagonal/>
    </border>
  </borders>
  <cellStyleXfs count="4">
    <xf numFmtId="0" fontId="0" fillId="0" borderId="0"/>
    <xf numFmtId="0" fontId="6" fillId="0" borderId="0"/>
    <xf numFmtId="0" fontId="2" fillId="2" borderId="1" applyBorder="0">
      <alignment horizontal="left" vertical="top" wrapText="1"/>
    </xf>
    <xf numFmtId="166" fontId="18" fillId="0" borderId="0" applyBorder="0" applyProtection="0"/>
  </cellStyleXfs>
  <cellXfs count="1993">
    <xf numFmtId="0" fontId="0" fillId="0" borderId="0" xfId="0"/>
    <xf numFmtId="0" fontId="2" fillId="0" borderId="0" xfId="0" applyFont="1" applyAlignment="1">
      <alignment horizontal="left" vertical="top"/>
    </xf>
    <xf numFmtId="0" fontId="2" fillId="0" borderId="0" xfId="0" applyFont="1" applyFill="1" applyBorder="1" applyAlignment="1">
      <alignment horizontal="center" vertical="top"/>
    </xf>
    <xf numFmtId="0" fontId="2" fillId="0" borderId="0" xfId="0" applyFont="1" applyBorder="1" applyAlignment="1">
      <alignment vertical="top"/>
    </xf>
    <xf numFmtId="0" fontId="2" fillId="0" borderId="0" xfId="0" applyFont="1" applyAlignment="1">
      <alignment vertical="top"/>
    </xf>
    <xf numFmtId="49" fontId="4" fillId="3" borderId="4" xfId="0" applyNumberFormat="1"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Alignment="1">
      <alignment vertical="top"/>
    </xf>
    <xf numFmtId="0" fontId="2" fillId="2" borderId="0" xfId="0" applyFont="1" applyFill="1" applyAlignment="1">
      <alignment vertical="top"/>
    </xf>
    <xf numFmtId="0" fontId="6" fillId="0" borderId="0" xfId="0" applyFont="1"/>
    <xf numFmtId="0" fontId="2" fillId="0" borderId="0" xfId="0" applyFont="1" applyAlignment="1">
      <alignment vertical="center"/>
    </xf>
    <xf numFmtId="0" fontId="4" fillId="0" borderId="0" xfId="0" applyFont="1" applyAlignment="1">
      <alignment horizontal="left" vertical="top"/>
    </xf>
    <xf numFmtId="165" fontId="2" fillId="0" borderId="0" xfId="0" applyNumberFormat="1" applyFont="1" applyAlignment="1">
      <alignment vertical="top"/>
    </xf>
    <xf numFmtId="165" fontId="2" fillId="0" borderId="0" xfId="0" applyNumberFormat="1" applyFont="1" applyAlignment="1">
      <alignment horizontal="left" vertical="top"/>
    </xf>
    <xf numFmtId="0" fontId="2" fillId="0" borderId="0" xfId="0" applyNumberFormat="1" applyFont="1" applyFill="1" applyBorder="1" applyAlignment="1">
      <alignment vertical="top" wrapText="1"/>
    </xf>
    <xf numFmtId="164" fontId="2" fillId="0" borderId="0" xfId="0" applyNumberFormat="1" applyFont="1" applyAlignment="1">
      <alignment vertical="top"/>
    </xf>
    <xf numFmtId="0" fontId="2" fillId="0" borderId="0" xfId="0" applyFont="1" applyAlignment="1">
      <alignment horizontal="center" vertical="top"/>
    </xf>
    <xf numFmtId="49" fontId="4" fillId="4" borderId="48" xfId="0" applyNumberFormat="1" applyFont="1" applyFill="1" applyBorder="1" applyAlignment="1">
      <alignment horizontal="center" vertical="top"/>
    </xf>
    <xf numFmtId="0" fontId="4" fillId="8" borderId="53" xfId="0" applyFont="1" applyFill="1" applyBorder="1" applyAlignment="1">
      <alignment horizontal="center" vertical="top"/>
    </xf>
    <xf numFmtId="0" fontId="2" fillId="6" borderId="8" xfId="0" applyFont="1" applyFill="1" applyBorder="1" applyAlignment="1">
      <alignment horizontal="center" vertical="top"/>
    </xf>
    <xf numFmtId="49" fontId="4" fillId="10" borderId="12" xfId="0" applyNumberFormat="1" applyFont="1" applyFill="1" applyBorder="1" applyAlignment="1">
      <alignment horizontal="center" vertical="top" wrapText="1"/>
    </xf>
    <xf numFmtId="49" fontId="4" fillId="10" borderId="32" xfId="0" applyNumberFormat="1" applyFont="1" applyFill="1" applyBorder="1" applyAlignment="1">
      <alignment horizontal="center" vertical="top"/>
    </xf>
    <xf numFmtId="49" fontId="4" fillId="10" borderId="27" xfId="0" applyNumberFormat="1" applyFont="1" applyFill="1" applyBorder="1" applyAlignment="1">
      <alignment horizontal="center" vertical="top"/>
    </xf>
    <xf numFmtId="49" fontId="4" fillId="10" borderId="48" xfId="0" applyNumberFormat="1" applyFont="1" applyFill="1" applyBorder="1" applyAlignment="1">
      <alignment horizontal="center" vertical="top"/>
    </xf>
    <xf numFmtId="49" fontId="4" fillId="10" borderId="51" xfId="0" applyNumberFormat="1" applyFont="1" applyFill="1" applyBorder="1" applyAlignment="1">
      <alignment horizontal="center" vertical="top"/>
    </xf>
    <xf numFmtId="49" fontId="4" fillId="10" borderId="7" xfId="0" applyNumberFormat="1" applyFont="1" applyFill="1" applyBorder="1" applyAlignment="1">
      <alignment horizontal="center" vertical="top" wrapText="1"/>
    </xf>
    <xf numFmtId="0" fontId="4" fillId="8" borderId="27" xfId="0" applyFont="1" applyFill="1" applyBorder="1" applyAlignment="1">
      <alignment horizontal="center" vertical="top"/>
    </xf>
    <xf numFmtId="49" fontId="4" fillId="10" borderId="12" xfId="0" applyNumberFormat="1" applyFont="1" applyFill="1" applyBorder="1" applyAlignment="1">
      <alignment horizontal="center" vertical="top"/>
    </xf>
    <xf numFmtId="49" fontId="4" fillId="3" borderId="2" xfId="0" applyNumberFormat="1" applyFont="1" applyFill="1" applyBorder="1" applyAlignment="1">
      <alignment horizontal="center" vertical="top"/>
    </xf>
    <xf numFmtId="3" fontId="2" fillId="0" borderId="0" xfId="0" applyNumberFormat="1" applyFont="1" applyAlignment="1">
      <alignment vertical="top"/>
    </xf>
    <xf numFmtId="0" fontId="2" fillId="0" borderId="6" xfId="0" applyFont="1" applyBorder="1" applyAlignment="1">
      <alignment horizontal="center" vertical="center"/>
    </xf>
    <xf numFmtId="3" fontId="2" fillId="0" borderId="0" xfId="0" applyNumberFormat="1" applyFont="1" applyBorder="1" applyAlignment="1">
      <alignment vertical="top"/>
    </xf>
    <xf numFmtId="0" fontId="2" fillId="6" borderId="5"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18" xfId="0" applyFont="1" applyFill="1" applyBorder="1" applyAlignment="1">
      <alignment horizontal="center" vertical="center"/>
    </xf>
    <xf numFmtId="49" fontId="4" fillId="6" borderId="42" xfId="0" applyNumberFormat="1" applyFont="1" applyFill="1" applyBorder="1" applyAlignment="1">
      <alignment horizontal="center" vertical="center"/>
    </xf>
    <xf numFmtId="0" fontId="2" fillId="6" borderId="5" xfId="0" applyFont="1" applyFill="1" applyBorder="1" applyAlignment="1">
      <alignment horizontal="center" vertical="top"/>
    </xf>
    <xf numFmtId="49" fontId="4" fillId="3" borderId="62"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11" borderId="60" xfId="0" applyNumberFormat="1" applyFont="1" applyFill="1" applyBorder="1" applyAlignment="1">
      <alignment horizontal="center" vertical="top"/>
    </xf>
    <xf numFmtId="49" fontId="4" fillId="11" borderId="32" xfId="0" applyNumberFormat="1" applyFont="1" applyFill="1" applyBorder="1" applyAlignment="1">
      <alignment horizontal="center" vertical="top"/>
    </xf>
    <xf numFmtId="0" fontId="2" fillId="6" borderId="57" xfId="0" applyFont="1" applyFill="1" applyBorder="1" applyAlignment="1">
      <alignment horizontal="center" vertical="center" textRotation="90" wrapText="1"/>
    </xf>
    <xf numFmtId="0" fontId="4" fillId="0" borderId="11" xfId="0" applyFont="1" applyFill="1" applyBorder="1" applyAlignment="1">
      <alignment horizontal="left" vertical="top" wrapText="1"/>
    </xf>
    <xf numFmtId="165" fontId="4" fillId="8" borderId="17" xfId="0" applyNumberFormat="1" applyFont="1" applyFill="1" applyBorder="1" applyAlignment="1">
      <alignment horizontal="center" vertical="top" wrapText="1"/>
    </xf>
    <xf numFmtId="165" fontId="2" fillId="0" borderId="17" xfId="0" applyNumberFormat="1" applyFont="1" applyBorder="1" applyAlignment="1">
      <alignment horizontal="center" vertical="top" wrapText="1"/>
    </xf>
    <xf numFmtId="165" fontId="2" fillId="8" borderId="17" xfId="0" applyNumberFormat="1" applyFont="1" applyFill="1" applyBorder="1" applyAlignment="1">
      <alignment horizontal="center" vertical="top" wrapText="1"/>
    </xf>
    <xf numFmtId="165" fontId="2" fillId="6" borderId="41" xfId="0" applyNumberFormat="1" applyFont="1" applyFill="1" applyBorder="1" applyAlignment="1">
      <alignment horizontal="center" vertical="top"/>
    </xf>
    <xf numFmtId="165" fontId="2" fillId="6" borderId="0" xfId="0" applyNumberFormat="1" applyFont="1" applyFill="1" applyBorder="1" applyAlignment="1">
      <alignment horizontal="center" vertical="top"/>
    </xf>
    <xf numFmtId="165" fontId="2" fillId="6" borderId="18" xfId="0" applyNumberFormat="1" applyFont="1" applyFill="1" applyBorder="1" applyAlignment="1">
      <alignment horizontal="center" vertical="top"/>
    </xf>
    <xf numFmtId="49" fontId="4" fillId="9" borderId="39" xfId="0" applyNumberFormat="1" applyFont="1" applyFill="1" applyBorder="1" applyAlignment="1">
      <alignment horizontal="center" vertical="top"/>
    </xf>
    <xf numFmtId="0" fontId="4" fillId="6" borderId="58" xfId="0" applyFont="1" applyFill="1" applyBorder="1" applyAlignment="1">
      <alignment horizontal="center" vertical="top" wrapText="1"/>
    </xf>
    <xf numFmtId="0" fontId="4" fillId="6" borderId="31" xfId="0" applyFont="1" applyFill="1" applyBorder="1" applyAlignment="1">
      <alignment horizontal="center" vertical="top" wrapText="1"/>
    </xf>
    <xf numFmtId="49" fontId="4" fillId="6" borderId="24" xfId="0" applyNumberFormat="1" applyFont="1" applyFill="1" applyBorder="1" applyAlignment="1">
      <alignment horizontal="center" vertical="center"/>
    </xf>
    <xf numFmtId="165" fontId="2" fillId="6" borderId="34" xfId="0" applyNumberFormat="1" applyFont="1" applyFill="1" applyBorder="1" applyAlignment="1">
      <alignment horizontal="center" vertical="top"/>
    </xf>
    <xf numFmtId="165" fontId="2" fillId="0" borderId="18" xfId="0" applyNumberFormat="1" applyFont="1" applyBorder="1" applyAlignment="1">
      <alignment horizontal="center" vertical="top"/>
    </xf>
    <xf numFmtId="165" fontId="2" fillId="6" borderId="47" xfId="0" applyNumberFormat="1" applyFont="1" applyFill="1" applyBorder="1" applyAlignment="1">
      <alignment horizontal="center" vertical="top"/>
    </xf>
    <xf numFmtId="165" fontId="2" fillId="6" borderId="44" xfId="0" applyNumberFormat="1" applyFont="1" applyFill="1" applyBorder="1" applyAlignment="1">
      <alignment horizontal="center" vertical="top"/>
    </xf>
    <xf numFmtId="165" fontId="2" fillId="6" borderId="8" xfId="0" applyNumberFormat="1" applyFont="1" applyFill="1" applyBorder="1" applyAlignment="1">
      <alignment horizontal="center" vertical="top" wrapText="1"/>
    </xf>
    <xf numFmtId="165" fontId="2" fillId="6" borderId="18" xfId="0" applyNumberFormat="1" applyFont="1" applyFill="1" applyBorder="1" applyAlignment="1">
      <alignment horizontal="center" vertical="top" wrapText="1"/>
    </xf>
    <xf numFmtId="0" fontId="2" fillId="6" borderId="13" xfId="0" applyFont="1" applyFill="1" applyBorder="1" applyAlignment="1">
      <alignment horizontal="center" vertical="top" wrapText="1"/>
    </xf>
    <xf numFmtId="3" fontId="2" fillId="6" borderId="1" xfId="0" applyNumberFormat="1" applyFont="1" applyFill="1" applyBorder="1" applyAlignment="1">
      <alignment horizontal="center" vertical="top" wrapText="1"/>
    </xf>
    <xf numFmtId="3" fontId="2" fillId="6" borderId="1" xfId="0" applyNumberFormat="1" applyFont="1" applyFill="1" applyBorder="1" applyAlignment="1">
      <alignment horizontal="center" vertical="top"/>
    </xf>
    <xf numFmtId="0" fontId="2" fillId="0" borderId="37" xfId="0" applyFont="1" applyBorder="1" applyAlignment="1">
      <alignment vertical="top"/>
    </xf>
    <xf numFmtId="49" fontId="4" fillId="6" borderId="39" xfId="0" applyNumberFormat="1" applyFont="1" applyFill="1" applyBorder="1" applyAlignment="1">
      <alignment horizontal="center" vertical="center"/>
    </xf>
    <xf numFmtId="0" fontId="4" fillId="6" borderId="11" xfId="0" applyFont="1" applyFill="1" applyBorder="1" applyAlignment="1">
      <alignment vertical="top" wrapText="1"/>
    </xf>
    <xf numFmtId="0" fontId="2" fillId="3" borderId="55" xfId="0" applyFont="1" applyFill="1" applyBorder="1" applyAlignment="1">
      <alignment horizontal="center" vertical="top" wrapText="1"/>
    </xf>
    <xf numFmtId="0" fontId="4" fillId="3" borderId="55" xfId="0" applyFont="1" applyFill="1" applyBorder="1" applyAlignment="1">
      <alignment horizontal="left" vertical="top" wrapText="1"/>
    </xf>
    <xf numFmtId="49" fontId="4" fillId="3" borderId="20" xfId="0" applyNumberFormat="1" applyFont="1" applyFill="1" applyBorder="1" applyAlignment="1">
      <alignment horizontal="center" vertical="top" wrapText="1"/>
    </xf>
    <xf numFmtId="49" fontId="4" fillId="6" borderId="20" xfId="0" applyNumberFormat="1" applyFont="1" applyFill="1" applyBorder="1" applyAlignment="1">
      <alignment horizontal="center" vertical="top" wrapText="1"/>
    </xf>
    <xf numFmtId="49" fontId="4" fillId="9" borderId="42" xfId="0" applyNumberFormat="1" applyFont="1" applyFill="1" applyBorder="1" applyAlignment="1">
      <alignment horizontal="center" vertical="top"/>
    </xf>
    <xf numFmtId="0" fontId="2" fillId="3" borderId="54" xfId="0" applyFont="1" applyFill="1" applyBorder="1" applyAlignment="1">
      <alignment horizontal="center" vertical="top" wrapText="1"/>
    </xf>
    <xf numFmtId="49" fontId="4" fillId="3" borderId="13" xfId="0" applyNumberFormat="1" applyFont="1" applyFill="1" applyBorder="1" applyAlignment="1">
      <alignment horizontal="center" vertical="top" wrapText="1"/>
    </xf>
    <xf numFmtId="49" fontId="4" fillId="3" borderId="19" xfId="0" applyNumberFormat="1" applyFont="1" applyFill="1" applyBorder="1" applyAlignment="1">
      <alignment horizontal="center" vertical="top"/>
    </xf>
    <xf numFmtId="49" fontId="4" fillId="10" borderId="9" xfId="0" applyNumberFormat="1" applyFont="1" applyFill="1" applyBorder="1" applyAlignment="1">
      <alignment horizontal="center" vertical="top" wrapText="1"/>
    </xf>
    <xf numFmtId="0" fontId="2" fillId="0" borderId="0" xfId="0" applyNumberFormat="1" applyFont="1" applyAlignment="1">
      <alignment vertical="top"/>
    </xf>
    <xf numFmtId="165" fontId="2" fillId="8" borderId="18" xfId="0" applyNumberFormat="1" applyFont="1" applyFill="1" applyBorder="1" applyAlignment="1">
      <alignment horizontal="center" vertical="top"/>
    </xf>
    <xf numFmtId="0" fontId="4" fillId="2" borderId="26" xfId="0" applyFont="1" applyFill="1" applyBorder="1" applyAlignment="1">
      <alignment horizontal="center" vertical="top" wrapText="1"/>
    </xf>
    <xf numFmtId="0" fontId="2" fillId="6" borderId="65" xfId="0" applyFont="1" applyFill="1" applyBorder="1" applyAlignment="1">
      <alignment vertical="top" wrapText="1"/>
    </xf>
    <xf numFmtId="0" fontId="2" fillId="6" borderId="2" xfId="0" applyFont="1" applyFill="1" applyBorder="1" applyAlignment="1">
      <alignment vertical="top" wrapText="1"/>
    </xf>
    <xf numFmtId="165" fontId="4" fillId="0" borderId="0" xfId="0" applyNumberFormat="1" applyFont="1" applyAlignment="1">
      <alignment horizontal="left" vertical="top"/>
    </xf>
    <xf numFmtId="49" fontId="4" fillId="8" borderId="50" xfId="0" applyNumberFormat="1" applyFont="1" applyFill="1" applyBorder="1" applyAlignment="1">
      <alignment horizontal="center" vertical="top" wrapText="1"/>
    </xf>
    <xf numFmtId="0" fontId="2" fillId="8" borderId="32" xfId="0" applyFont="1" applyFill="1" applyBorder="1" applyAlignment="1">
      <alignment horizontal="left" vertical="top" wrapText="1"/>
    </xf>
    <xf numFmtId="49" fontId="2" fillId="8" borderId="22" xfId="0" applyNumberFormat="1" applyFont="1" applyFill="1" applyBorder="1" applyAlignment="1">
      <alignment horizontal="center" vertical="top" wrapText="1"/>
    </xf>
    <xf numFmtId="49" fontId="4" fillId="8" borderId="83" xfId="0" applyNumberFormat="1" applyFont="1" applyFill="1" applyBorder="1" applyAlignment="1">
      <alignment horizontal="center" vertical="top" wrapText="1"/>
    </xf>
    <xf numFmtId="0" fontId="2" fillId="8" borderId="83" xfId="0" applyFont="1" applyFill="1" applyBorder="1" applyAlignment="1">
      <alignment vertical="top" wrapText="1"/>
    </xf>
    <xf numFmtId="49" fontId="4" fillId="8" borderId="42" xfId="0" applyNumberFormat="1" applyFont="1" applyFill="1" applyBorder="1" applyAlignment="1">
      <alignment horizontal="center" vertical="top"/>
    </xf>
    <xf numFmtId="49" fontId="4" fillId="8" borderId="0" xfId="0" applyNumberFormat="1" applyFont="1" applyFill="1" applyBorder="1" applyAlignment="1">
      <alignment horizontal="center" vertical="top"/>
    </xf>
    <xf numFmtId="49" fontId="4" fillId="8" borderId="20" xfId="0" applyNumberFormat="1" applyFont="1" applyFill="1" applyBorder="1" applyAlignment="1">
      <alignment horizontal="center" vertical="top" wrapText="1"/>
    </xf>
    <xf numFmtId="0" fontId="4" fillId="8" borderId="22" xfId="0" applyFont="1" applyFill="1" applyBorder="1" applyAlignment="1">
      <alignment horizontal="center" vertical="top" wrapText="1"/>
    </xf>
    <xf numFmtId="0" fontId="2" fillId="8" borderId="22" xfId="0" applyFont="1" applyFill="1" applyBorder="1" applyAlignment="1">
      <alignment vertical="top" wrapText="1"/>
    </xf>
    <xf numFmtId="49" fontId="4" fillId="8" borderId="39" xfId="0" applyNumberFormat="1" applyFont="1" applyFill="1" applyBorder="1" applyAlignment="1">
      <alignment horizontal="center" vertical="top"/>
    </xf>
    <xf numFmtId="49" fontId="4" fillId="2" borderId="26" xfId="0" applyNumberFormat="1" applyFont="1" applyFill="1" applyBorder="1" applyAlignment="1">
      <alignment horizontal="center" vertical="top" wrapText="1"/>
    </xf>
    <xf numFmtId="0" fontId="4" fillId="2" borderId="26" xfId="0" applyFont="1" applyFill="1" applyBorder="1" applyAlignment="1">
      <alignment horizontal="left" vertical="top" wrapText="1"/>
    </xf>
    <xf numFmtId="0" fontId="2" fillId="0" borderId="18" xfId="0" applyFont="1" applyBorder="1" applyAlignment="1">
      <alignment horizontal="center" vertical="top" wrapText="1"/>
    </xf>
    <xf numFmtId="49" fontId="4" fillId="6" borderId="42" xfId="0" applyNumberFormat="1" applyFont="1" applyFill="1" applyBorder="1" applyAlignment="1">
      <alignment horizontal="center" vertical="top" wrapText="1"/>
    </xf>
    <xf numFmtId="3" fontId="9" fillId="6" borderId="56" xfId="0" applyNumberFormat="1" applyFont="1" applyFill="1" applyBorder="1" applyAlignment="1">
      <alignment horizontal="center" vertical="top"/>
    </xf>
    <xf numFmtId="165" fontId="4" fillId="4" borderId="6" xfId="0" applyNumberFormat="1" applyFont="1" applyFill="1" applyBorder="1" applyAlignment="1">
      <alignment horizontal="center" vertical="top"/>
    </xf>
    <xf numFmtId="0" fontId="2" fillId="8" borderId="27" xfId="0" applyFont="1" applyFill="1" applyBorder="1" applyAlignment="1">
      <alignment horizontal="left" vertical="top" wrapText="1"/>
    </xf>
    <xf numFmtId="165" fontId="4" fillId="5" borderId="53" xfId="0" applyNumberFormat="1" applyFont="1" applyFill="1" applyBorder="1" applyAlignment="1">
      <alignment horizontal="center" vertical="top"/>
    </xf>
    <xf numFmtId="0" fontId="2" fillId="6" borderId="56" xfId="0" applyFont="1" applyFill="1" applyBorder="1" applyAlignment="1">
      <alignment horizontal="center" vertical="top" wrapText="1"/>
    </xf>
    <xf numFmtId="0" fontId="2" fillId="6" borderId="32" xfId="0" applyFont="1" applyFill="1" applyBorder="1" applyAlignment="1">
      <alignment horizontal="center" vertical="top" wrapText="1"/>
    </xf>
    <xf numFmtId="0" fontId="2" fillId="6" borderId="60" xfId="0" applyFont="1" applyFill="1" applyBorder="1" applyAlignment="1">
      <alignment horizontal="center" vertical="top" wrapText="1"/>
    </xf>
    <xf numFmtId="0" fontId="2" fillId="6" borderId="42" xfId="0" applyFont="1" applyFill="1" applyBorder="1" applyAlignment="1">
      <alignment vertical="top"/>
    </xf>
    <xf numFmtId="3" fontId="2" fillId="6" borderId="63" xfId="0" applyNumberFormat="1" applyFont="1" applyFill="1" applyBorder="1" applyAlignment="1">
      <alignment horizontal="center" vertical="top" wrapText="1"/>
    </xf>
    <xf numFmtId="3" fontId="2" fillId="6" borderId="76" xfId="0" applyNumberFormat="1" applyFont="1" applyFill="1" applyBorder="1" applyAlignment="1">
      <alignment horizontal="center" vertical="top" wrapText="1"/>
    </xf>
    <xf numFmtId="49" fontId="4" fillId="8" borderId="22" xfId="0" applyNumberFormat="1" applyFont="1" applyFill="1" applyBorder="1" applyAlignment="1">
      <alignment horizontal="center" vertical="top" wrapText="1"/>
    </xf>
    <xf numFmtId="0" fontId="4" fillId="6" borderId="15" xfId="0" applyFont="1" applyFill="1" applyBorder="1" applyAlignment="1">
      <alignment horizontal="center" vertical="top" wrapText="1"/>
    </xf>
    <xf numFmtId="0" fontId="17" fillId="6" borderId="13" xfId="0" applyFont="1" applyFill="1" applyBorder="1" applyAlignment="1">
      <alignment horizontal="left" vertical="top" wrapText="1"/>
    </xf>
    <xf numFmtId="3" fontId="2" fillId="0" borderId="0" xfId="0" applyNumberFormat="1" applyFont="1" applyFill="1" applyBorder="1" applyAlignment="1">
      <alignment horizontal="left" vertical="top" wrapText="1"/>
    </xf>
    <xf numFmtId="4" fontId="2" fillId="0" borderId="0" xfId="0" applyNumberFormat="1" applyFont="1" applyFill="1" applyAlignment="1">
      <alignment vertical="top"/>
    </xf>
    <xf numFmtId="0" fontId="2" fillId="6" borderId="65" xfId="0" applyFont="1" applyFill="1" applyBorder="1" applyAlignment="1">
      <alignment horizontal="left" vertical="top" wrapText="1"/>
    </xf>
    <xf numFmtId="0" fontId="4" fillId="6" borderId="30" xfId="0" applyFont="1" applyFill="1" applyBorder="1" applyAlignment="1">
      <alignment horizontal="center" vertical="top" wrapText="1"/>
    </xf>
    <xf numFmtId="165" fontId="2" fillId="6" borderId="80" xfId="0" applyNumberFormat="1" applyFont="1" applyFill="1" applyBorder="1" applyAlignment="1">
      <alignment horizontal="center" vertical="top"/>
    </xf>
    <xf numFmtId="165" fontId="2" fillId="6" borderId="45" xfId="0" applyNumberFormat="1" applyFont="1" applyFill="1" applyBorder="1" applyAlignment="1">
      <alignment horizontal="center" vertical="top"/>
    </xf>
    <xf numFmtId="3" fontId="9" fillId="6" borderId="32" xfId="0" applyNumberFormat="1" applyFont="1" applyFill="1" applyBorder="1" applyAlignment="1">
      <alignment horizontal="center" vertical="top"/>
    </xf>
    <xf numFmtId="0" fontId="2" fillId="6" borderId="5" xfId="0" applyFont="1" applyFill="1" applyBorder="1" applyAlignment="1">
      <alignment horizontal="center" vertical="top" wrapText="1"/>
    </xf>
    <xf numFmtId="165" fontId="4" fillId="4" borderId="17" xfId="0" applyNumberFormat="1" applyFont="1" applyFill="1" applyBorder="1" applyAlignment="1">
      <alignment horizontal="center" vertical="top" wrapText="1"/>
    </xf>
    <xf numFmtId="0" fontId="2" fillId="6" borderId="0" xfId="0" applyFont="1" applyFill="1" applyBorder="1" applyAlignment="1">
      <alignment horizontal="center" vertical="center" textRotation="90" wrapText="1"/>
    </xf>
    <xf numFmtId="0" fontId="2" fillId="6" borderId="31" xfId="0" applyFont="1" applyFill="1" applyBorder="1" applyAlignment="1">
      <alignment horizontal="center" vertical="center" textRotation="90"/>
    </xf>
    <xf numFmtId="0" fontId="2" fillId="6" borderId="8" xfId="0" applyFont="1" applyFill="1" applyBorder="1" applyAlignment="1">
      <alignment horizontal="center" vertical="center" wrapText="1"/>
    </xf>
    <xf numFmtId="0" fontId="4" fillId="6" borderId="20" xfId="0" applyFont="1" applyFill="1" applyBorder="1" applyAlignment="1">
      <alignment vertical="top" wrapText="1"/>
    </xf>
    <xf numFmtId="0" fontId="4" fillId="0" borderId="0" xfId="0" applyNumberFormat="1" applyFont="1" applyAlignment="1">
      <alignment horizontal="center" vertical="top"/>
    </xf>
    <xf numFmtId="0" fontId="6" fillId="0" borderId="0" xfId="0" applyFont="1" applyAlignment="1">
      <alignment horizontal="left" vertical="top" wrapText="1"/>
    </xf>
    <xf numFmtId="165" fontId="2" fillId="6" borderId="81" xfId="0" applyNumberFormat="1" applyFont="1" applyFill="1" applyBorder="1" applyAlignment="1">
      <alignment horizontal="center" vertical="top"/>
    </xf>
    <xf numFmtId="3" fontId="2" fillId="0" borderId="36" xfId="0" applyNumberFormat="1" applyFont="1" applyFill="1" applyBorder="1" applyAlignment="1">
      <alignment horizontal="center" vertical="top"/>
    </xf>
    <xf numFmtId="3" fontId="2" fillId="0" borderId="45" xfId="0" applyNumberFormat="1" applyFont="1" applyFill="1" applyBorder="1" applyAlignment="1">
      <alignment horizontal="center" vertical="top"/>
    </xf>
    <xf numFmtId="0" fontId="2" fillId="6" borderId="59" xfId="0" applyFont="1" applyFill="1" applyBorder="1" applyAlignment="1">
      <alignment horizontal="center" vertical="top" wrapText="1"/>
    </xf>
    <xf numFmtId="0" fontId="2" fillId="0" borderId="29" xfId="0" applyFont="1" applyFill="1" applyBorder="1" applyAlignment="1">
      <alignment horizontal="center" vertical="top" wrapText="1"/>
    </xf>
    <xf numFmtId="0" fontId="4" fillId="6" borderId="43" xfId="0" applyFont="1" applyFill="1" applyBorder="1" applyAlignment="1">
      <alignment horizontal="center" vertical="top" wrapText="1"/>
    </xf>
    <xf numFmtId="3" fontId="9" fillId="6" borderId="49" xfId="0" applyNumberFormat="1" applyFont="1" applyFill="1" applyBorder="1" applyAlignment="1">
      <alignment horizontal="center" vertical="top"/>
    </xf>
    <xf numFmtId="0" fontId="2" fillId="6" borderId="85" xfId="0" applyFont="1" applyFill="1" applyBorder="1" applyAlignment="1">
      <alignment vertical="top" wrapText="1"/>
    </xf>
    <xf numFmtId="0" fontId="2" fillId="6" borderId="2" xfId="0" applyFont="1" applyFill="1" applyBorder="1" applyAlignment="1">
      <alignment horizontal="left" vertical="top" wrapText="1"/>
    </xf>
    <xf numFmtId="0" fontId="2" fillId="6" borderId="69" xfId="0" applyFont="1" applyFill="1" applyBorder="1" applyAlignment="1">
      <alignment horizontal="left" vertical="top" wrapText="1"/>
    </xf>
    <xf numFmtId="3" fontId="2" fillId="8" borderId="28" xfId="0" applyNumberFormat="1" applyFont="1" applyFill="1" applyBorder="1" applyAlignment="1">
      <alignment horizontal="center" vertical="top"/>
    </xf>
    <xf numFmtId="49" fontId="4" fillId="10" borderId="32" xfId="0" applyNumberFormat="1" applyFont="1" applyFill="1" applyBorder="1" applyAlignment="1">
      <alignment horizontal="center" vertical="top" wrapText="1"/>
    </xf>
    <xf numFmtId="49" fontId="4" fillId="8" borderId="0" xfId="0" applyNumberFormat="1" applyFont="1" applyFill="1" applyBorder="1" applyAlignment="1">
      <alignment horizontal="center" vertical="top" wrapText="1"/>
    </xf>
    <xf numFmtId="0" fontId="4" fillId="6" borderId="0" xfId="0" applyFont="1" applyFill="1" applyBorder="1" applyAlignment="1">
      <alignment horizontal="center" vertical="top" wrapText="1"/>
    </xf>
    <xf numFmtId="0" fontId="6" fillId="6" borderId="32" xfId="0" applyFont="1" applyFill="1" applyBorder="1" applyAlignment="1">
      <alignment horizontal="left" vertical="top" wrapText="1"/>
    </xf>
    <xf numFmtId="0" fontId="6" fillId="6" borderId="60" xfId="0" applyFont="1" applyFill="1" applyBorder="1" applyAlignment="1">
      <alignment horizontal="left" vertical="top" wrapText="1"/>
    </xf>
    <xf numFmtId="0" fontId="2" fillId="6" borderId="49" xfId="0" applyFont="1" applyFill="1" applyBorder="1" applyAlignment="1">
      <alignment horizontal="center" vertical="top" wrapText="1"/>
    </xf>
    <xf numFmtId="0" fontId="4" fillId="6" borderId="40" xfId="0" applyFont="1" applyFill="1" applyBorder="1" applyAlignment="1">
      <alignment horizontal="center" vertical="center" wrapText="1"/>
    </xf>
    <xf numFmtId="0" fontId="2" fillId="6" borderId="34" xfId="0" applyFont="1" applyFill="1" applyBorder="1" applyAlignment="1">
      <alignment horizontal="center" vertical="center" textRotation="90" wrapText="1"/>
    </xf>
    <xf numFmtId="49" fontId="4" fillId="6" borderId="38" xfId="0" applyNumberFormat="1" applyFont="1" applyFill="1" applyBorder="1" applyAlignment="1">
      <alignment horizontal="center" vertical="top"/>
    </xf>
    <xf numFmtId="49" fontId="4" fillId="6" borderId="8" xfId="0" applyNumberFormat="1" applyFont="1" applyFill="1" applyBorder="1" applyAlignment="1">
      <alignment horizontal="center" vertical="top"/>
    </xf>
    <xf numFmtId="0" fontId="6" fillId="6" borderId="8" xfId="0" applyFont="1" applyFill="1" applyBorder="1" applyAlignment="1">
      <alignment horizontal="center" vertical="top"/>
    </xf>
    <xf numFmtId="49" fontId="4" fillId="8" borderId="13" xfId="0" applyNumberFormat="1" applyFont="1" applyFill="1" applyBorder="1" applyAlignment="1">
      <alignment vertical="center" textRotation="90"/>
    </xf>
    <xf numFmtId="49" fontId="2" fillId="8" borderId="35" xfId="0" applyNumberFormat="1" applyFont="1" applyFill="1" applyBorder="1" applyAlignment="1">
      <alignment vertical="top"/>
    </xf>
    <xf numFmtId="165" fontId="2" fillId="8" borderId="35" xfId="0" applyNumberFormat="1" applyFont="1" applyFill="1" applyBorder="1" applyAlignment="1">
      <alignment horizontal="center" vertical="top"/>
    </xf>
    <xf numFmtId="3" fontId="2" fillId="6" borderId="45" xfId="0" applyNumberFormat="1" applyFont="1" applyFill="1" applyBorder="1" applyAlignment="1">
      <alignment horizontal="center" vertical="top"/>
    </xf>
    <xf numFmtId="3" fontId="2" fillId="6" borderId="45" xfId="0" applyNumberFormat="1" applyFont="1" applyFill="1" applyBorder="1" applyAlignment="1">
      <alignment horizontal="center" vertical="top" wrapText="1"/>
    </xf>
    <xf numFmtId="0" fontId="2" fillId="6" borderId="25" xfId="0" applyFont="1" applyFill="1" applyBorder="1" applyAlignment="1">
      <alignment vertical="center" wrapText="1"/>
    </xf>
    <xf numFmtId="3" fontId="2" fillId="6" borderId="44" xfId="0" applyNumberFormat="1" applyFont="1" applyFill="1" applyBorder="1" applyAlignment="1">
      <alignment horizontal="center" vertical="top"/>
    </xf>
    <xf numFmtId="0" fontId="2" fillId="6" borderId="0" xfId="0" applyFont="1" applyFill="1" applyBorder="1" applyAlignment="1">
      <alignment horizontal="center" vertical="top" wrapText="1"/>
    </xf>
    <xf numFmtId="0" fontId="2" fillId="6" borderId="43" xfId="0" applyFont="1" applyFill="1" applyBorder="1" applyAlignment="1">
      <alignment horizontal="center" vertical="center" textRotation="90" wrapText="1"/>
    </xf>
    <xf numFmtId="0" fontId="2" fillId="6" borderId="42" xfId="0" applyFont="1" applyFill="1" applyBorder="1" applyAlignment="1">
      <alignment horizontal="center" vertical="center" wrapText="1"/>
    </xf>
    <xf numFmtId="49" fontId="4" fillId="10" borderId="10" xfId="0" applyNumberFormat="1" applyFont="1" applyFill="1" applyBorder="1" applyAlignment="1">
      <alignment horizontal="center" vertical="top"/>
    </xf>
    <xf numFmtId="49" fontId="4" fillId="3" borderId="50" xfId="0" applyNumberFormat="1" applyFont="1" applyFill="1" applyBorder="1" applyAlignment="1">
      <alignment horizontal="center" vertical="top"/>
    </xf>
    <xf numFmtId="0" fontId="1" fillId="6" borderId="13" xfId="0" applyFont="1" applyFill="1" applyBorder="1" applyAlignment="1">
      <alignment horizontal="center" vertical="center" textRotation="90" wrapText="1"/>
    </xf>
    <xf numFmtId="0" fontId="4" fillId="9" borderId="54" xfId="0" applyFont="1" applyFill="1" applyBorder="1" applyAlignment="1">
      <alignment horizontal="left" vertical="top" wrapText="1"/>
    </xf>
    <xf numFmtId="0" fontId="6" fillId="6" borderId="13" xfId="0" applyFont="1" applyFill="1" applyBorder="1" applyAlignment="1">
      <alignment horizontal="left" vertical="top" wrapText="1"/>
    </xf>
    <xf numFmtId="0" fontId="2" fillId="6" borderId="15" xfId="0" applyFont="1" applyFill="1" applyBorder="1" applyAlignment="1">
      <alignment horizontal="center" vertical="center" textRotation="90" wrapText="1"/>
    </xf>
    <xf numFmtId="0" fontId="4" fillId="6" borderId="26" xfId="0" applyFont="1" applyFill="1" applyBorder="1" applyAlignment="1">
      <alignment horizontal="center" vertical="top" wrapText="1"/>
    </xf>
    <xf numFmtId="0" fontId="15" fillId="6" borderId="24" xfId="0" applyFont="1" applyFill="1" applyBorder="1" applyAlignment="1">
      <alignment wrapText="1"/>
    </xf>
    <xf numFmtId="0" fontId="4" fillId="6" borderId="25" xfId="0" applyFont="1" applyFill="1" applyBorder="1" applyAlignment="1">
      <alignment horizontal="center" vertical="center" wrapText="1"/>
    </xf>
    <xf numFmtId="0" fontId="1" fillId="6" borderId="14" xfId="0" applyFont="1" applyFill="1" applyBorder="1" applyAlignment="1">
      <alignment vertical="center" textRotation="90" wrapText="1"/>
    </xf>
    <xf numFmtId="0" fontId="1" fillId="6" borderId="25" xfId="0" applyFont="1" applyFill="1" applyBorder="1" applyAlignment="1">
      <alignment vertical="center" textRotation="90" wrapText="1"/>
    </xf>
    <xf numFmtId="0" fontId="4" fillId="6" borderId="81" xfId="0" applyFont="1" applyFill="1" applyBorder="1" applyAlignment="1">
      <alignment horizontal="center" vertical="top" wrapText="1"/>
    </xf>
    <xf numFmtId="3" fontId="2" fillId="6" borderId="47" xfId="0" applyNumberFormat="1" applyFont="1" applyFill="1" applyBorder="1" applyAlignment="1">
      <alignment horizontal="center" vertical="top"/>
    </xf>
    <xf numFmtId="3" fontId="2" fillId="6" borderId="44" xfId="0" applyNumberFormat="1" applyFont="1" applyFill="1" applyBorder="1" applyAlignment="1">
      <alignment horizontal="center" vertical="top" wrapText="1"/>
    </xf>
    <xf numFmtId="3" fontId="2" fillId="6" borderId="80" xfId="0" applyNumberFormat="1" applyFont="1" applyFill="1" applyBorder="1" applyAlignment="1">
      <alignment horizontal="center" vertical="top" wrapText="1"/>
    </xf>
    <xf numFmtId="3" fontId="2" fillId="6" borderId="47" xfId="0" applyNumberFormat="1" applyFont="1" applyFill="1" applyBorder="1" applyAlignment="1">
      <alignment horizontal="center" vertical="top" wrapText="1"/>
    </xf>
    <xf numFmtId="3" fontId="2" fillId="8" borderId="36" xfId="0" applyNumberFormat="1" applyFont="1" applyFill="1" applyBorder="1" applyAlignment="1">
      <alignment horizontal="center" vertical="top" wrapText="1"/>
    </xf>
    <xf numFmtId="3" fontId="2" fillId="6" borderId="44" xfId="1" applyNumberFormat="1" applyFont="1" applyFill="1" applyBorder="1" applyAlignment="1">
      <alignment horizontal="center" vertical="top"/>
    </xf>
    <xf numFmtId="3" fontId="2" fillId="6" borderId="81" xfId="0" applyNumberFormat="1" applyFont="1" applyFill="1" applyBorder="1" applyAlignment="1">
      <alignment horizontal="center" vertical="top" wrapText="1"/>
    </xf>
    <xf numFmtId="3" fontId="2" fillId="6" borderId="84" xfId="1" applyNumberFormat="1" applyFont="1" applyFill="1" applyBorder="1" applyAlignment="1">
      <alignment horizontal="center" vertical="top"/>
    </xf>
    <xf numFmtId="3" fontId="2" fillId="6" borderId="88" xfId="1" applyNumberFormat="1" applyFont="1" applyFill="1" applyBorder="1" applyAlignment="1">
      <alignment horizontal="center" vertical="top"/>
    </xf>
    <xf numFmtId="3" fontId="2" fillId="6" borderId="47" xfId="1" applyNumberFormat="1" applyFont="1" applyFill="1" applyBorder="1" applyAlignment="1">
      <alignment horizontal="center" vertical="top"/>
    </xf>
    <xf numFmtId="1" fontId="2" fillId="6" borderId="44" xfId="0" applyNumberFormat="1" applyFont="1" applyFill="1" applyBorder="1" applyAlignment="1">
      <alignment horizontal="center" vertical="top" wrapText="1"/>
    </xf>
    <xf numFmtId="1" fontId="2" fillId="6" borderId="86" xfId="0" applyNumberFormat="1" applyFont="1" applyFill="1" applyBorder="1" applyAlignment="1">
      <alignment horizontal="center" vertical="top" wrapText="1"/>
    </xf>
    <xf numFmtId="3" fontId="2" fillId="6" borderId="86" xfId="0" applyNumberFormat="1" applyFont="1" applyFill="1" applyBorder="1" applyAlignment="1">
      <alignment horizontal="center" vertical="top"/>
    </xf>
    <xf numFmtId="3" fontId="2" fillId="6" borderId="81" xfId="0" applyNumberFormat="1" applyFont="1" applyFill="1" applyBorder="1" applyAlignment="1">
      <alignment horizontal="center" vertical="top"/>
    </xf>
    <xf numFmtId="3" fontId="2" fillId="0" borderId="46" xfId="0" applyNumberFormat="1" applyFont="1" applyFill="1" applyBorder="1" applyAlignment="1">
      <alignment horizontal="center" vertical="top"/>
    </xf>
    <xf numFmtId="3" fontId="2" fillId="0" borderId="47" xfId="0" applyNumberFormat="1" applyFont="1" applyFill="1" applyBorder="1" applyAlignment="1">
      <alignment horizontal="center" vertical="top"/>
    </xf>
    <xf numFmtId="0" fontId="2" fillId="8" borderId="0" xfId="0" applyFont="1" applyFill="1" applyBorder="1" applyAlignment="1">
      <alignment horizontal="left" vertical="top" wrapText="1"/>
    </xf>
    <xf numFmtId="0" fontId="2" fillId="6" borderId="40" xfId="0" applyFont="1" applyFill="1" applyBorder="1" applyAlignment="1">
      <alignment vertical="center" textRotation="90" wrapText="1"/>
    </xf>
    <xf numFmtId="0" fontId="2" fillId="6" borderId="42" xfId="0" applyFont="1" applyFill="1" applyBorder="1" applyAlignment="1">
      <alignment vertical="center" textRotation="90" wrapText="1"/>
    </xf>
    <xf numFmtId="0" fontId="1" fillId="6" borderId="0" xfId="0" applyFont="1" applyFill="1" applyBorder="1" applyAlignment="1">
      <alignment vertical="center" textRotation="90" wrapText="1"/>
    </xf>
    <xf numFmtId="165" fontId="2" fillId="6" borderId="52" xfId="0" applyNumberFormat="1" applyFont="1" applyFill="1" applyBorder="1" applyAlignment="1">
      <alignment vertical="top"/>
    </xf>
    <xf numFmtId="0" fontId="2" fillId="2" borderId="6" xfId="0" applyFont="1" applyFill="1" applyBorder="1" applyAlignment="1">
      <alignment horizontal="center" vertical="top" wrapText="1"/>
    </xf>
    <xf numFmtId="0" fontId="4" fillId="0" borderId="26" xfId="0" applyFont="1" applyFill="1" applyBorder="1" applyAlignment="1">
      <alignment horizontal="center" vertical="top" wrapText="1"/>
    </xf>
    <xf numFmtId="49" fontId="2" fillId="6" borderId="38" xfId="0" applyNumberFormat="1" applyFont="1" applyFill="1" applyBorder="1" applyAlignment="1">
      <alignment vertical="top" wrapText="1"/>
    </xf>
    <xf numFmtId="49" fontId="2" fillId="6" borderId="42" xfId="0" applyNumberFormat="1" applyFont="1" applyFill="1" applyBorder="1" applyAlignment="1">
      <alignment horizontal="center" vertical="center"/>
    </xf>
    <xf numFmtId="0" fontId="2" fillId="6" borderId="38" xfId="0" applyFont="1" applyFill="1" applyBorder="1" applyAlignment="1">
      <alignment vertical="center" wrapText="1"/>
    </xf>
    <xf numFmtId="0" fontId="4" fillId="6" borderId="1" xfId="0" applyFont="1" applyFill="1" applyBorder="1" applyAlignment="1">
      <alignment horizontal="center" vertical="top" wrapText="1"/>
    </xf>
    <xf numFmtId="0" fontId="4" fillId="6" borderId="14" xfId="0" applyFont="1" applyFill="1" applyBorder="1" applyAlignment="1">
      <alignment horizontal="center" vertical="center" wrapText="1"/>
    </xf>
    <xf numFmtId="49" fontId="2" fillId="6" borderId="13" xfId="0" applyNumberFormat="1" applyFont="1" applyFill="1" applyBorder="1" applyAlignment="1">
      <alignment horizontal="center" vertical="top"/>
    </xf>
    <xf numFmtId="49" fontId="2" fillId="6" borderId="16" xfId="0" applyNumberFormat="1" applyFont="1" applyFill="1" applyBorder="1" applyAlignment="1">
      <alignment horizontal="center" vertical="top" wrapText="1"/>
    </xf>
    <xf numFmtId="49" fontId="2" fillId="6" borderId="13" xfId="0" applyNumberFormat="1" applyFont="1" applyFill="1" applyBorder="1" applyAlignment="1">
      <alignment horizontal="center" vertical="top" wrapText="1"/>
    </xf>
    <xf numFmtId="49" fontId="2" fillId="6" borderId="26" xfId="0" applyNumberFormat="1" applyFont="1" applyFill="1" applyBorder="1" applyAlignment="1">
      <alignment horizontal="center" vertical="top" wrapText="1"/>
    </xf>
    <xf numFmtId="165" fontId="2" fillId="6" borderId="32" xfId="0" applyNumberFormat="1" applyFont="1" applyFill="1" applyBorder="1" applyAlignment="1">
      <alignment horizontal="center" vertical="top" wrapText="1"/>
    </xf>
    <xf numFmtId="165" fontId="2" fillId="6" borderId="0" xfId="0" applyNumberFormat="1" applyFont="1" applyFill="1" applyBorder="1" applyAlignment="1">
      <alignment horizontal="center" vertical="top" wrapText="1"/>
    </xf>
    <xf numFmtId="3" fontId="2" fillId="6" borderId="34" xfId="0" applyNumberFormat="1" applyFont="1" applyFill="1" applyBorder="1" applyAlignment="1">
      <alignment horizontal="center" vertical="top" wrapText="1"/>
    </xf>
    <xf numFmtId="3" fontId="2" fillId="6" borderId="0" xfId="0" applyNumberFormat="1" applyFont="1" applyFill="1" applyBorder="1" applyAlignment="1">
      <alignment horizontal="center" vertical="top" wrapText="1"/>
    </xf>
    <xf numFmtId="0" fontId="2" fillId="0" borderId="94" xfId="0" applyFont="1" applyBorder="1" applyAlignment="1">
      <alignment horizontal="center" vertical="center" textRotation="90"/>
    </xf>
    <xf numFmtId="0" fontId="2" fillId="0" borderId="96" xfId="0" applyFont="1" applyBorder="1" applyAlignment="1">
      <alignment horizontal="center" vertical="center" textRotation="90"/>
    </xf>
    <xf numFmtId="0" fontId="2" fillId="0" borderId="95" xfId="0" applyFont="1" applyBorder="1" applyAlignment="1">
      <alignment horizontal="center" vertical="center" textRotation="90"/>
    </xf>
    <xf numFmtId="3" fontId="4" fillId="6" borderId="45" xfId="0" applyNumberFormat="1" applyFont="1" applyFill="1" applyBorder="1" applyAlignment="1">
      <alignment horizontal="center" vertical="top" wrapText="1"/>
    </xf>
    <xf numFmtId="165" fontId="2" fillId="2" borderId="84" xfId="0" applyNumberFormat="1" applyFont="1" applyFill="1" applyBorder="1" applyAlignment="1">
      <alignment horizontal="center" vertical="top"/>
    </xf>
    <xf numFmtId="0" fontId="2" fillId="6" borderId="81" xfId="0" applyNumberFormat="1" applyFont="1" applyFill="1" applyBorder="1" applyAlignment="1">
      <alignment horizontal="center" vertical="top" wrapText="1"/>
    </xf>
    <xf numFmtId="3" fontId="2" fillId="6" borderId="88" xfId="0" applyNumberFormat="1" applyFont="1" applyFill="1" applyBorder="1" applyAlignment="1">
      <alignment horizontal="center" vertical="top" wrapText="1"/>
    </xf>
    <xf numFmtId="49" fontId="2" fillId="6" borderId="81" xfId="0" applyNumberFormat="1" applyFont="1" applyFill="1" applyBorder="1" applyAlignment="1">
      <alignment horizontal="center" vertical="top" wrapText="1"/>
    </xf>
    <xf numFmtId="49" fontId="2" fillId="6" borderId="45" xfId="0" applyNumberFormat="1" applyFont="1" applyFill="1" applyBorder="1" applyAlignment="1">
      <alignment horizontal="center" vertical="top" wrapText="1"/>
    </xf>
    <xf numFmtId="1" fontId="2" fillId="6" borderId="45" xfId="0" applyNumberFormat="1" applyFont="1" applyFill="1" applyBorder="1" applyAlignment="1">
      <alignment horizontal="center" vertical="top" wrapText="1"/>
    </xf>
    <xf numFmtId="49" fontId="2" fillId="6" borderId="80" xfId="0" applyNumberFormat="1" applyFont="1" applyFill="1" applyBorder="1" applyAlignment="1">
      <alignment horizontal="center" vertical="top" wrapText="1"/>
    </xf>
    <xf numFmtId="165" fontId="2" fillId="6" borderId="86" xfId="0" applyNumberFormat="1" applyFont="1" applyFill="1" applyBorder="1" applyAlignment="1">
      <alignment horizontal="center" vertical="top" wrapText="1"/>
    </xf>
    <xf numFmtId="1" fontId="2" fillId="6" borderId="45" xfId="1" applyNumberFormat="1" applyFont="1" applyFill="1" applyBorder="1" applyAlignment="1">
      <alignment horizontal="center" vertical="top" wrapText="1"/>
    </xf>
    <xf numFmtId="3" fontId="2" fillId="6" borderId="80" xfId="1" applyNumberFormat="1" applyFont="1" applyFill="1" applyBorder="1" applyAlignment="1">
      <alignment horizontal="center" vertical="top" wrapText="1"/>
    </xf>
    <xf numFmtId="165" fontId="2" fillId="6" borderId="45" xfId="0" applyNumberFormat="1" applyFont="1" applyFill="1" applyBorder="1" applyAlignment="1">
      <alignment horizontal="center" vertical="top" wrapText="1"/>
    </xf>
    <xf numFmtId="3" fontId="2" fillId="6" borderId="81" xfId="1" applyNumberFormat="1" applyFont="1" applyFill="1" applyBorder="1" applyAlignment="1">
      <alignment horizontal="center" vertical="top" wrapText="1"/>
    </xf>
    <xf numFmtId="165" fontId="2" fillId="0" borderId="52" xfId="0" applyNumberFormat="1" applyFont="1" applyFill="1" applyBorder="1" applyAlignment="1">
      <alignment horizontal="center" vertical="top" wrapText="1"/>
    </xf>
    <xf numFmtId="165" fontId="2" fillId="6" borderId="44" xfId="0" applyNumberFormat="1" applyFont="1" applyFill="1" applyBorder="1" applyAlignment="1">
      <alignment horizontal="center" vertical="top" wrapText="1"/>
    </xf>
    <xf numFmtId="1" fontId="2" fillId="6" borderId="81" xfId="0" applyNumberFormat="1" applyFont="1" applyFill="1" applyBorder="1" applyAlignment="1">
      <alignment horizontal="center" vertical="top" wrapText="1"/>
    </xf>
    <xf numFmtId="49" fontId="2" fillId="6" borderId="84" xfId="0" applyNumberFormat="1" applyFont="1" applyFill="1" applyBorder="1" applyAlignment="1">
      <alignment horizontal="center" vertical="top" wrapText="1"/>
    </xf>
    <xf numFmtId="49" fontId="2" fillId="6" borderId="47" xfId="0" applyNumberFormat="1" applyFont="1" applyFill="1" applyBorder="1" applyAlignment="1">
      <alignment horizontal="center" vertical="top" wrapText="1"/>
    </xf>
    <xf numFmtId="165" fontId="2" fillId="6" borderId="47" xfId="0" applyNumberFormat="1" applyFont="1" applyFill="1" applyBorder="1" applyAlignment="1">
      <alignment horizontal="center" vertical="top" wrapText="1"/>
    </xf>
    <xf numFmtId="3" fontId="2" fillId="6" borderId="86" xfId="0" applyNumberFormat="1" applyFont="1" applyFill="1" applyBorder="1" applyAlignment="1">
      <alignment horizontal="center" vertical="top" wrapText="1"/>
    </xf>
    <xf numFmtId="0" fontId="2" fillId="6" borderId="45" xfId="0" applyFont="1" applyFill="1" applyBorder="1" applyAlignment="1">
      <alignment horizontal="center" vertical="top"/>
    </xf>
    <xf numFmtId="3" fontId="2" fillId="6" borderId="0" xfId="0" applyNumberFormat="1" applyFont="1" applyFill="1" applyBorder="1" applyAlignment="1">
      <alignment horizontal="center" vertical="top"/>
    </xf>
    <xf numFmtId="3" fontId="2" fillId="6" borderId="41" xfId="0" applyNumberFormat="1" applyFont="1" applyFill="1" applyBorder="1" applyAlignment="1">
      <alignment horizontal="center" vertical="top"/>
    </xf>
    <xf numFmtId="3" fontId="2" fillId="6" borderId="91" xfId="0" applyNumberFormat="1" applyFont="1" applyFill="1" applyBorder="1" applyAlignment="1">
      <alignment horizontal="center" vertical="top" wrapText="1"/>
    </xf>
    <xf numFmtId="3" fontId="2" fillId="6" borderId="41" xfId="0" applyNumberFormat="1" applyFont="1" applyFill="1" applyBorder="1" applyAlignment="1">
      <alignment horizontal="center" vertical="top" wrapText="1"/>
    </xf>
    <xf numFmtId="3" fontId="2" fillId="8" borderId="35" xfId="0" applyNumberFormat="1" applyFont="1" applyFill="1" applyBorder="1" applyAlignment="1">
      <alignment horizontal="center" vertical="top" wrapText="1"/>
    </xf>
    <xf numFmtId="3" fontId="2" fillId="6" borderId="34" xfId="1" applyNumberFormat="1" applyFont="1" applyFill="1" applyBorder="1" applyAlignment="1">
      <alignment horizontal="center" vertical="top"/>
    </xf>
    <xf numFmtId="3" fontId="2" fillId="6" borderId="93" xfId="0" applyNumberFormat="1" applyFont="1" applyFill="1" applyBorder="1" applyAlignment="1">
      <alignment horizontal="center" vertical="top" wrapText="1"/>
    </xf>
    <xf numFmtId="3" fontId="2" fillId="6" borderId="92" xfId="1" applyNumberFormat="1" applyFont="1" applyFill="1" applyBorder="1" applyAlignment="1">
      <alignment horizontal="center" vertical="top"/>
    </xf>
    <xf numFmtId="3" fontId="2" fillId="6" borderId="82" xfId="1" applyNumberFormat="1" applyFont="1" applyFill="1" applyBorder="1" applyAlignment="1">
      <alignment horizontal="center" vertical="top"/>
    </xf>
    <xf numFmtId="3" fontId="2" fillId="8" borderId="22" xfId="0" applyNumberFormat="1" applyFont="1" applyFill="1" applyBorder="1" applyAlignment="1">
      <alignment horizontal="center" vertical="top"/>
    </xf>
    <xf numFmtId="3" fontId="2" fillId="0" borderId="0" xfId="0" applyNumberFormat="1" applyFont="1" applyFill="1" applyBorder="1" applyAlignment="1">
      <alignment horizontal="center" vertical="top" wrapText="1"/>
    </xf>
    <xf numFmtId="3" fontId="4" fillId="6" borderId="13" xfId="0" applyNumberFormat="1" applyFont="1" applyFill="1" applyBorder="1" applyAlignment="1">
      <alignment horizontal="center" vertical="top" wrapText="1"/>
    </xf>
    <xf numFmtId="3" fontId="2" fillId="6" borderId="16"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wrapText="1"/>
    </xf>
    <xf numFmtId="3" fontId="2" fillId="6" borderId="74" xfId="0" applyNumberFormat="1" applyFont="1" applyFill="1" applyBorder="1" applyAlignment="1">
      <alignment horizontal="center" vertical="top" wrapText="1"/>
    </xf>
    <xf numFmtId="3" fontId="2" fillId="6" borderId="26" xfId="0" applyNumberFormat="1" applyFont="1" applyFill="1" applyBorder="1" applyAlignment="1">
      <alignment horizontal="center" vertical="top" wrapText="1"/>
    </xf>
    <xf numFmtId="3" fontId="2" fillId="6" borderId="16" xfId="0" applyNumberFormat="1" applyFont="1" applyFill="1" applyBorder="1" applyAlignment="1">
      <alignment horizontal="center" vertical="top"/>
    </xf>
    <xf numFmtId="3" fontId="2" fillId="6" borderId="26" xfId="0" applyNumberFormat="1" applyFont="1" applyFill="1" applyBorder="1" applyAlignment="1">
      <alignment horizontal="center" vertical="top"/>
    </xf>
    <xf numFmtId="3" fontId="2" fillId="6" borderId="13" xfId="0" applyNumberFormat="1" applyFont="1" applyFill="1" applyBorder="1" applyAlignment="1">
      <alignment horizontal="center" vertical="top"/>
    </xf>
    <xf numFmtId="0" fontId="2" fillId="6" borderId="75" xfId="0" applyNumberFormat="1" applyFont="1" applyFill="1" applyBorder="1" applyAlignment="1">
      <alignment horizontal="center" vertical="top" wrapText="1"/>
    </xf>
    <xf numFmtId="3" fontId="2" fillId="6" borderId="69" xfId="0" applyNumberFormat="1" applyFont="1" applyFill="1" applyBorder="1" applyAlignment="1">
      <alignment horizontal="center" vertical="top" wrapText="1"/>
    </xf>
    <xf numFmtId="49" fontId="2" fillId="6" borderId="75" xfId="0" applyNumberFormat="1" applyFont="1" applyFill="1" applyBorder="1" applyAlignment="1">
      <alignment horizontal="center" vertical="top" wrapText="1"/>
    </xf>
    <xf numFmtId="1" fontId="2" fillId="6" borderId="13" xfId="0" applyNumberFormat="1" applyFont="1" applyFill="1" applyBorder="1" applyAlignment="1">
      <alignment horizontal="center" vertical="top" wrapText="1"/>
    </xf>
    <xf numFmtId="49" fontId="2" fillId="6" borderId="74" xfId="0" applyNumberFormat="1" applyFont="1" applyFill="1" applyBorder="1" applyAlignment="1">
      <alignment horizontal="center" vertical="top" wrapText="1"/>
    </xf>
    <xf numFmtId="165" fontId="2" fillId="6" borderId="65" xfId="0" applyNumberFormat="1" applyFont="1" applyFill="1" applyBorder="1" applyAlignment="1">
      <alignment horizontal="center" vertical="top" wrapText="1"/>
    </xf>
    <xf numFmtId="3" fontId="2" fillId="6" borderId="16" xfId="1" applyNumberFormat="1" applyFont="1" applyFill="1" applyBorder="1" applyAlignment="1">
      <alignment horizontal="center" vertical="top"/>
    </xf>
    <xf numFmtId="3" fontId="2" fillId="6" borderId="74" xfId="1" applyNumberFormat="1" applyFont="1" applyFill="1" applyBorder="1" applyAlignment="1">
      <alignment horizontal="center" vertical="top" wrapText="1"/>
    </xf>
    <xf numFmtId="165" fontId="2" fillId="6" borderId="13" xfId="0" applyNumberFormat="1" applyFont="1" applyFill="1" applyBorder="1" applyAlignment="1">
      <alignment horizontal="center" vertical="top" wrapText="1"/>
    </xf>
    <xf numFmtId="3" fontId="2" fillId="6" borderId="75" xfId="0" applyNumberFormat="1" applyFont="1" applyFill="1" applyBorder="1" applyAlignment="1">
      <alignment horizontal="center" vertical="top" wrapText="1"/>
    </xf>
    <xf numFmtId="3" fontId="2" fillId="6" borderId="97" xfId="1" applyNumberFormat="1" applyFont="1" applyFill="1" applyBorder="1" applyAlignment="1">
      <alignment horizontal="center" vertical="top"/>
    </xf>
    <xf numFmtId="1" fontId="2" fillId="6" borderId="65" xfId="0" applyNumberFormat="1" applyFont="1" applyFill="1" applyBorder="1" applyAlignment="1">
      <alignment horizontal="center" vertical="top" wrapText="1"/>
    </xf>
    <xf numFmtId="3" fontId="2" fillId="6" borderId="69" xfId="1" applyNumberFormat="1" applyFont="1" applyFill="1" applyBorder="1" applyAlignment="1">
      <alignment horizontal="center" vertical="top"/>
    </xf>
    <xf numFmtId="3" fontId="2" fillId="6" borderId="26" xfId="1" applyNumberFormat="1" applyFont="1" applyFill="1" applyBorder="1" applyAlignment="1">
      <alignment horizontal="center" vertical="top"/>
    </xf>
    <xf numFmtId="165" fontId="2" fillId="0" borderId="11" xfId="0" applyNumberFormat="1" applyFont="1" applyFill="1" applyBorder="1" applyAlignment="1">
      <alignment horizontal="center" vertical="top" wrapText="1"/>
    </xf>
    <xf numFmtId="165" fontId="2" fillId="6" borderId="16" xfId="0" applyNumberFormat="1" applyFont="1" applyFill="1" applyBorder="1" applyAlignment="1">
      <alignment horizontal="center" vertical="top" wrapText="1"/>
    </xf>
    <xf numFmtId="1" fontId="2" fillId="6" borderId="75" xfId="0" applyNumberFormat="1" applyFont="1" applyFill="1" applyBorder="1" applyAlignment="1">
      <alignment horizontal="center" vertical="top" wrapText="1"/>
    </xf>
    <xf numFmtId="49" fontId="2" fillId="6" borderId="97" xfId="0" applyNumberFormat="1" applyFont="1" applyFill="1" applyBorder="1" applyAlignment="1">
      <alignment horizontal="center" vertical="top" wrapText="1"/>
    </xf>
    <xf numFmtId="165" fontId="2" fillId="6" borderId="26" xfId="0" applyNumberFormat="1" applyFont="1" applyFill="1" applyBorder="1" applyAlignment="1">
      <alignment horizontal="center" vertical="top" wrapText="1"/>
    </xf>
    <xf numFmtId="3" fontId="2" fillId="6" borderId="65" xfId="0" applyNumberFormat="1" applyFont="1" applyFill="1" applyBorder="1" applyAlignment="1">
      <alignment horizontal="center" vertical="top" wrapText="1"/>
    </xf>
    <xf numFmtId="0" fontId="2" fillId="6" borderId="13" xfId="0" applyFont="1" applyFill="1" applyBorder="1" applyAlignment="1">
      <alignment horizontal="center" vertical="top"/>
    </xf>
    <xf numFmtId="3" fontId="4" fillId="6" borderId="16" xfId="0" applyNumberFormat="1" applyFont="1" applyFill="1" applyBorder="1" applyAlignment="1">
      <alignment horizontal="center" vertical="top" wrapText="1"/>
    </xf>
    <xf numFmtId="0" fontId="2" fillId="0" borderId="46" xfId="0" applyFont="1" applyBorder="1" applyAlignment="1">
      <alignment horizontal="center" vertical="center"/>
    </xf>
    <xf numFmtId="0" fontId="2" fillId="6" borderId="44" xfId="0" applyFont="1" applyFill="1" applyBorder="1" applyAlignment="1">
      <alignment horizontal="center" vertical="top"/>
    </xf>
    <xf numFmtId="0" fontId="2" fillId="6" borderId="45" xfId="0" applyFont="1" applyFill="1" applyBorder="1" applyAlignment="1">
      <alignment horizontal="center" vertical="center"/>
    </xf>
    <xf numFmtId="0" fontId="2" fillId="6" borderId="81" xfId="0" applyFont="1" applyFill="1" applyBorder="1" applyAlignment="1">
      <alignment horizontal="center" vertical="center"/>
    </xf>
    <xf numFmtId="0" fontId="2" fillId="6" borderId="80" xfId="0" applyFont="1" applyFill="1" applyBorder="1" applyAlignment="1">
      <alignment horizontal="center" vertical="center"/>
    </xf>
    <xf numFmtId="0" fontId="2" fillId="6" borderId="86" xfId="0" applyFont="1" applyFill="1" applyBorder="1" applyAlignment="1">
      <alignment horizontal="center" vertical="top"/>
    </xf>
    <xf numFmtId="0" fontId="2" fillId="0" borderId="20" xfId="0" applyFont="1" applyBorder="1" applyAlignment="1">
      <alignment horizontal="center" vertical="center"/>
    </xf>
    <xf numFmtId="0" fontId="2" fillId="6" borderId="16" xfId="0" applyFont="1" applyFill="1" applyBorder="1" applyAlignment="1">
      <alignment horizontal="center" vertical="top"/>
    </xf>
    <xf numFmtId="0" fontId="2" fillId="6" borderId="26" xfId="0" applyFont="1" applyFill="1" applyBorder="1" applyAlignment="1">
      <alignment horizontal="center" vertical="top"/>
    </xf>
    <xf numFmtId="0" fontId="2" fillId="6" borderId="13" xfId="0" applyFont="1" applyFill="1" applyBorder="1" applyAlignment="1">
      <alignment horizontal="center" vertical="center"/>
    </xf>
    <xf numFmtId="0" fontId="2" fillId="6" borderId="75" xfId="0" applyFont="1" applyFill="1" applyBorder="1" applyAlignment="1">
      <alignment horizontal="center" vertical="center"/>
    </xf>
    <xf numFmtId="0" fontId="2" fillId="6" borderId="74" xfId="0" applyFont="1" applyFill="1" applyBorder="1" applyAlignment="1">
      <alignment horizontal="center" vertical="center"/>
    </xf>
    <xf numFmtId="0" fontId="2" fillId="6" borderId="65" xfId="0" applyFont="1" applyFill="1" applyBorder="1" applyAlignment="1">
      <alignment horizontal="center" vertical="top"/>
    </xf>
    <xf numFmtId="3" fontId="2" fillId="6" borderId="34" xfId="0" applyNumberFormat="1" applyFont="1" applyFill="1" applyBorder="1" applyAlignment="1">
      <alignment horizontal="center" vertical="top"/>
    </xf>
    <xf numFmtId="1" fontId="2" fillId="6" borderId="34" xfId="0" applyNumberFormat="1" applyFont="1" applyFill="1" applyBorder="1" applyAlignment="1">
      <alignment horizontal="center" vertical="top" wrapText="1"/>
    </xf>
    <xf numFmtId="3" fontId="2" fillId="0" borderId="33" xfId="0" applyNumberFormat="1" applyFont="1" applyFill="1" applyBorder="1" applyAlignment="1">
      <alignment horizontal="center" vertical="top"/>
    </xf>
    <xf numFmtId="0" fontId="2" fillId="0" borderId="44" xfId="0" applyFont="1" applyBorder="1" applyAlignment="1">
      <alignment vertical="top"/>
    </xf>
    <xf numFmtId="0" fontId="2" fillId="6" borderId="45" xfId="0" applyFont="1" applyFill="1" applyBorder="1" applyAlignment="1">
      <alignment vertical="top"/>
    </xf>
    <xf numFmtId="3" fontId="2" fillId="6" borderId="80" xfId="0" applyNumberFormat="1" applyFont="1" applyFill="1" applyBorder="1" applyAlignment="1">
      <alignment horizontal="center" vertical="top"/>
    </xf>
    <xf numFmtId="164" fontId="2" fillId="6" borderId="88" xfId="0" applyNumberFormat="1" applyFont="1" applyFill="1" applyBorder="1" applyAlignment="1">
      <alignment horizontal="center" vertical="top"/>
    </xf>
    <xf numFmtId="164" fontId="2" fillId="6" borderId="47" xfId="0" applyNumberFormat="1" applyFont="1" applyFill="1" applyBorder="1" applyAlignment="1">
      <alignment horizontal="center" vertical="top"/>
    </xf>
    <xf numFmtId="3" fontId="2" fillId="6" borderId="36" xfId="0" applyNumberFormat="1" applyFont="1" applyFill="1" applyBorder="1" applyAlignment="1">
      <alignment horizontal="center" vertical="top"/>
    </xf>
    <xf numFmtId="3" fontId="2" fillId="6" borderId="46" xfId="0" applyNumberFormat="1" applyFont="1" applyFill="1" applyBorder="1" applyAlignment="1">
      <alignment horizontal="center" vertical="top"/>
    </xf>
    <xf numFmtId="0" fontId="2" fillId="6" borderId="45" xfId="0" applyNumberFormat="1" applyFont="1" applyFill="1" applyBorder="1" applyAlignment="1">
      <alignment horizontal="center" vertical="top" wrapText="1"/>
    </xf>
    <xf numFmtId="3" fontId="2" fillId="6" borderId="65" xfId="0" applyNumberFormat="1" applyFont="1" applyFill="1" applyBorder="1" applyAlignment="1">
      <alignment horizontal="center" vertical="top"/>
    </xf>
    <xf numFmtId="3" fontId="2" fillId="6" borderId="75" xfId="0" applyNumberFormat="1" applyFont="1" applyFill="1" applyBorder="1" applyAlignment="1">
      <alignment horizontal="center" vertical="top"/>
    </xf>
    <xf numFmtId="164" fontId="2" fillId="6" borderId="69" xfId="0" applyNumberFormat="1" applyFont="1" applyFill="1" applyBorder="1" applyAlignment="1">
      <alignment horizontal="center" vertical="top"/>
    </xf>
    <xf numFmtId="1" fontId="2" fillId="6" borderId="16" xfId="0" applyNumberFormat="1" applyFont="1" applyFill="1" applyBorder="1" applyAlignment="1">
      <alignment horizontal="center" vertical="top" wrapText="1"/>
    </xf>
    <xf numFmtId="3" fontId="2" fillId="0" borderId="20" xfId="0" applyNumberFormat="1" applyFont="1" applyFill="1" applyBorder="1" applyAlignment="1">
      <alignment horizontal="center" vertical="top"/>
    </xf>
    <xf numFmtId="3" fontId="2" fillId="6" borderId="2" xfId="0" applyNumberFormat="1" applyFont="1" applyFill="1" applyBorder="1" applyAlignment="1">
      <alignment horizontal="center" vertical="top"/>
    </xf>
    <xf numFmtId="3" fontId="2" fillId="6" borderId="20" xfId="0" applyNumberFormat="1" applyFont="1" applyFill="1" applyBorder="1" applyAlignment="1">
      <alignment horizontal="center" vertical="top"/>
    </xf>
    <xf numFmtId="0" fontId="2" fillId="6" borderId="13" xfId="0" applyNumberFormat="1" applyFont="1" applyFill="1" applyBorder="1" applyAlignment="1">
      <alignment horizontal="center" vertical="top" wrapText="1"/>
    </xf>
    <xf numFmtId="165" fontId="2" fillId="6" borderId="26" xfId="0" applyNumberFormat="1" applyFont="1" applyFill="1" applyBorder="1" applyAlignment="1">
      <alignment horizontal="center" vertical="top"/>
    </xf>
    <xf numFmtId="165" fontId="2" fillId="6" borderId="46" xfId="0" applyNumberFormat="1" applyFont="1" applyFill="1" applyBorder="1" applyAlignment="1">
      <alignment horizontal="center" vertical="top"/>
    </xf>
    <xf numFmtId="165" fontId="4" fillId="8" borderId="28" xfId="0" applyNumberFormat="1" applyFont="1" applyFill="1" applyBorder="1" applyAlignment="1">
      <alignment horizontal="center" vertical="top"/>
    </xf>
    <xf numFmtId="165" fontId="4" fillId="3" borderId="55" xfId="0" applyNumberFormat="1" applyFont="1" applyFill="1" applyBorder="1" applyAlignment="1">
      <alignment horizontal="center" vertical="top"/>
    </xf>
    <xf numFmtId="165" fontId="4" fillId="10" borderId="55" xfId="0" applyNumberFormat="1" applyFont="1" applyFill="1" applyBorder="1" applyAlignment="1">
      <alignment horizontal="center" vertical="top"/>
    </xf>
    <xf numFmtId="165" fontId="4" fillId="4" borderId="55" xfId="0" applyNumberFormat="1" applyFont="1" applyFill="1" applyBorder="1" applyAlignment="1">
      <alignment horizontal="center" vertical="top"/>
    </xf>
    <xf numFmtId="165" fontId="2" fillId="6" borderId="20" xfId="0" applyNumberFormat="1" applyFont="1" applyFill="1" applyBorder="1" applyAlignment="1">
      <alignment horizontal="center" vertical="top"/>
    </xf>
    <xf numFmtId="165" fontId="2" fillId="6" borderId="13" xfId="0" applyNumberFormat="1" applyFont="1" applyFill="1" applyBorder="1" applyAlignment="1">
      <alignment horizontal="center" vertical="top"/>
    </xf>
    <xf numFmtId="165" fontId="2" fillId="6" borderId="16" xfId="0" applyNumberFormat="1" applyFont="1" applyFill="1" applyBorder="1" applyAlignment="1">
      <alignment horizontal="center" vertical="top"/>
    </xf>
    <xf numFmtId="165" fontId="4" fillId="8" borderId="19" xfId="0" applyNumberFormat="1" applyFont="1" applyFill="1" applyBorder="1" applyAlignment="1">
      <alignment horizontal="center" vertical="top"/>
    </xf>
    <xf numFmtId="165" fontId="4" fillId="3" borderId="4" xfId="0" applyNumberFormat="1" applyFont="1" applyFill="1" applyBorder="1" applyAlignment="1">
      <alignment horizontal="center" vertical="top"/>
    </xf>
    <xf numFmtId="165" fontId="4" fillId="10" borderId="4" xfId="0" applyNumberFormat="1" applyFont="1" applyFill="1" applyBorder="1" applyAlignment="1">
      <alignment horizontal="center" vertical="top"/>
    </xf>
    <xf numFmtId="165" fontId="4" fillId="4" borderId="4" xfId="0" applyNumberFormat="1" applyFont="1" applyFill="1" applyBorder="1" applyAlignment="1">
      <alignment horizontal="center" vertical="top"/>
    </xf>
    <xf numFmtId="3" fontId="2" fillId="2" borderId="41" xfId="0" applyNumberFormat="1" applyFont="1" applyFill="1" applyBorder="1" applyAlignment="1">
      <alignment horizontal="right" vertical="top"/>
    </xf>
    <xf numFmtId="165" fontId="4" fillId="8" borderId="22" xfId="0" applyNumberFormat="1" applyFont="1" applyFill="1" applyBorder="1" applyAlignment="1">
      <alignment horizontal="center" vertical="top"/>
    </xf>
    <xf numFmtId="165" fontId="2" fillId="6" borderId="36" xfId="0" applyNumberFormat="1" applyFont="1" applyFill="1" applyBorder="1" applyAlignment="1">
      <alignment horizontal="center" vertical="top"/>
    </xf>
    <xf numFmtId="164" fontId="9" fillId="6" borderId="36" xfId="0" applyNumberFormat="1" applyFont="1" applyFill="1" applyBorder="1" applyAlignment="1">
      <alignment horizontal="center" vertical="top" wrapText="1"/>
    </xf>
    <xf numFmtId="3" fontId="2" fillId="2" borderId="11" xfId="0" applyNumberFormat="1" applyFont="1" applyFill="1" applyBorder="1" applyAlignment="1">
      <alignment horizontal="right" vertical="top"/>
    </xf>
    <xf numFmtId="165" fontId="2" fillId="6" borderId="2" xfId="0" applyNumberFormat="1" applyFont="1" applyFill="1" applyBorder="1" applyAlignment="1">
      <alignment horizontal="center" vertical="top"/>
    </xf>
    <xf numFmtId="164" fontId="9" fillId="6" borderId="2" xfId="0" applyNumberFormat="1" applyFont="1" applyFill="1" applyBorder="1" applyAlignment="1">
      <alignment horizontal="center" vertical="top" wrapText="1"/>
    </xf>
    <xf numFmtId="3" fontId="2" fillId="6" borderId="46" xfId="0" applyNumberFormat="1" applyFont="1" applyFill="1" applyBorder="1" applyAlignment="1">
      <alignment horizontal="right" vertical="center"/>
    </xf>
    <xf numFmtId="165" fontId="2" fillId="0" borderId="44" xfId="0" applyNumberFormat="1" applyFont="1" applyFill="1" applyBorder="1" applyAlignment="1">
      <alignment horizontal="center" vertical="top"/>
    </xf>
    <xf numFmtId="3" fontId="2" fillId="6" borderId="20" xfId="0" applyNumberFormat="1" applyFont="1" applyFill="1" applyBorder="1" applyAlignment="1">
      <alignment horizontal="right" vertical="center"/>
    </xf>
    <xf numFmtId="165" fontId="2" fillId="0" borderId="16" xfId="0" applyNumberFormat="1" applyFont="1" applyFill="1" applyBorder="1" applyAlignment="1">
      <alignment horizontal="center" vertical="top"/>
    </xf>
    <xf numFmtId="165" fontId="2" fillId="6" borderId="74" xfId="0" applyNumberFormat="1" applyFont="1" applyFill="1" applyBorder="1" applyAlignment="1">
      <alignment horizontal="center" vertical="top"/>
    </xf>
    <xf numFmtId="165" fontId="2" fillId="6" borderId="52" xfId="0" applyNumberFormat="1" applyFont="1" applyFill="1" applyBorder="1" applyAlignment="1">
      <alignment horizontal="center" vertical="top"/>
    </xf>
    <xf numFmtId="165" fontId="2" fillId="6" borderId="33" xfId="0" applyNumberFormat="1" applyFont="1" applyFill="1" applyBorder="1" applyAlignment="1">
      <alignment horizontal="center" vertical="top"/>
    </xf>
    <xf numFmtId="165" fontId="2" fillId="6" borderId="91" xfId="0" applyNumberFormat="1" applyFont="1" applyFill="1" applyBorder="1" applyAlignment="1">
      <alignment horizontal="center" vertical="top"/>
    </xf>
    <xf numFmtId="165" fontId="2" fillId="6" borderId="93" xfId="0" applyNumberFormat="1" applyFont="1" applyFill="1" applyBorder="1" applyAlignment="1">
      <alignment horizontal="center" vertical="top"/>
    </xf>
    <xf numFmtId="165" fontId="2" fillId="6" borderId="75" xfId="0" applyNumberFormat="1" applyFont="1" applyFill="1" applyBorder="1" applyAlignment="1">
      <alignment horizontal="center" vertical="top"/>
    </xf>
    <xf numFmtId="165" fontId="2" fillId="6" borderId="11" xfId="0" applyNumberFormat="1" applyFont="1" applyFill="1" applyBorder="1" applyAlignment="1">
      <alignment horizontal="center" vertical="top"/>
    </xf>
    <xf numFmtId="0" fontId="2" fillId="6" borderId="73" xfId="0" applyFont="1" applyFill="1" applyBorder="1" applyAlignment="1">
      <alignment horizontal="center" vertical="top" wrapText="1"/>
    </xf>
    <xf numFmtId="0" fontId="2" fillId="6" borderId="49" xfId="0" applyFont="1" applyFill="1" applyBorder="1" applyAlignment="1">
      <alignment horizontal="center" vertical="top"/>
    </xf>
    <xf numFmtId="0" fontId="2" fillId="6" borderId="56" xfId="0" applyFont="1" applyFill="1" applyBorder="1" applyAlignment="1">
      <alignment horizontal="center" vertical="top"/>
    </xf>
    <xf numFmtId="0" fontId="2" fillId="6" borderId="32" xfId="0" applyFont="1" applyFill="1" applyBorder="1" applyAlignment="1">
      <alignment horizontal="center" vertical="top"/>
    </xf>
    <xf numFmtId="0" fontId="2" fillId="0" borderId="56" xfId="0" applyFont="1" applyFill="1" applyBorder="1" applyAlignment="1">
      <alignment horizontal="center" vertical="top" wrapText="1"/>
    </xf>
    <xf numFmtId="0" fontId="2" fillId="6" borderId="79" xfId="0" applyFont="1" applyFill="1" applyBorder="1" applyAlignment="1">
      <alignment horizontal="center" vertical="top" wrapText="1"/>
    </xf>
    <xf numFmtId="0" fontId="17" fillId="6" borderId="49" xfId="0" applyFont="1" applyFill="1" applyBorder="1" applyAlignment="1">
      <alignment horizontal="center" vertical="top"/>
    </xf>
    <xf numFmtId="0" fontId="2" fillId="6" borderId="61" xfId="0" applyFont="1" applyFill="1" applyBorder="1" applyAlignment="1">
      <alignment horizontal="center" vertical="top" wrapText="1"/>
    </xf>
    <xf numFmtId="0" fontId="2" fillId="0" borderId="49" xfId="0" applyFont="1" applyFill="1" applyBorder="1" applyAlignment="1">
      <alignment horizontal="center" vertical="top" wrapText="1"/>
    </xf>
    <xf numFmtId="165" fontId="2" fillId="6" borderId="57" xfId="0" applyNumberFormat="1" applyFont="1" applyFill="1" applyBorder="1" applyAlignment="1">
      <alignment horizontal="center" vertical="top"/>
    </xf>
    <xf numFmtId="165" fontId="2" fillId="6" borderId="35" xfId="0" applyNumberFormat="1" applyFont="1" applyFill="1" applyBorder="1" applyAlignment="1">
      <alignment horizontal="center" vertical="top"/>
    </xf>
    <xf numFmtId="165" fontId="4" fillId="3" borderId="54" xfId="0" applyNumberFormat="1" applyFont="1" applyFill="1" applyBorder="1" applyAlignment="1">
      <alignment horizontal="center" vertical="top"/>
    </xf>
    <xf numFmtId="3" fontId="2" fillId="6" borderId="69" xfId="0" applyNumberFormat="1" applyFont="1" applyFill="1" applyBorder="1" applyAlignment="1">
      <alignment horizontal="center" vertical="top"/>
    </xf>
    <xf numFmtId="0" fontId="2" fillId="0" borderId="16" xfId="0" applyFont="1" applyBorder="1" applyAlignment="1">
      <alignment horizontal="center" vertical="top"/>
    </xf>
    <xf numFmtId="0" fontId="4" fillId="3" borderId="54" xfId="0"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3" fontId="2" fillId="0" borderId="0" xfId="0" applyNumberFormat="1" applyFont="1" applyAlignment="1">
      <alignment horizontal="center" vertical="top"/>
    </xf>
    <xf numFmtId="0" fontId="2" fillId="0" borderId="0" xfId="0" applyFont="1" applyBorder="1" applyAlignment="1">
      <alignment horizontal="center" vertical="top"/>
    </xf>
    <xf numFmtId="0" fontId="2" fillId="0" borderId="0" xfId="0" applyFont="1" applyFill="1" applyAlignment="1">
      <alignment horizontal="center" vertical="top"/>
    </xf>
    <xf numFmtId="3" fontId="2" fillId="6" borderId="37" xfId="0" applyNumberFormat="1" applyFont="1" applyFill="1" applyBorder="1" applyAlignment="1">
      <alignment horizontal="center" vertical="top" wrapText="1"/>
    </xf>
    <xf numFmtId="3" fontId="2" fillId="6" borderId="9" xfId="0" applyNumberFormat="1" applyFont="1" applyFill="1" applyBorder="1" applyAlignment="1">
      <alignment horizontal="center" vertical="top" wrapText="1"/>
    </xf>
    <xf numFmtId="0" fontId="2" fillId="6" borderId="49" xfId="0" applyFont="1" applyFill="1" applyBorder="1" applyAlignment="1">
      <alignment vertical="top" wrapText="1"/>
    </xf>
    <xf numFmtId="49" fontId="4" fillId="6" borderId="29" xfId="0" applyNumberFormat="1" applyFont="1" applyFill="1" applyBorder="1" applyAlignment="1">
      <alignment horizontal="center" vertical="top"/>
    </xf>
    <xf numFmtId="1" fontId="2" fillId="6" borderId="74" xfId="0" applyNumberFormat="1" applyFont="1" applyFill="1" applyBorder="1" applyAlignment="1">
      <alignment horizontal="center" vertical="top" wrapText="1"/>
    </xf>
    <xf numFmtId="0" fontId="2" fillId="6" borderId="97" xfId="0" applyFont="1" applyFill="1" applyBorder="1" applyAlignment="1">
      <alignment horizontal="left" vertical="top" wrapText="1"/>
    </xf>
    <xf numFmtId="0" fontId="4" fillId="8" borderId="83" xfId="0" applyFont="1" applyFill="1" applyBorder="1" applyAlignment="1">
      <alignment horizontal="center" vertical="top" wrapText="1"/>
    </xf>
    <xf numFmtId="49" fontId="2" fillId="8" borderId="83" xfId="0" applyNumberFormat="1" applyFont="1" applyFill="1" applyBorder="1" applyAlignment="1">
      <alignment horizontal="center" vertical="top" wrapText="1"/>
    </xf>
    <xf numFmtId="0" fontId="4" fillId="8" borderId="98" xfId="0" applyFont="1" applyFill="1" applyBorder="1" applyAlignment="1">
      <alignment horizontal="center" vertical="top"/>
    </xf>
    <xf numFmtId="0" fontId="2" fillId="8" borderId="98" xfId="0" applyFont="1" applyFill="1" applyBorder="1" applyAlignment="1">
      <alignment horizontal="left" vertical="top" wrapText="1"/>
    </xf>
    <xf numFmtId="3" fontId="2" fillId="8" borderId="96" xfId="0" applyNumberFormat="1" applyFont="1" applyFill="1" applyBorder="1" applyAlignment="1">
      <alignment horizontal="center" vertical="top"/>
    </xf>
    <xf numFmtId="3" fontId="2" fillId="8" borderId="83" xfId="0" applyNumberFormat="1" applyFont="1" applyFill="1" applyBorder="1" applyAlignment="1">
      <alignment horizontal="center" vertical="top"/>
    </xf>
    <xf numFmtId="3" fontId="2" fillId="6" borderId="32" xfId="0" applyNumberFormat="1" applyFont="1" applyFill="1" applyBorder="1" applyAlignment="1">
      <alignment horizontal="center" vertical="top" wrapText="1"/>
    </xf>
    <xf numFmtId="3" fontId="2" fillId="6" borderId="23" xfId="0" applyNumberFormat="1" applyFont="1" applyFill="1" applyBorder="1" applyAlignment="1">
      <alignment horizontal="center" vertical="top" wrapText="1"/>
    </xf>
    <xf numFmtId="3" fontId="4" fillId="6" borderId="44" xfId="0" applyNumberFormat="1" applyFont="1" applyFill="1" applyBorder="1" applyAlignment="1">
      <alignment horizontal="center" vertical="top" wrapText="1"/>
    </xf>
    <xf numFmtId="165" fontId="2" fillId="6" borderId="97" xfId="0" applyNumberFormat="1" applyFont="1" applyFill="1" applyBorder="1" applyAlignment="1">
      <alignment horizontal="center" vertical="top"/>
    </xf>
    <xf numFmtId="0" fontId="2" fillId="6" borderId="65" xfId="0" applyFont="1" applyFill="1" applyBorder="1" applyAlignment="1">
      <alignment horizontal="center" vertical="center"/>
    </xf>
    <xf numFmtId="0" fontId="2" fillId="6" borderId="41" xfId="0" applyFont="1" applyFill="1" applyBorder="1" applyAlignment="1">
      <alignment horizontal="center" vertical="center" textRotation="90" wrapText="1"/>
    </xf>
    <xf numFmtId="0" fontId="2" fillId="0" borderId="57" xfId="0" applyFont="1" applyBorder="1" applyAlignment="1">
      <alignment horizontal="center" vertical="center" textRotation="90" wrapText="1"/>
    </xf>
    <xf numFmtId="0" fontId="2" fillId="6" borderId="71" xfId="0" applyFont="1" applyFill="1" applyBorder="1" applyAlignment="1">
      <alignment horizontal="center" vertical="center"/>
    </xf>
    <xf numFmtId="0" fontId="2" fillId="6" borderId="64" xfId="0" applyFont="1" applyFill="1" applyBorder="1" applyAlignment="1">
      <alignment horizontal="center" vertical="center"/>
    </xf>
    <xf numFmtId="0" fontId="2" fillId="6" borderId="23" xfId="0" applyFont="1" applyFill="1" applyBorder="1" applyAlignment="1">
      <alignment horizontal="center" vertical="center"/>
    </xf>
    <xf numFmtId="0" fontId="2" fillId="6" borderId="69" xfId="0" applyFont="1" applyFill="1" applyBorder="1" applyAlignment="1">
      <alignment horizontal="center" vertical="center"/>
    </xf>
    <xf numFmtId="49" fontId="2" fillId="6" borderId="65" xfId="0" applyNumberFormat="1" applyFont="1" applyFill="1" applyBorder="1" applyAlignment="1">
      <alignment horizontal="center" vertical="top" wrapText="1"/>
    </xf>
    <xf numFmtId="0" fontId="4" fillId="3" borderId="54" xfId="0" applyFont="1" applyFill="1" applyBorder="1" applyAlignment="1">
      <alignment horizontal="left" vertical="top" wrapText="1"/>
    </xf>
    <xf numFmtId="3" fontId="2" fillId="0" borderId="6" xfId="0" applyNumberFormat="1" applyFont="1" applyBorder="1" applyAlignment="1">
      <alignment horizontal="center" vertical="top" wrapText="1"/>
    </xf>
    <xf numFmtId="3" fontId="2" fillId="6" borderId="100" xfId="0" applyNumberFormat="1" applyFont="1" applyFill="1" applyBorder="1" applyAlignment="1">
      <alignment horizontal="center" vertical="top" wrapText="1"/>
    </xf>
    <xf numFmtId="3" fontId="2" fillId="6" borderId="97" xfId="0" applyNumberFormat="1" applyFont="1" applyFill="1" applyBorder="1" applyAlignment="1">
      <alignment horizontal="center" vertical="top" wrapText="1"/>
    </xf>
    <xf numFmtId="3" fontId="2" fillId="6" borderId="97" xfId="0" applyNumberFormat="1" applyFont="1" applyFill="1" applyBorder="1" applyAlignment="1">
      <alignment horizontal="center" vertical="top"/>
    </xf>
    <xf numFmtId="3" fontId="2" fillId="6" borderId="67" xfId="0" applyNumberFormat="1" applyFont="1" applyFill="1" applyBorder="1" applyAlignment="1">
      <alignment horizontal="center" vertical="top" wrapText="1"/>
    </xf>
    <xf numFmtId="165" fontId="2" fillId="6" borderId="9" xfId="0" applyNumberFormat="1" applyFont="1" applyFill="1" applyBorder="1" applyAlignment="1">
      <alignment horizontal="center" vertical="top"/>
    </xf>
    <xf numFmtId="165" fontId="2" fillId="6" borderId="14" xfId="0" applyNumberFormat="1" applyFont="1" applyFill="1" applyBorder="1" applyAlignment="1">
      <alignment horizontal="center" vertical="top"/>
    </xf>
    <xf numFmtId="165" fontId="2" fillId="6" borderId="25" xfId="0" applyNumberFormat="1" applyFont="1" applyFill="1" applyBorder="1" applyAlignment="1">
      <alignment horizontal="center" vertical="top"/>
    </xf>
    <xf numFmtId="49" fontId="2" fillId="6" borderId="67" xfId="0" applyNumberFormat="1" applyFont="1" applyFill="1" applyBorder="1" applyAlignment="1">
      <alignment horizontal="center" vertical="top" wrapText="1"/>
    </xf>
    <xf numFmtId="3" fontId="2" fillId="6" borderId="72" xfId="0" applyNumberFormat="1" applyFont="1" applyFill="1" applyBorder="1" applyAlignment="1">
      <alignment horizontal="center" vertical="top" wrapText="1"/>
    </xf>
    <xf numFmtId="49" fontId="2" fillId="6" borderId="76" xfId="0" applyNumberFormat="1" applyFont="1" applyFill="1" applyBorder="1" applyAlignment="1">
      <alignment horizontal="center" vertical="top" wrapText="1"/>
    </xf>
    <xf numFmtId="49" fontId="2" fillId="6" borderId="86" xfId="0" applyNumberFormat="1" applyFont="1" applyFill="1" applyBorder="1" applyAlignment="1">
      <alignment horizontal="center" vertical="top" wrapText="1"/>
    </xf>
    <xf numFmtId="1" fontId="2" fillId="6" borderId="63" xfId="0" applyNumberFormat="1" applyFont="1" applyFill="1" applyBorder="1" applyAlignment="1">
      <alignment horizontal="center" vertical="top" wrapText="1"/>
    </xf>
    <xf numFmtId="1" fontId="2" fillId="6" borderId="75" xfId="1" applyNumberFormat="1" applyFont="1" applyFill="1" applyBorder="1" applyAlignment="1">
      <alignment horizontal="center" vertical="top" wrapText="1"/>
    </xf>
    <xf numFmtId="3" fontId="2" fillId="6" borderId="67" xfId="1" applyNumberFormat="1" applyFont="1" applyFill="1" applyBorder="1" applyAlignment="1">
      <alignment horizontal="center" vertical="top" wrapText="1"/>
    </xf>
    <xf numFmtId="3" fontId="2" fillId="6" borderId="65" xfId="1" applyNumberFormat="1" applyFont="1" applyFill="1" applyBorder="1" applyAlignment="1">
      <alignment horizontal="center" vertical="top" wrapText="1"/>
    </xf>
    <xf numFmtId="3" fontId="2" fillId="6" borderId="101" xfId="0" applyNumberFormat="1" applyFont="1" applyFill="1" applyBorder="1" applyAlignment="1">
      <alignment horizontal="center" vertical="top" wrapText="1"/>
    </xf>
    <xf numFmtId="165" fontId="2" fillId="6" borderId="34" xfId="0" applyNumberFormat="1" applyFont="1" applyFill="1" applyBorder="1" applyAlignment="1">
      <alignment horizontal="center" vertical="top" wrapText="1"/>
    </xf>
    <xf numFmtId="3" fontId="2" fillId="6" borderId="84" xfId="0" applyNumberFormat="1" applyFont="1" applyFill="1" applyBorder="1" applyAlignment="1">
      <alignment horizontal="center" vertical="top" wrapText="1"/>
    </xf>
    <xf numFmtId="49" fontId="4" fillId="6" borderId="42" xfId="0" applyNumberFormat="1" applyFont="1" applyFill="1" applyBorder="1" applyAlignment="1">
      <alignment horizontal="center" vertical="top"/>
    </xf>
    <xf numFmtId="49" fontId="4" fillId="6" borderId="40" xfId="0" applyNumberFormat="1" applyFont="1" applyFill="1" applyBorder="1" applyAlignment="1">
      <alignment horizontal="center" vertical="top"/>
    </xf>
    <xf numFmtId="0" fontId="21" fillId="6" borderId="26" xfId="0" applyFont="1" applyFill="1" applyBorder="1" applyAlignment="1">
      <alignment horizontal="center" vertical="top" wrapText="1"/>
    </xf>
    <xf numFmtId="49" fontId="4" fillId="6" borderId="43" xfId="0" applyNumberFormat="1" applyFont="1" applyFill="1" applyBorder="1" applyAlignment="1">
      <alignment horizontal="center" vertical="top" wrapText="1"/>
    </xf>
    <xf numFmtId="0" fontId="21" fillId="6" borderId="13" xfId="0" applyFont="1" applyFill="1" applyBorder="1" applyAlignment="1">
      <alignment horizontal="center" vertical="top" wrapText="1"/>
    </xf>
    <xf numFmtId="0" fontId="2" fillId="6" borderId="37" xfId="0" applyFont="1" applyFill="1" applyBorder="1" applyAlignment="1">
      <alignment horizontal="center" vertical="top"/>
    </xf>
    <xf numFmtId="0" fontId="2" fillId="6" borderId="74" xfId="0" applyFont="1" applyFill="1" applyBorder="1" applyAlignment="1">
      <alignment horizontal="center" vertical="top"/>
    </xf>
    <xf numFmtId="0" fontId="2" fillId="6" borderId="80" xfId="0" applyFont="1" applyFill="1" applyBorder="1" applyAlignment="1">
      <alignment horizontal="center" vertical="top"/>
    </xf>
    <xf numFmtId="49" fontId="4" fillId="6" borderId="13" xfId="0" applyNumberFormat="1" applyFont="1" applyFill="1" applyBorder="1" applyAlignment="1">
      <alignment horizontal="center" vertical="center"/>
    </xf>
    <xf numFmtId="49" fontId="4" fillId="2" borderId="42" xfId="0" applyNumberFormat="1" applyFont="1" applyFill="1" applyBorder="1" applyAlignment="1">
      <alignment horizontal="center" vertical="top" wrapText="1"/>
    </xf>
    <xf numFmtId="49" fontId="4" fillId="6" borderId="13" xfId="0" applyNumberFormat="1" applyFont="1" applyFill="1" applyBorder="1" applyAlignment="1">
      <alignment vertical="top"/>
    </xf>
    <xf numFmtId="49" fontId="4" fillId="6" borderId="2" xfId="0" applyNumberFormat="1" applyFont="1" applyFill="1" applyBorder="1" applyAlignment="1">
      <alignment horizontal="center" vertical="top" wrapText="1"/>
    </xf>
    <xf numFmtId="165" fontId="4" fillId="8" borderId="3" xfId="0" applyNumberFormat="1" applyFont="1" applyFill="1" applyBorder="1" applyAlignment="1">
      <alignment horizontal="center" vertical="top"/>
    </xf>
    <xf numFmtId="165" fontId="4" fillId="8" borderId="94" xfId="0" applyNumberFormat="1" applyFont="1" applyFill="1" applyBorder="1" applyAlignment="1">
      <alignment horizontal="center" vertical="top"/>
    </xf>
    <xf numFmtId="0" fontId="2" fillId="0" borderId="99" xfId="0" applyFont="1" applyBorder="1" applyAlignment="1">
      <alignment horizontal="center" vertical="center" textRotation="90"/>
    </xf>
    <xf numFmtId="0" fontId="2" fillId="6" borderId="90" xfId="1" applyFont="1" applyFill="1" applyBorder="1" applyAlignment="1">
      <alignment vertical="top" wrapText="1"/>
    </xf>
    <xf numFmtId="0" fontId="2" fillId="6" borderId="93" xfId="0" applyNumberFormat="1" applyFont="1" applyFill="1" applyBorder="1" applyAlignment="1">
      <alignment horizontal="center" vertical="top" wrapText="1"/>
    </xf>
    <xf numFmtId="3" fontId="2" fillId="6" borderId="82" xfId="0" applyNumberFormat="1" applyFont="1" applyFill="1" applyBorder="1" applyAlignment="1">
      <alignment horizontal="center" vertical="top" wrapText="1"/>
    </xf>
    <xf numFmtId="49" fontId="2" fillId="6" borderId="93" xfId="0" applyNumberFormat="1" applyFont="1" applyFill="1" applyBorder="1" applyAlignment="1">
      <alignment horizontal="center" vertical="top" wrapText="1"/>
    </xf>
    <xf numFmtId="0" fontId="2" fillId="6" borderId="102" xfId="0" applyFont="1" applyFill="1" applyBorder="1" applyAlignment="1">
      <alignment horizontal="left" vertical="top" wrapText="1"/>
    </xf>
    <xf numFmtId="0" fontId="2" fillId="6" borderId="103" xfId="0" applyFont="1" applyFill="1" applyBorder="1" applyAlignment="1">
      <alignment horizontal="left" vertical="top" wrapText="1"/>
    </xf>
    <xf numFmtId="0" fontId="2" fillId="6" borderId="87" xfId="0" applyFont="1" applyFill="1" applyBorder="1" applyAlignment="1">
      <alignment horizontal="left" vertical="top" wrapText="1"/>
    </xf>
    <xf numFmtId="0" fontId="16" fillId="6" borderId="8" xfId="0" applyFont="1" applyFill="1" applyBorder="1" applyAlignment="1">
      <alignment horizontal="left" vertical="top" wrapText="1"/>
    </xf>
    <xf numFmtId="0" fontId="16" fillId="6" borderId="77" xfId="0" applyFont="1" applyFill="1" applyBorder="1" applyAlignment="1">
      <alignment vertical="top" wrapText="1"/>
    </xf>
    <xf numFmtId="1" fontId="2" fillId="6" borderId="101" xfId="0" applyNumberFormat="1" applyFont="1" applyFill="1" applyBorder="1" applyAlignment="1">
      <alignment horizontal="center" vertical="top" wrapText="1"/>
    </xf>
    <xf numFmtId="165" fontId="2" fillId="6" borderId="101" xfId="0" applyNumberFormat="1" applyFont="1" applyFill="1" applyBorder="1" applyAlignment="1">
      <alignment horizontal="center" vertical="top" wrapText="1"/>
    </xf>
    <xf numFmtId="0" fontId="2" fillId="6" borderId="0" xfId="0" applyFont="1" applyFill="1" applyBorder="1" applyAlignment="1">
      <alignment horizontal="center" vertical="top"/>
    </xf>
    <xf numFmtId="0" fontId="2" fillId="6" borderId="34" xfId="0" applyFont="1" applyFill="1" applyBorder="1" applyAlignment="1">
      <alignment horizontal="center" vertical="top"/>
    </xf>
    <xf numFmtId="3" fontId="2" fillId="6" borderId="92" xfId="0" applyNumberFormat="1" applyFont="1" applyFill="1" applyBorder="1" applyAlignment="1">
      <alignment horizontal="center" vertical="top" wrapText="1"/>
    </xf>
    <xf numFmtId="165" fontId="2" fillId="0" borderId="57" xfId="0" applyNumberFormat="1" applyFont="1" applyFill="1" applyBorder="1" applyAlignment="1">
      <alignment horizontal="center" vertical="top" wrapText="1"/>
    </xf>
    <xf numFmtId="1" fontId="2" fillId="6" borderId="93" xfId="0" applyNumberFormat="1" applyFont="1" applyFill="1" applyBorder="1" applyAlignment="1">
      <alignment horizontal="center" vertical="top" wrapText="1"/>
    </xf>
    <xf numFmtId="49" fontId="2" fillId="6" borderId="92" xfId="0" applyNumberFormat="1" applyFont="1" applyFill="1" applyBorder="1" applyAlignment="1">
      <alignment horizontal="center" vertical="top" wrapText="1"/>
    </xf>
    <xf numFmtId="49" fontId="2" fillId="6" borderId="41" xfId="0" applyNumberFormat="1" applyFont="1" applyFill="1" applyBorder="1" applyAlignment="1">
      <alignment horizontal="center" vertical="top" wrapText="1"/>
    </xf>
    <xf numFmtId="49" fontId="2" fillId="6" borderId="0" xfId="0" applyNumberFormat="1" applyFont="1" applyFill="1" applyBorder="1" applyAlignment="1">
      <alignment horizontal="center" vertical="top" wrapText="1"/>
    </xf>
    <xf numFmtId="1" fontId="2" fillId="6" borderId="0" xfId="1" applyNumberFormat="1" applyFont="1" applyFill="1" applyBorder="1" applyAlignment="1">
      <alignment horizontal="center" vertical="top" wrapText="1"/>
    </xf>
    <xf numFmtId="3" fontId="2" fillId="6" borderId="91" xfId="1" applyNumberFormat="1" applyFont="1" applyFill="1" applyBorder="1" applyAlignment="1">
      <alignment horizontal="center" vertical="top" wrapText="1"/>
    </xf>
    <xf numFmtId="1" fontId="2" fillId="6" borderId="0" xfId="0" applyNumberFormat="1" applyFont="1" applyFill="1" applyBorder="1" applyAlignment="1">
      <alignment horizontal="center" vertical="top" wrapText="1"/>
    </xf>
    <xf numFmtId="49" fontId="2" fillId="6" borderId="91" xfId="0" applyNumberFormat="1" applyFont="1" applyFill="1" applyBorder="1" applyAlignment="1">
      <alignment horizontal="center" vertical="top" wrapText="1"/>
    </xf>
    <xf numFmtId="0" fontId="2" fillId="6" borderId="87" xfId="0" applyFont="1" applyFill="1" applyBorder="1" applyAlignment="1">
      <alignment vertical="top" wrapText="1"/>
    </xf>
    <xf numFmtId="0" fontId="2" fillId="6" borderId="103" xfId="0" applyFont="1" applyFill="1" applyBorder="1" applyAlignment="1">
      <alignment vertical="top" wrapText="1"/>
    </xf>
    <xf numFmtId="0" fontId="2" fillId="6" borderId="18" xfId="0" applyFont="1" applyFill="1" applyBorder="1" applyAlignment="1">
      <alignment vertical="top" wrapText="1"/>
    </xf>
    <xf numFmtId="0" fontId="2" fillId="6" borderId="102" xfId="0" applyFont="1" applyFill="1" applyBorder="1" applyAlignment="1">
      <alignment vertical="top" wrapText="1"/>
    </xf>
    <xf numFmtId="0" fontId="2" fillId="8" borderId="8" xfId="0" applyFont="1" applyFill="1" applyBorder="1" applyAlignment="1">
      <alignment horizontal="left" vertical="top" wrapText="1"/>
    </xf>
    <xf numFmtId="0" fontId="7" fillId="0" borderId="6" xfId="0" applyFont="1" applyFill="1" applyBorder="1" applyAlignment="1">
      <alignment vertical="top" wrapText="1"/>
    </xf>
    <xf numFmtId="0" fontId="2" fillId="6" borderId="102" xfId="1" applyFont="1" applyFill="1" applyBorder="1" applyAlignment="1">
      <alignment vertical="top" wrapText="1"/>
    </xf>
    <xf numFmtId="0" fontId="2" fillId="8" borderId="53" xfId="0" applyFont="1" applyFill="1" applyBorder="1" applyAlignment="1">
      <alignment horizontal="left" vertical="top" wrapText="1"/>
    </xf>
    <xf numFmtId="0" fontId="2" fillId="6" borderId="103" xfId="1" applyFont="1" applyFill="1" applyBorder="1" applyAlignment="1">
      <alignment vertical="top" wrapText="1"/>
    </xf>
    <xf numFmtId="0" fontId="14" fillId="8" borderId="17" xfId="0" applyFont="1" applyFill="1" applyBorder="1" applyAlignment="1">
      <alignment horizontal="left" vertical="top" wrapText="1"/>
    </xf>
    <xf numFmtId="0" fontId="2" fillId="6" borderId="77" xfId="0" applyFont="1" applyFill="1" applyBorder="1" applyAlignment="1">
      <alignment vertical="top"/>
    </xf>
    <xf numFmtId="0" fontId="2" fillId="6" borderId="78" xfId="0" applyFont="1" applyFill="1" applyBorder="1" applyAlignment="1">
      <alignment vertical="top" wrapText="1"/>
    </xf>
    <xf numFmtId="0" fontId="2" fillId="6" borderId="93" xfId="0" applyFont="1" applyFill="1" applyBorder="1" applyAlignment="1">
      <alignment horizontal="center" vertical="center"/>
    </xf>
    <xf numFmtId="0" fontId="2" fillId="6" borderId="101" xfId="0" applyFont="1" applyFill="1" applyBorder="1" applyAlignment="1">
      <alignment horizontal="center" vertical="top"/>
    </xf>
    <xf numFmtId="0" fontId="2" fillId="6" borderId="91"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41" xfId="0" applyFont="1" applyFill="1" applyBorder="1" applyAlignment="1">
      <alignment horizontal="center" vertical="top"/>
    </xf>
    <xf numFmtId="0" fontId="2" fillId="6" borderId="103" xfId="0" applyFont="1" applyFill="1" applyBorder="1" applyAlignment="1">
      <alignment vertical="center" wrapText="1"/>
    </xf>
    <xf numFmtId="0" fontId="2" fillId="0" borderId="38" xfId="0" applyFont="1" applyBorder="1" applyAlignment="1">
      <alignment vertical="center" wrapText="1"/>
    </xf>
    <xf numFmtId="0" fontId="2" fillId="6" borderId="6" xfId="0" applyFont="1" applyFill="1" applyBorder="1" applyAlignment="1">
      <alignment vertical="top" wrapText="1"/>
    </xf>
    <xf numFmtId="0" fontId="2" fillId="0" borderId="5" xfId="0" applyFont="1" applyBorder="1" applyAlignment="1">
      <alignment vertical="top"/>
    </xf>
    <xf numFmtId="0" fontId="2" fillId="6" borderId="8" xfId="0" applyFont="1" applyFill="1" applyBorder="1" applyAlignment="1">
      <alignment vertical="top"/>
    </xf>
    <xf numFmtId="0" fontId="2" fillId="6" borderId="17" xfId="0" applyFont="1" applyFill="1" applyBorder="1" applyAlignment="1">
      <alignment horizontal="left" vertical="top" wrapText="1"/>
    </xf>
    <xf numFmtId="3" fontId="2" fillId="6" borderId="33" xfId="0" applyNumberFormat="1" applyFont="1" applyFill="1" applyBorder="1" applyAlignment="1">
      <alignment horizontal="center" vertical="top"/>
    </xf>
    <xf numFmtId="0" fontId="2" fillId="6" borderId="0" xfId="0" applyNumberFormat="1" applyFont="1" applyFill="1" applyBorder="1" applyAlignment="1">
      <alignment horizontal="center" vertical="top" wrapText="1"/>
    </xf>
    <xf numFmtId="3" fontId="2" fillId="6" borderId="7" xfId="0" applyNumberFormat="1" applyFont="1" applyFill="1" applyBorder="1" applyAlignment="1">
      <alignment horizontal="center" vertical="top"/>
    </xf>
    <xf numFmtId="3" fontId="2" fillId="6" borderId="23" xfId="0" applyNumberFormat="1" applyFont="1" applyFill="1" applyBorder="1" applyAlignment="1">
      <alignment horizontal="center" vertical="top"/>
    </xf>
    <xf numFmtId="3" fontId="2" fillId="6" borderId="9" xfId="0" applyNumberFormat="1" applyFont="1" applyFill="1" applyBorder="1" applyAlignment="1">
      <alignment horizontal="center" vertical="top"/>
    </xf>
    <xf numFmtId="3" fontId="2" fillId="6" borderId="35" xfId="0" applyNumberFormat="1" applyFont="1" applyFill="1" applyBorder="1" applyAlignment="1">
      <alignment horizontal="center" vertical="top"/>
    </xf>
    <xf numFmtId="3" fontId="2" fillId="0" borderId="12" xfId="0" applyNumberFormat="1" applyFont="1" applyFill="1" applyBorder="1" applyAlignment="1">
      <alignment horizontal="center" vertical="top"/>
    </xf>
    <xf numFmtId="3" fontId="2" fillId="0" borderId="9" xfId="0" applyNumberFormat="1" applyFont="1" applyFill="1" applyBorder="1" applyAlignment="1">
      <alignment horizontal="center" vertical="top"/>
    </xf>
    <xf numFmtId="3" fontId="2" fillId="0" borderId="2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0" borderId="11" xfId="0" applyNumberFormat="1" applyFont="1" applyFill="1" applyBorder="1" applyAlignment="1">
      <alignment horizontal="center" vertical="top"/>
    </xf>
    <xf numFmtId="0" fontId="2" fillId="0" borderId="34" xfId="0" applyFont="1" applyBorder="1" applyAlignment="1">
      <alignment horizontal="center" vertical="top"/>
    </xf>
    <xf numFmtId="3" fontId="2" fillId="6" borderId="101" xfId="0" applyNumberFormat="1" applyFont="1" applyFill="1" applyBorder="1" applyAlignment="1">
      <alignment horizontal="center" vertical="top"/>
    </xf>
    <xf numFmtId="3" fontId="2" fillId="6" borderId="93" xfId="0" applyNumberFormat="1" applyFont="1" applyFill="1" applyBorder="1" applyAlignment="1">
      <alignment horizontal="center" vertical="top"/>
    </xf>
    <xf numFmtId="164" fontId="2" fillId="6" borderId="82" xfId="0" applyNumberFormat="1" applyFont="1" applyFill="1" applyBorder="1" applyAlignment="1">
      <alignment horizontal="center" vertical="top"/>
    </xf>
    <xf numFmtId="3" fontId="2" fillId="6" borderId="43" xfId="0" applyNumberFormat="1" applyFont="1" applyFill="1" applyBorder="1" applyAlignment="1">
      <alignment horizontal="center" vertical="top" wrapText="1"/>
    </xf>
    <xf numFmtId="49" fontId="2" fillId="6" borderId="101" xfId="0" applyNumberFormat="1" applyFont="1" applyFill="1" applyBorder="1" applyAlignment="1">
      <alignment horizontal="center" vertical="top"/>
    </xf>
    <xf numFmtId="49" fontId="2" fillId="6" borderId="41" xfId="0" applyNumberFormat="1" applyFont="1" applyFill="1" applyBorder="1" applyAlignment="1">
      <alignment horizontal="center" vertical="top"/>
    </xf>
    <xf numFmtId="165" fontId="2" fillId="6" borderId="89" xfId="0" applyNumberFormat="1" applyFont="1" applyFill="1" applyBorder="1" applyAlignment="1">
      <alignment vertical="top"/>
    </xf>
    <xf numFmtId="3" fontId="2" fillId="6" borderId="64" xfId="0" applyNumberFormat="1" applyFont="1" applyFill="1" applyBorder="1" applyAlignment="1">
      <alignment horizontal="center" vertical="top"/>
    </xf>
    <xf numFmtId="164" fontId="2" fillId="6" borderId="23" xfId="0" applyNumberFormat="1" applyFont="1" applyFill="1" applyBorder="1" applyAlignment="1">
      <alignment horizontal="center" vertical="top"/>
    </xf>
    <xf numFmtId="0" fontId="2" fillId="0" borderId="58" xfId="0" applyFont="1" applyBorder="1" applyAlignment="1">
      <alignment horizontal="center" vertical="center"/>
    </xf>
    <xf numFmtId="0" fontId="2" fillId="6" borderId="106" xfId="0" applyFont="1" applyFill="1" applyBorder="1" applyAlignment="1">
      <alignment horizontal="center" vertical="top"/>
    </xf>
    <xf numFmtId="0" fontId="2" fillId="6" borderId="107" xfId="0" applyFont="1" applyFill="1" applyBorder="1" applyAlignment="1">
      <alignment horizontal="center" vertical="center"/>
    </xf>
    <xf numFmtId="0" fontId="2" fillId="6" borderId="104"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72" xfId="0" applyFont="1" applyFill="1" applyBorder="1" applyAlignment="1">
      <alignment horizontal="center" vertical="center"/>
    </xf>
    <xf numFmtId="0" fontId="2" fillId="6" borderId="68" xfId="0" applyFont="1" applyFill="1" applyBorder="1" applyAlignment="1">
      <alignment horizontal="center" vertical="center"/>
    </xf>
    <xf numFmtId="0" fontId="2" fillId="6" borderId="9" xfId="0" applyFont="1" applyFill="1" applyBorder="1" applyAlignment="1">
      <alignment horizontal="center" vertical="top"/>
    </xf>
    <xf numFmtId="165" fontId="2" fillId="6" borderId="108" xfId="0" applyNumberFormat="1" applyFont="1" applyFill="1" applyBorder="1" applyAlignment="1">
      <alignment horizontal="center" vertical="top" wrapText="1"/>
    </xf>
    <xf numFmtId="3" fontId="2" fillId="6" borderId="108" xfId="0" applyNumberFormat="1" applyFont="1" applyFill="1" applyBorder="1" applyAlignment="1">
      <alignment horizontal="center" vertical="top" wrapText="1"/>
    </xf>
    <xf numFmtId="3" fontId="2" fillId="6" borderId="15" xfId="0" applyNumberFormat="1" applyFont="1" applyFill="1" applyBorder="1" applyAlignment="1">
      <alignment horizontal="center" vertical="top" wrapText="1"/>
    </xf>
    <xf numFmtId="165" fontId="2" fillId="0" borderId="89" xfId="0" applyNumberFormat="1" applyFont="1" applyFill="1" applyBorder="1" applyAlignment="1">
      <alignment horizontal="center" vertical="top" wrapText="1"/>
    </xf>
    <xf numFmtId="3" fontId="2" fillId="6" borderId="104" xfId="1" applyNumberFormat="1" applyFont="1" applyFill="1" applyBorder="1" applyAlignment="1">
      <alignment horizontal="center" vertical="top" wrapText="1"/>
    </xf>
    <xf numFmtId="3" fontId="2" fillId="6" borderId="37" xfId="1" applyNumberFormat="1" applyFont="1" applyFill="1" applyBorder="1" applyAlignment="1">
      <alignment horizontal="center" vertical="top"/>
    </xf>
    <xf numFmtId="165" fontId="2" fillId="6" borderId="9" xfId="0" applyNumberFormat="1" applyFont="1" applyFill="1" applyBorder="1" applyAlignment="1">
      <alignment horizontal="center" vertical="top" wrapText="1"/>
    </xf>
    <xf numFmtId="3" fontId="2" fillId="6" borderId="106" xfId="0" applyNumberFormat="1" applyFont="1" applyFill="1" applyBorder="1" applyAlignment="1">
      <alignment horizontal="center" vertical="top" wrapText="1"/>
    </xf>
    <xf numFmtId="49" fontId="2" fillId="6" borderId="104" xfId="0" applyNumberFormat="1" applyFont="1" applyFill="1" applyBorder="1" applyAlignment="1">
      <alignment horizontal="center" vertical="top" wrapText="1"/>
    </xf>
    <xf numFmtId="49" fontId="2" fillId="6" borderId="106" xfId="0" applyNumberFormat="1" applyFont="1" applyFill="1" applyBorder="1" applyAlignment="1">
      <alignment horizontal="center" vertical="top" wrapText="1"/>
    </xf>
    <xf numFmtId="1" fontId="2" fillId="6" borderId="106" xfId="0" applyNumberFormat="1" applyFont="1" applyFill="1" applyBorder="1" applyAlignment="1">
      <alignment horizontal="center" vertical="top" wrapText="1"/>
    </xf>
    <xf numFmtId="3" fontId="2" fillId="6" borderId="105" xfId="0" applyNumberFormat="1" applyFont="1" applyFill="1" applyBorder="1" applyAlignment="1">
      <alignment horizontal="center" vertical="top" wrapText="1"/>
    </xf>
    <xf numFmtId="165" fontId="2" fillId="6" borderId="92" xfId="0" applyNumberFormat="1" applyFont="1" applyFill="1" applyBorder="1" applyAlignment="1">
      <alignment horizontal="center" vertical="top"/>
    </xf>
    <xf numFmtId="3" fontId="2" fillId="6" borderId="82" xfId="0" applyNumberFormat="1" applyFont="1" applyFill="1" applyBorder="1" applyAlignment="1">
      <alignment horizontal="center" vertical="top"/>
    </xf>
    <xf numFmtId="3" fontId="2" fillId="6" borderId="68" xfId="0" applyNumberFormat="1" applyFont="1" applyFill="1" applyBorder="1" applyAlignment="1">
      <alignment horizontal="center" vertical="top"/>
    </xf>
    <xf numFmtId="3" fontId="4" fillId="6" borderId="0" xfId="0" applyNumberFormat="1" applyFont="1" applyFill="1" applyBorder="1" applyAlignment="1">
      <alignment horizontal="center" vertical="top" wrapText="1"/>
    </xf>
    <xf numFmtId="3" fontId="4" fillId="6" borderId="9" xfId="0" applyNumberFormat="1" applyFont="1" applyFill="1" applyBorder="1" applyAlignment="1">
      <alignment horizontal="center" vertical="top" wrapText="1"/>
    </xf>
    <xf numFmtId="3" fontId="4" fillId="6" borderId="34" xfId="0" applyNumberFormat="1" applyFont="1" applyFill="1" applyBorder="1" applyAlignment="1">
      <alignment horizontal="center" vertical="top" wrapText="1"/>
    </xf>
    <xf numFmtId="3" fontId="4" fillId="6" borderId="37" xfId="0" applyNumberFormat="1" applyFont="1" applyFill="1" applyBorder="1" applyAlignment="1">
      <alignment horizontal="center" vertical="top" wrapText="1"/>
    </xf>
    <xf numFmtId="165" fontId="2" fillId="6" borderId="72" xfId="0" applyNumberFormat="1" applyFont="1" applyFill="1" applyBorder="1" applyAlignment="1">
      <alignment horizontal="center" vertical="top"/>
    </xf>
    <xf numFmtId="165" fontId="2" fillId="6" borderId="23" xfId="0" applyNumberFormat="1" applyFont="1" applyFill="1" applyBorder="1" applyAlignment="1">
      <alignment horizontal="center" vertical="top"/>
    </xf>
    <xf numFmtId="165" fontId="2" fillId="6" borderId="31" xfId="0" applyNumberFormat="1" applyFont="1" applyFill="1" applyBorder="1" applyAlignment="1">
      <alignment horizontal="center" vertical="top"/>
    </xf>
    <xf numFmtId="165" fontId="4" fillId="8" borderId="10" xfId="0" applyNumberFormat="1" applyFont="1" applyFill="1" applyBorder="1" applyAlignment="1">
      <alignment horizontal="center" vertical="top"/>
    </xf>
    <xf numFmtId="165" fontId="2" fillId="6" borderId="89" xfId="0" applyNumberFormat="1" applyFont="1" applyFill="1" applyBorder="1" applyAlignment="1">
      <alignment horizontal="center" vertical="top"/>
    </xf>
    <xf numFmtId="165" fontId="2" fillId="6" borderId="12" xfId="0" applyNumberFormat="1" applyFont="1" applyFill="1" applyBorder="1" applyAlignment="1">
      <alignment horizontal="center" vertical="top"/>
    </xf>
    <xf numFmtId="165" fontId="2" fillId="6" borderId="7" xfId="0" applyNumberFormat="1" applyFont="1" applyFill="1" applyBorder="1" applyAlignment="1">
      <alignment horizontal="center" vertical="top"/>
    </xf>
    <xf numFmtId="165" fontId="4" fillId="8" borderId="96" xfId="0" applyNumberFormat="1" applyFont="1" applyFill="1" applyBorder="1" applyAlignment="1">
      <alignment horizontal="center" vertical="top"/>
    </xf>
    <xf numFmtId="165" fontId="4" fillId="8" borderId="111" xfId="0" applyNumberFormat="1" applyFont="1" applyFill="1" applyBorder="1" applyAlignment="1">
      <alignment horizontal="center" vertical="top"/>
    </xf>
    <xf numFmtId="165" fontId="4" fillId="3" borderId="48" xfId="0" applyNumberFormat="1" applyFont="1" applyFill="1" applyBorder="1" applyAlignment="1">
      <alignment horizontal="center" vertical="top"/>
    </xf>
    <xf numFmtId="165" fontId="4" fillId="8" borderId="83" xfId="0" applyNumberFormat="1" applyFont="1" applyFill="1" applyBorder="1" applyAlignment="1">
      <alignment horizontal="center" vertical="top"/>
    </xf>
    <xf numFmtId="165" fontId="4" fillId="8" borderId="95" xfId="0" applyNumberFormat="1" applyFont="1" applyFill="1" applyBorder="1" applyAlignment="1">
      <alignment horizontal="center" vertical="top"/>
    </xf>
    <xf numFmtId="165" fontId="4" fillId="3" borderId="109" xfId="0" applyNumberFormat="1" applyFont="1" applyFill="1" applyBorder="1" applyAlignment="1">
      <alignment horizontal="center" vertical="top"/>
    </xf>
    <xf numFmtId="3" fontId="2" fillId="6" borderId="33" xfId="0" applyNumberFormat="1" applyFont="1" applyFill="1" applyBorder="1" applyAlignment="1">
      <alignment horizontal="right" vertical="center"/>
    </xf>
    <xf numFmtId="165" fontId="2" fillId="0" borderId="34" xfId="0" applyNumberFormat="1" applyFont="1" applyFill="1" applyBorder="1" applyAlignment="1">
      <alignment horizontal="center" vertical="top"/>
    </xf>
    <xf numFmtId="3" fontId="2" fillId="6" borderId="7" xfId="0" applyNumberFormat="1" applyFont="1" applyFill="1" applyBorder="1" applyAlignment="1">
      <alignment horizontal="right" vertical="center"/>
    </xf>
    <xf numFmtId="3" fontId="2" fillId="2" borderId="89" xfId="0" applyNumberFormat="1" applyFont="1" applyFill="1" applyBorder="1" applyAlignment="1">
      <alignment horizontal="right" vertical="top"/>
    </xf>
    <xf numFmtId="165" fontId="4" fillId="10" borderId="54" xfId="0" applyNumberFormat="1" applyFont="1" applyFill="1" applyBorder="1" applyAlignment="1">
      <alignment horizontal="center" vertical="top"/>
    </xf>
    <xf numFmtId="165" fontId="4" fillId="4" borderId="54" xfId="0" applyNumberFormat="1" applyFont="1" applyFill="1" applyBorder="1" applyAlignment="1">
      <alignment horizontal="center" vertical="top"/>
    </xf>
    <xf numFmtId="165" fontId="4" fillId="10" borderId="48" xfId="0" applyNumberFormat="1" applyFont="1" applyFill="1" applyBorder="1" applyAlignment="1">
      <alignment horizontal="center" vertical="top"/>
    </xf>
    <xf numFmtId="165" fontId="4" fillId="4" borderId="48" xfId="0" applyNumberFormat="1" applyFont="1" applyFill="1" applyBorder="1" applyAlignment="1">
      <alignment horizontal="center" vertical="top"/>
    </xf>
    <xf numFmtId="165" fontId="2" fillId="6" borderId="49" xfId="0" applyNumberFormat="1" applyFont="1" applyFill="1" applyBorder="1" applyAlignment="1">
      <alignment horizontal="center" vertical="top"/>
    </xf>
    <xf numFmtId="165" fontId="2" fillId="6" borderId="37" xfId="0" applyNumberFormat="1" applyFont="1" applyFill="1" applyBorder="1" applyAlignment="1">
      <alignment horizontal="center" vertical="top"/>
    </xf>
    <xf numFmtId="3" fontId="2" fillId="6" borderId="66" xfId="0" applyNumberFormat="1" applyFont="1" applyFill="1" applyBorder="1" applyAlignment="1">
      <alignment horizontal="center" vertical="top"/>
    </xf>
    <xf numFmtId="0" fontId="2" fillId="6" borderId="87" xfId="1" applyFont="1" applyFill="1" applyBorder="1" applyAlignment="1">
      <alignment vertical="top" wrapText="1"/>
    </xf>
    <xf numFmtId="3" fontId="2" fillId="6" borderId="70" xfId="0" applyNumberFormat="1" applyFont="1" applyFill="1" applyBorder="1" applyAlignment="1">
      <alignment horizontal="center" vertical="top"/>
    </xf>
    <xf numFmtId="165" fontId="2" fillId="2" borderId="66" xfId="0" applyNumberFormat="1" applyFont="1" applyFill="1" applyBorder="1" applyAlignment="1">
      <alignment horizontal="center" vertical="top"/>
    </xf>
    <xf numFmtId="0" fontId="2" fillId="6" borderId="71" xfId="0" applyNumberFormat="1" applyFont="1" applyFill="1" applyBorder="1" applyAlignment="1">
      <alignment horizontal="center" vertical="top" wrapText="1"/>
    </xf>
    <xf numFmtId="3" fontId="2" fillId="6" borderId="66" xfId="0" applyNumberFormat="1" applyFont="1" applyFill="1" applyBorder="1" applyAlignment="1">
      <alignment horizontal="center" vertical="top" wrapText="1"/>
    </xf>
    <xf numFmtId="3" fontId="2" fillId="6" borderId="71" xfId="0" applyNumberFormat="1" applyFont="1" applyFill="1" applyBorder="1" applyAlignment="1">
      <alignment horizontal="center" vertical="top" wrapText="1"/>
    </xf>
    <xf numFmtId="3" fontId="2" fillId="6" borderId="64" xfId="0" applyNumberFormat="1" applyFont="1" applyFill="1" applyBorder="1" applyAlignment="1">
      <alignment horizontal="center" vertical="top" wrapText="1"/>
    </xf>
    <xf numFmtId="3" fontId="2" fillId="6" borderId="68" xfId="0" applyNumberFormat="1" applyFont="1" applyFill="1" applyBorder="1" applyAlignment="1">
      <alignment horizontal="center" vertical="top" wrapText="1"/>
    </xf>
    <xf numFmtId="49" fontId="2" fillId="6" borderId="64" xfId="0" applyNumberFormat="1" applyFont="1" applyFill="1" applyBorder="1" applyAlignment="1">
      <alignment horizontal="center" vertical="top" wrapText="1"/>
    </xf>
    <xf numFmtId="49" fontId="2" fillId="6" borderId="9" xfId="0" applyNumberFormat="1" applyFont="1" applyFill="1" applyBorder="1" applyAlignment="1">
      <alignment horizontal="center" vertical="top" wrapText="1"/>
    </xf>
    <xf numFmtId="1" fontId="2" fillId="6" borderId="9" xfId="0" applyNumberFormat="1" applyFont="1" applyFill="1" applyBorder="1" applyAlignment="1">
      <alignment horizontal="center" vertical="top" wrapText="1"/>
    </xf>
    <xf numFmtId="49" fontId="2" fillId="6" borderId="72" xfId="0" applyNumberFormat="1" applyFont="1" applyFill="1" applyBorder="1" applyAlignment="1">
      <alignment horizontal="center" vertical="top" wrapText="1"/>
    </xf>
    <xf numFmtId="165" fontId="2" fillId="6" borderId="64" xfId="0" applyNumberFormat="1" applyFont="1" applyFill="1" applyBorder="1" applyAlignment="1">
      <alignment horizontal="center" vertical="top" wrapText="1"/>
    </xf>
    <xf numFmtId="0" fontId="2" fillId="0" borderId="24" xfId="0" applyFont="1" applyBorder="1" applyAlignment="1">
      <alignment vertical="top"/>
    </xf>
    <xf numFmtId="0" fontId="2" fillId="0" borderId="69" xfId="0" applyFont="1" applyBorder="1" applyAlignment="1">
      <alignment vertical="top"/>
    </xf>
    <xf numFmtId="0" fontId="2" fillId="0" borderId="70" xfId="0" applyFont="1" applyBorder="1" applyAlignment="1">
      <alignment vertical="top"/>
    </xf>
    <xf numFmtId="0" fontId="2" fillId="0" borderId="87" xfId="0" applyFont="1" applyBorder="1" applyAlignment="1">
      <alignment vertical="top"/>
    </xf>
    <xf numFmtId="0" fontId="2" fillId="0" borderId="24" xfId="0" applyFont="1" applyBorder="1" applyAlignment="1">
      <alignment horizontal="center" vertical="center"/>
    </xf>
    <xf numFmtId="1" fontId="2" fillId="6" borderId="9" xfId="1" applyNumberFormat="1" applyFont="1" applyFill="1" applyBorder="1" applyAlignment="1">
      <alignment horizontal="center" vertical="top" wrapText="1"/>
    </xf>
    <xf numFmtId="3" fontId="2" fillId="6" borderId="64" xfId="1" applyNumberFormat="1" applyFont="1" applyFill="1" applyBorder="1" applyAlignment="1">
      <alignment horizontal="center" vertical="top" wrapText="1"/>
    </xf>
    <xf numFmtId="3" fontId="2" fillId="6" borderId="72" xfId="1" applyNumberFormat="1" applyFont="1" applyFill="1" applyBorder="1" applyAlignment="1">
      <alignment horizontal="center" vertical="top" wrapText="1"/>
    </xf>
    <xf numFmtId="49" fontId="2" fillId="6" borderId="14" xfId="0" applyNumberFormat="1" applyFont="1" applyFill="1" applyBorder="1" applyAlignment="1">
      <alignment horizontal="center" vertical="top" wrapText="1"/>
    </xf>
    <xf numFmtId="0" fontId="2" fillId="6" borderId="78" xfId="0" applyFont="1" applyFill="1" applyBorder="1" applyAlignment="1">
      <alignment horizontal="center" vertical="top" wrapText="1"/>
    </xf>
    <xf numFmtId="165" fontId="2" fillId="6" borderId="63" xfId="0" applyNumberFormat="1" applyFont="1" applyFill="1" applyBorder="1" applyAlignment="1">
      <alignment horizontal="center" vertical="top"/>
    </xf>
    <xf numFmtId="165" fontId="2" fillId="6" borderId="101" xfId="0" applyNumberFormat="1" applyFont="1" applyFill="1" applyBorder="1" applyAlignment="1">
      <alignment horizontal="center" vertical="top"/>
    </xf>
    <xf numFmtId="165" fontId="2" fillId="6" borderId="65" xfId="0" applyNumberFormat="1" applyFont="1" applyFill="1" applyBorder="1" applyAlignment="1">
      <alignment horizontal="center" vertical="top"/>
    </xf>
    <xf numFmtId="0" fontId="2" fillId="6" borderId="45" xfId="0" applyFont="1" applyFill="1" applyBorder="1" applyAlignment="1">
      <alignment horizontal="left" vertical="top" wrapText="1"/>
    </xf>
    <xf numFmtId="0" fontId="2" fillId="6" borderId="81" xfId="0" applyFont="1" applyFill="1" applyBorder="1" applyAlignment="1">
      <alignment horizontal="left" vertical="top" wrapText="1"/>
    </xf>
    <xf numFmtId="0" fontId="2" fillId="0" borderId="81" xfId="0" applyFont="1" applyBorder="1" applyAlignment="1">
      <alignment vertical="top" wrapText="1"/>
    </xf>
    <xf numFmtId="0" fontId="2" fillId="6" borderId="101" xfId="0" applyFont="1" applyFill="1" applyBorder="1" applyAlignment="1">
      <alignment horizontal="center" vertical="top" wrapText="1"/>
    </xf>
    <xf numFmtId="0" fontId="2" fillId="6" borderId="86" xfId="0" applyFont="1" applyFill="1" applyBorder="1" applyAlignment="1">
      <alignment horizontal="left" vertical="top" wrapText="1"/>
    </xf>
    <xf numFmtId="165" fontId="2" fillId="6" borderId="67" xfId="0" applyNumberFormat="1" applyFont="1" applyFill="1" applyBorder="1" applyAlignment="1">
      <alignment horizontal="center" vertical="top"/>
    </xf>
    <xf numFmtId="0" fontId="2" fillId="6" borderId="103" xfId="0" applyFont="1" applyFill="1" applyBorder="1" applyAlignment="1">
      <alignment horizontal="center" vertical="top" wrapText="1"/>
    </xf>
    <xf numFmtId="0" fontId="2" fillId="6" borderId="87" xfId="0" applyFont="1" applyFill="1" applyBorder="1" applyAlignment="1">
      <alignment horizontal="center" vertical="top" wrapText="1"/>
    </xf>
    <xf numFmtId="165" fontId="2" fillId="6" borderId="69" xfId="0" applyNumberFormat="1" applyFont="1" applyFill="1" applyBorder="1" applyAlignment="1">
      <alignment horizontal="center" vertical="top"/>
    </xf>
    <xf numFmtId="165" fontId="2" fillId="6" borderId="70" xfId="0" applyNumberFormat="1" applyFont="1" applyFill="1" applyBorder="1" applyAlignment="1">
      <alignment horizontal="center" vertical="top"/>
    </xf>
    <xf numFmtId="0" fontId="17" fillId="6" borderId="42" xfId="0" applyFont="1" applyFill="1" applyBorder="1" applyAlignment="1">
      <alignment horizontal="left" vertical="top" wrapText="1"/>
    </xf>
    <xf numFmtId="0" fontId="17" fillId="6" borderId="32" xfId="0" applyFont="1" applyFill="1" applyBorder="1" applyAlignment="1">
      <alignment horizontal="center" vertical="top"/>
    </xf>
    <xf numFmtId="3" fontId="2" fillId="6" borderId="73" xfId="1" applyNumberFormat="1" applyFont="1" applyFill="1" applyBorder="1" applyAlignment="1">
      <alignment horizontal="center" vertical="top"/>
    </xf>
    <xf numFmtId="3" fontId="2" fillId="6" borderId="65" xfId="1" applyNumberFormat="1" applyFont="1" applyFill="1" applyBorder="1" applyAlignment="1">
      <alignment horizontal="center" vertical="top"/>
    </xf>
    <xf numFmtId="3" fontId="2" fillId="6" borderId="66" xfId="1" applyNumberFormat="1" applyFont="1" applyFill="1" applyBorder="1" applyAlignment="1">
      <alignment horizontal="center" vertical="top"/>
    </xf>
    <xf numFmtId="1" fontId="2" fillId="6" borderId="64" xfId="0" applyNumberFormat="1" applyFont="1" applyFill="1" applyBorder="1" applyAlignment="1">
      <alignment horizontal="center" vertical="top" wrapText="1"/>
    </xf>
    <xf numFmtId="3" fontId="2" fillId="6" borderId="68" xfId="1" applyNumberFormat="1" applyFont="1" applyFill="1" applyBorder="1" applyAlignment="1">
      <alignment horizontal="center" vertical="top"/>
    </xf>
    <xf numFmtId="0" fontId="6" fillId="6" borderId="31" xfId="0" applyFont="1" applyFill="1" applyBorder="1" applyAlignment="1">
      <alignment horizontal="center" vertical="center" textRotation="90" wrapText="1"/>
    </xf>
    <xf numFmtId="0" fontId="6" fillId="6" borderId="25" xfId="0" applyFont="1" applyFill="1" applyBorder="1" applyAlignment="1">
      <alignment horizontal="center" vertical="center" textRotation="90" wrapText="1"/>
    </xf>
    <xf numFmtId="3" fontId="2" fillId="6" borderId="0" xfId="1" applyNumberFormat="1" applyFont="1" applyFill="1" applyBorder="1" applyAlignment="1">
      <alignment horizontal="center" vertical="top"/>
    </xf>
    <xf numFmtId="3" fontId="2" fillId="6" borderId="1" xfId="1" applyNumberFormat="1" applyFont="1" applyFill="1" applyBorder="1" applyAlignment="1">
      <alignment horizontal="center" vertical="top"/>
    </xf>
    <xf numFmtId="1" fontId="2" fillId="6" borderId="71" xfId="0" applyNumberFormat="1" applyFont="1" applyFill="1" applyBorder="1" applyAlignment="1">
      <alignment horizontal="center" vertical="top" wrapText="1"/>
    </xf>
    <xf numFmtId="0" fontId="2" fillId="0" borderId="103" xfId="0" applyFont="1" applyFill="1" applyBorder="1" applyAlignment="1">
      <alignment horizontal="center" vertical="top" wrapText="1"/>
    </xf>
    <xf numFmtId="49" fontId="2" fillId="6" borderId="66" xfId="0" applyNumberFormat="1" applyFont="1" applyFill="1" applyBorder="1" applyAlignment="1">
      <alignment horizontal="center" vertical="top" wrapText="1"/>
    </xf>
    <xf numFmtId="49" fontId="2" fillId="6" borderId="23" xfId="0" applyNumberFormat="1" applyFont="1" applyFill="1" applyBorder="1" applyAlignment="1">
      <alignment horizontal="center" vertical="top" wrapText="1"/>
    </xf>
    <xf numFmtId="165" fontId="2" fillId="6" borderId="1" xfId="0" applyNumberFormat="1" applyFont="1" applyFill="1" applyBorder="1" applyAlignment="1">
      <alignment horizontal="center" vertical="top"/>
    </xf>
    <xf numFmtId="3" fontId="2" fillId="6" borderId="25" xfId="0" applyNumberFormat="1" applyFont="1" applyFill="1" applyBorder="1" applyAlignment="1">
      <alignment horizontal="center" vertical="top" wrapText="1"/>
    </xf>
    <xf numFmtId="165" fontId="2" fillId="6" borderId="23" xfId="0" applyNumberFormat="1" applyFont="1" applyFill="1" applyBorder="1" applyAlignment="1">
      <alignment horizontal="center" vertical="top" wrapText="1"/>
    </xf>
    <xf numFmtId="165" fontId="2" fillId="6" borderId="37" xfId="0" applyNumberFormat="1" applyFont="1" applyFill="1" applyBorder="1" applyAlignment="1">
      <alignment horizontal="center" vertical="top" wrapText="1"/>
    </xf>
    <xf numFmtId="165" fontId="2" fillId="6" borderId="71" xfId="0" applyNumberFormat="1" applyFont="1" applyFill="1" applyBorder="1" applyAlignment="1">
      <alignment horizontal="center" vertical="top"/>
    </xf>
    <xf numFmtId="0" fontId="2" fillId="6" borderId="1" xfId="0" applyFont="1" applyFill="1" applyBorder="1" applyAlignment="1">
      <alignment horizontal="center" vertical="center" textRotation="90" wrapText="1"/>
    </xf>
    <xf numFmtId="49" fontId="2" fillId="6" borderId="5" xfId="0" applyNumberFormat="1" applyFont="1" applyFill="1" applyBorder="1" applyAlignment="1">
      <alignment horizontal="center" vertical="center" wrapText="1"/>
    </xf>
    <xf numFmtId="165" fontId="2" fillId="0" borderId="37" xfId="0" applyNumberFormat="1" applyFont="1" applyFill="1" applyBorder="1" applyAlignment="1">
      <alignment horizontal="center" vertical="top"/>
    </xf>
    <xf numFmtId="0" fontId="2" fillId="6" borderId="72" xfId="0" applyFont="1" applyFill="1" applyBorder="1" applyAlignment="1">
      <alignment horizontal="center" vertical="top"/>
    </xf>
    <xf numFmtId="3" fontId="2" fillId="6" borderId="71" xfId="0" applyNumberFormat="1" applyFont="1" applyFill="1" applyBorder="1" applyAlignment="1">
      <alignment horizontal="center" vertical="top"/>
    </xf>
    <xf numFmtId="3" fontId="2" fillId="6" borderId="72" xfId="0" applyNumberFormat="1" applyFont="1" applyFill="1" applyBorder="1" applyAlignment="1">
      <alignment horizontal="center" vertical="top"/>
    </xf>
    <xf numFmtId="164" fontId="2" fillId="6" borderId="68" xfId="0" applyNumberFormat="1" applyFont="1" applyFill="1" applyBorder="1" applyAlignment="1">
      <alignment horizontal="center" vertical="top"/>
    </xf>
    <xf numFmtId="3" fontId="2" fillId="6" borderId="37" xfId="0" applyNumberFormat="1" applyFont="1" applyFill="1" applyBorder="1" applyAlignment="1">
      <alignment horizontal="center" vertical="top"/>
    </xf>
    <xf numFmtId="1" fontId="2" fillId="6" borderId="37" xfId="0" applyNumberFormat="1" applyFont="1" applyFill="1" applyBorder="1" applyAlignment="1">
      <alignment horizontal="center" vertical="top" wrapText="1"/>
    </xf>
    <xf numFmtId="0" fontId="2" fillId="0" borderId="9" xfId="0" applyFont="1" applyBorder="1" applyAlignment="1">
      <alignment vertical="top"/>
    </xf>
    <xf numFmtId="0" fontId="2" fillId="0" borderId="72" xfId="0" applyFont="1" applyBorder="1" applyAlignment="1">
      <alignment vertical="top"/>
    </xf>
    <xf numFmtId="0" fontId="2" fillId="0" borderId="74" xfId="0" applyFont="1" applyBorder="1" applyAlignment="1">
      <alignment vertical="top"/>
    </xf>
    <xf numFmtId="0" fontId="2" fillId="0" borderId="63" xfId="0" applyFont="1" applyBorder="1" applyAlignment="1">
      <alignment vertical="top"/>
    </xf>
    <xf numFmtId="3" fontId="2" fillId="6" borderId="67" xfId="0" applyNumberFormat="1" applyFont="1" applyFill="1" applyBorder="1" applyAlignment="1">
      <alignment horizontal="center" vertical="top"/>
    </xf>
    <xf numFmtId="164" fontId="2" fillId="0" borderId="0" xfId="0" applyNumberFormat="1" applyFont="1" applyAlignment="1">
      <alignment horizontal="center" vertical="top"/>
    </xf>
    <xf numFmtId="164" fontId="2" fillId="0" borderId="13" xfId="0" applyNumberFormat="1" applyFont="1" applyBorder="1" applyAlignment="1">
      <alignment horizontal="center" vertical="top"/>
    </xf>
    <xf numFmtId="0" fontId="2" fillId="6" borderId="64" xfId="0" applyFont="1" applyFill="1" applyBorder="1" applyAlignment="1">
      <alignment horizontal="center" vertical="top"/>
    </xf>
    <xf numFmtId="0" fontId="2" fillId="6" borderId="71" xfId="0" applyFont="1" applyFill="1" applyBorder="1" applyAlignment="1">
      <alignment horizontal="center" vertical="top"/>
    </xf>
    <xf numFmtId="0" fontId="2" fillId="6" borderId="31" xfId="0" applyFont="1" applyFill="1" applyBorder="1" applyAlignment="1">
      <alignment horizontal="center" vertical="center"/>
    </xf>
    <xf numFmtId="0" fontId="2" fillId="6" borderId="75" xfId="0" applyFont="1" applyFill="1" applyBorder="1" applyAlignment="1">
      <alignment horizontal="center" vertical="top"/>
    </xf>
    <xf numFmtId="0" fontId="2" fillId="6" borderId="63" xfId="0" applyFont="1" applyFill="1" applyBorder="1" applyAlignment="1">
      <alignment horizontal="center" vertical="top"/>
    </xf>
    <xf numFmtId="0" fontId="2" fillId="6" borderId="67" xfId="0" applyFont="1" applyFill="1" applyBorder="1" applyAlignment="1">
      <alignment horizontal="center" vertical="top"/>
    </xf>
    <xf numFmtId="0" fontId="2" fillId="6" borderId="70" xfId="0" applyFont="1" applyFill="1" applyBorder="1" applyAlignment="1">
      <alignment horizontal="center" vertical="top"/>
    </xf>
    <xf numFmtId="0" fontId="2" fillId="6" borderId="41" xfId="0" applyFont="1" applyFill="1" applyBorder="1" applyAlignment="1">
      <alignment horizontal="center" vertical="center"/>
    </xf>
    <xf numFmtId="0" fontId="2" fillId="6" borderId="25" xfId="0" applyFont="1" applyFill="1" applyBorder="1" applyAlignment="1">
      <alignment horizontal="center" vertical="top"/>
    </xf>
    <xf numFmtId="49" fontId="4" fillId="6" borderId="26" xfId="0" applyNumberFormat="1" applyFont="1" applyFill="1" applyBorder="1" applyAlignment="1">
      <alignment horizontal="center" vertical="center"/>
    </xf>
    <xf numFmtId="0" fontId="20" fillId="6" borderId="16" xfId="0" applyFont="1" applyFill="1" applyBorder="1" applyAlignment="1">
      <alignment vertical="top" wrapText="1"/>
    </xf>
    <xf numFmtId="0" fontId="20" fillId="6" borderId="26" xfId="0" applyFont="1" applyFill="1" applyBorder="1" applyAlignment="1">
      <alignment vertical="top" wrapText="1"/>
    </xf>
    <xf numFmtId="0" fontId="2" fillId="6" borderId="1" xfId="0" applyFont="1" applyFill="1" applyBorder="1" applyAlignment="1">
      <alignment horizontal="center" vertical="top"/>
    </xf>
    <xf numFmtId="164" fontId="2" fillId="6" borderId="12" xfId="0" applyNumberFormat="1" applyFont="1" applyFill="1" applyBorder="1" applyAlignment="1">
      <alignment horizontal="center" vertical="top" wrapText="1"/>
    </xf>
    <xf numFmtId="0" fontId="2" fillId="6" borderId="9" xfId="0" applyNumberFormat="1" applyFont="1" applyFill="1" applyBorder="1" applyAlignment="1">
      <alignment horizontal="center" vertical="top" wrapText="1"/>
    </xf>
    <xf numFmtId="0" fontId="2" fillId="6" borderId="68" xfId="0" applyFont="1" applyFill="1" applyBorder="1" applyAlignment="1">
      <alignment vertical="top"/>
    </xf>
    <xf numFmtId="3" fontId="2" fillId="6" borderId="9" xfId="1" applyNumberFormat="1" applyFont="1" applyFill="1" applyBorder="1" applyAlignment="1">
      <alignment horizontal="center" vertical="top"/>
    </xf>
    <xf numFmtId="3" fontId="2" fillId="6" borderId="30" xfId="0" applyNumberFormat="1" applyFont="1" applyFill="1" applyBorder="1" applyAlignment="1">
      <alignment horizontal="center" vertical="top"/>
    </xf>
    <xf numFmtId="0" fontId="2" fillId="6" borderId="66" xfId="0" applyFont="1" applyFill="1" applyBorder="1" applyAlignment="1">
      <alignment horizontal="center" vertical="top"/>
    </xf>
    <xf numFmtId="0" fontId="2" fillId="6" borderId="105" xfId="0" applyFont="1" applyFill="1" applyBorder="1" applyAlignment="1">
      <alignment horizontal="center" vertical="top"/>
    </xf>
    <xf numFmtId="0" fontId="2" fillId="6" borderId="97" xfId="0" applyFont="1" applyFill="1" applyBorder="1" applyAlignment="1">
      <alignment horizontal="center" vertical="top"/>
    </xf>
    <xf numFmtId="0" fontId="2" fillId="6" borderId="84" xfId="0" applyFont="1" applyFill="1" applyBorder="1" applyAlignment="1">
      <alignment horizontal="center" vertical="top"/>
    </xf>
    <xf numFmtId="0" fontId="2" fillId="6" borderId="23" xfId="0" applyFont="1" applyFill="1" applyBorder="1" applyAlignment="1">
      <alignment horizontal="center" vertical="top"/>
    </xf>
    <xf numFmtId="0" fontId="2" fillId="6" borderId="47" xfId="0" applyFont="1" applyFill="1" applyBorder="1" applyAlignment="1">
      <alignment horizontal="center" vertical="top"/>
    </xf>
    <xf numFmtId="3" fontId="2" fillId="6" borderId="31" xfId="0" applyNumberFormat="1" applyFont="1" applyFill="1" applyBorder="1" applyAlignment="1">
      <alignment horizontal="center" vertical="top" wrapText="1"/>
    </xf>
    <xf numFmtId="0" fontId="2" fillId="8" borderId="0" xfId="1" applyFont="1" applyFill="1" applyBorder="1" applyAlignment="1">
      <alignment vertical="top" wrapText="1"/>
    </xf>
    <xf numFmtId="0" fontId="2" fillId="8" borderId="36" xfId="0" applyFont="1" applyFill="1" applyBorder="1" applyAlignment="1">
      <alignment horizontal="center" vertical="top"/>
    </xf>
    <xf numFmtId="3" fontId="2" fillId="8" borderId="0" xfId="0" applyNumberFormat="1" applyFont="1" applyFill="1" applyBorder="1" applyAlignment="1">
      <alignment horizontal="center" vertical="top"/>
    </xf>
    <xf numFmtId="3" fontId="2" fillId="8" borderId="41" xfId="0" applyNumberFormat="1" applyFont="1" applyFill="1" applyBorder="1" applyAlignment="1">
      <alignment horizontal="center" vertical="top"/>
    </xf>
    <xf numFmtId="3" fontId="2" fillId="8" borderId="36" xfId="0" applyNumberFormat="1" applyFont="1" applyFill="1" applyBorder="1" applyAlignment="1">
      <alignment horizontal="center" vertical="top"/>
    </xf>
    <xf numFmtId="1" fontId="2" fillId="6" borderId="76" xfId="0" applyNumberFormat="1" applyFont="1" applyFill="1" applyBorder="1" applyAlignment="1">
      <alignment horizontal="center" vertical="top" wrapText="1"/>
    </xf>
    <xf numFmtId="0" fontId="2" fillId="6" borderId="71" xfId="0" applyFont="1" applyFill="1" applyBorder="1" applyAlignment="1">
      <alignment horizontal="left" vertical="top" wrapText="1"/>
    </xf>
    <xf numFmtId="165" fontId="2" fillId="6" borderId="77" xfId="0" applyNumberFormat="1" applyFont="1" applyFill="1" applyBorder="1" applyAlignment="1">
      <alignment vertical="top" wrapText="1"/>
    </xf>
    <xf numFmtId="164" fontId="2" fillId="6" borderId="66" xfId="0" applyNumberFormat="1" applyFont="1" applyFill="1" applyBorder="1" applyAlignment="1">
      <alignment horizontal="center" vertical="center" wrapText="1"/>
    </xf>
    <xf numFmtId="164" fontId="2" fillId="6" borderId="34" xfId="0" applyNumberFormat="1" applyFont="1" applyFill="1" applyBorder="1" applyAlignment="1">
      <alignment horizontal="center" vertical="center" wrapText="1"/>
    </xf>
    <xf numFmtId="164" fontId="2" fillId="6" borderId="97" xfId="0" applyNumberFormat="1" applyFont="1" applyFill="1" applyBorder="1" applyAlignment="1">
      <alignment horizontal="center" vertical="center" wrapText="1"/>
    </xf>
    <xf numFmtId="164" fontId="2" fillId="6" borderId="100" xfId="0" applyNumberFormat="1" applyFont="1" applyFill="1" applyBorder="1" applyAlignment="1">
      <alignment horizontal="center" vertical="center" wrapText="1"/>
    </xf>
    <xf numFmtId="0" fontId="2" fillId="0" borderId="69" xfId="0" applyFont="1" applyBorder="1" applyAlignment="1">
      <alignment horizontal="center" vertical="top"/>
    </xf>
    <xf numFmtId="3" fontId="2" fillId="6" borderId="105" xfId="0" applyNumberFormat="1" applyFont="1" applyFill="1" applyBorder="1" applyAlignment="1">
      <alignment horizontal="center" vertical="top"/>
    </xf>
    <xf numFmtId="3" fontId="2" fillId="6" borderId="100" xfId="0" applyNumberFormat="1" applyFont="1" applyFill="1" applyBorder="1" applyAlignment="1">
      <alignment horizontal="center" vertical="top"/>
    </xf>
    <xf numFmtId="1" fontId="2" fillId="6" borderId="80" xfId="0" applyNumberFormat="1" applyFont="1" applyFill="1" applyBorder="1" applyAlignment="1">
      <alignment horizontal="center" vertical="top" wrapText="1"/>
    </xf>
    <xf numFmtId="165" fontId="2" fillId="6" borderId="42" xfId="0" applyNumberFormat="1" applyFont="1" applyFill="1" applyBorder="1" applyAlignment="1">
      <alignment horizontal="center" vertical="top"/>
    </xf>
    <xf numFmtId="0" fontId="2" fillId="6" borderId="23" xfId="0" applyFont="1" applyFill="1" applyBorder="1" applyAlignment="1">
      <alignment vertical="top"/>
    </xf>
    <xf numFmtId="3" fontId="2" fillId="0" borderId="66" xfId="0" applyNumberFormat="1" applyFont="1" applyFill="1" applyBorder="1" applyAlignment="1">
      <alignment horizontal="center" vertical="top"/>
    </xf>
    <xf numFmtId="3" fontId="2" fillId="0" borderId="100" xfId="0" applyNumberFormat="1" applyFont="1" applyFill="1" applyBorder="1" applyAlignment="1">
      <alignment horizontal="center" vertical="top"/>
    </xf>
    <xf numFmtId="3" fontId="2" fillId="0" borderId="69" xfId="0" applyNumberFormat="1" applyFont="1" applyFill="1" applyBorder="1" applyAlignment="1">
      <alignment horizontal="center" vertical="top"/>
    </xf>
    <xf numFmtId="3" fontId="2" fillId="6" borderId="70" xfId="0" applyNumberFormat="1" applyFont="1" applyFill="1" applyBorder="1" applyAlignment="1">
      <alignment horizontal="center" vertical="top" wrapText="1"/>
    </xf>
    <xf numFmtId="0" fontId="2" fillId="6" borderId="47" xfId="0" applyFont="1" applyFill="1" applyBorder="1" applyAlignment="1">
      <alignment horizontal="center" vertical="center" textRotation="90" wrapText="1"/>
    </xf>
    <xf numFmtId="165" fontId="9" fillId="6" borderId="0" xfId="0" applyNumberFormat="1" applyFont="1" applyFill="1" applyBorder="1" applyAlignment="1">
      <alignment horizontal="center" vertical="top"/>
    </xf>
    <xf numFmtId="165" fontId="9" fillId="6" borderId="13" xfId="0" applyNumberFormat="1" applyFont="1" applyFill="1" applyBorder="1" applyAlignment="1">
      <alignment horizontal="center" vertical="top"/>
    </xf>
    <xf numFmtId="165" fontId="9" fillId="6" borderId="45" xfId="0" applyNumberFormat="1" applyFont="1" applyFill="1" applyBorder="1" applyAlignment="1">
      <alignment horizontal="center" vertical="top"/>
    </xf>
    <xf numFmtId="165" fontId="9" fillId="6" borderId="41" xfId="0" applyNumberFormat="1" applyFont="1" applyFill="1" applyBorder="1" applyAlignment="1">
      <alignment horizontal="center" vertical="top"/>
    </xf>
    <xf numFmtId="165" fontId="9" fillId="6" borderId="26" xfId="0" applyNumberFormat="1" applyFont="1" applyFill="1" applyBorder="1" applyAlignment="1">
      <alignment horizontal="center" vertical="top"/>
    </xf>
    <xf numFmtId="165" fontId="9" fillId="6" borderId="47" xfId="0" applyNumberFormat="1" applyFont="1" applyFill="1" applyBorder="1" applyAlignment="1">
      <alignment horizontal="center" vertical="top"/>
    </xf>
    <xf numFmtId="0" fontId="2" fillId="6" borderId="37" xfId="0" applyNumberFormat="1" applyFont="1" applyFill="1" applyBorder="1" applyAlignment="1">
      <alignment horizontal="center" vertical="top" wrapText="1"/>
    </xf>
    <xf numFmtId="0" fontId="14" fillId="6" borderId="18" xfId="0" applyFont="1" applyFill="1" applyBorder="1" applyAlignment="1">
      <alignment vertical="top" wrapText="1"/>
    </xf>
    <xf numFmtId="0" fontId="2" fillId="6" borderId="23" xfId="0" applyNumberFormat="1" applyFont="1" applyFill="1" applyBorder="1" applyAlignment="1">
      <alignment vertical="top" wrapText="1"/>
    </xf>
    <xf numFmtId="0" fontId="2" fillId="6" borderId="41" xfId="0" applyNumberFormat="1" applyFont="1" applyFill="1" applyBorder="1" applyAlignment="1">
      <alignment vertical="top" wrapText="1"/>
    </xf>
    <xf numFmtId="0" fontId="2" fillId="6" borderId="26" xfId="0" applyNumberFormat="1" applyFont="1" applyFill="1" applyBorder="1" applyAlignment="1">
      <alignment vertical="top" wrapText="1"/>
    </xf>
    <xf numFmtId="0" fontId="2" fillId="6" borderId="47" xfId="0" applyNumberFormat="1" applyFont="1" applyFill="1" applyBorder="1" applyAlignment="1">
      <alignment vertical="top" wrapText="1"/>
    </xf>
    <xf numFmtId="0" fontId="2" fillId="6" borderId="102" xfId="1" applyFont="1" applyFill="1" applyBorder="1" applyAlignment="1">
      <alignment horizontal="left" vertical="top" wrapText="1"/>
    </xf>
    <xf numFmtId="165" fontId="2" fillId="6" borderId="66" xfId="1" applyNumberFormat="1" applyFont="1" applyFill="1" applyBorder="1" applyAlignment="1">
      <alignment horizontal="center" vertical="top" wrapText="1"/>
    </xf>
    <xf numFmtId="165" fontId="2" fillId="6" borderId="105" xfId="1" applyNumberFormat="1" applyFont="1" applyFill="1" applyBorder="1" applyAlignment="1">
      <alignment horizontal="center" vertical="top" wrapText="1"/>
    </xf>
    <xf numFmtId="165" fontId="2" fillId="6" borderId="16" xfId="1" applyNumberFormat="1" applyFont="1" applyFill="1" applyBorder="1" applyAlignment="1">
      <alignment horizontal="center" vertical="top" wrapText="1"/>
    </xf>
    <xf numFmtId="165" fontId="2" fillId="6" borderId="100" xfId="1" applyNumberFormat="1" applyFont="1" applyFill="1" applyBorder="1" applyAlignment="1">
      <alignment horizontal="center" vertical="top" wrapText="1"/>
    </xf>
    <xf numFmtId="165" fontId="2" fillId="6" borderId="9" xfId="0" applyNumberFormat="1" applyFont="1" applyFill="1" applyBorder="1" applyAlignment="1">
      <alignment horizontal="center" vertical="center"/>
    </xf>
    <xf numFmtId="165" fontId="2" fillId="6" borderId="66" xfId="0" applyNumberFormat="1" applyFont="1" applyFill="1" applyBorder="1" applyAlignment="1">
      <alignment horizontal="center" vertical="top" wrapText="1"/>
    </xf>
    <xf numFmtId="165" fontId="2" fillId="6" borderId="97" xfId="0" applyNumberFormat="1" applyFont="1" applyFill="1" applyBorder="1" applyAlignment="1">
      <alignment horizontal="center" vertical="top" wrapText="1"/>
    </xf>
    <xf numFmtId="165" fontId="2" fillId="6" borderId="100" xfId="0" applyNumberFormat="1" applyFont="1" applyFill="1" applyBorder="1" applyAlignment="1">
      <alignment horizontal="center" vertical="top" wrapText="1"/>
    </xf>
    <xf numFmtId="0" fontId="2" fillId="6" borderId="17" xfId="0" applyFont="1" applyFill="1" applyBorder="1" applyAlignment="1">
      <alignment vertical="top" wrapText="1"/>
    </xf>
    <xf numFmtId="164" fontId="9" fillId="6" borderId="30" xfId="0" applyNumberFormat="1" applyFont="1" applyFill="1" applyBorder="1" applyAlignment="1">
      <alignment horizontal="center" vertical="top" wrapText="1"/>
    </xf>
    <xf numFmtId="3" fontId="2" fillId="0" borderId="33" xfId="0" applyNumberFormat="1" applyFont="1" applyFill="1" applyBorder="1" applyAlignment="1">
      <alignment vertical="top"/>
    </xf>
    <xf numFmtId="165" fontId="6" fillId="0" borderId="0" xfId="0" applyNumberFormat="1" applyFont="1" applyAlignment="1">
      <alignment horizontal="left" vertical="top" wrapText="1"/>
    </xf>
    <xf numFmtId="2" fontId="2" fillId="0" borderId="0" xfId="0" applyNumberFormat="1" applyFont="1" applyAlignment="1">
      <alignment horizontal="center" vertical="top"/>
    </xf>
    <xf numFmtId="3" fontId="22" fillId="6" borderId="66" xfId="0" applyNumberFormat="1" applyFont="1" applyFill="1" applyBorder="1" applyAlignment="1">
      <alignment horizontal="center" vertical="top"/>
    </xf>
    <xf numFmtId="3" fontId="22" fillId="6" borderId="9" xfId="0" applyNumberFormat="1" applyFont="1" applyFill="1" applyBorder="1" applyAlignment="1">
      <alignment horizontal="center" vertical="top" wrapText="1"/>
    </xf>
    <xf numFmtId="0" fontId="2" fillId="6" borderId="8" xfId="0" applyFont="1" applyFill="1" applyBorder="1"/>
    <xf numFmtId="0" fontId="2" fillId="6" borderId="65" xfId="0" applyFont="1" applyFill="1" applyBorder="1" applyAlignment="1">
      <alignment vertical="center" wrapText="1"/>
    </xf>
    <xf numFmtId="0" fontId="2" fillId="6" borderId="13" xfId="0" applyFont="1" applyFill="1" applyBorder="1" applyAlignment="1">
      <alignment vertical="center" wrapText="1"/>
    </xf>
    <xf numFmtId="0" fontId="2" fillId="6" borderId="75" xfId="0" applyFont="1" applyFill="1" applyBorder="1" applyAlignment="1">
      <alignment vertical="center" wrapText="1"/>
    </xf>
    <xf numFmtId="0" fontId="2" fillId="6" borderId="26" xfId="0" applyFont="1" applyFill="1" applyBorder="1" applyAlignment="1">
      <alignment vertical="center" wrapText="1"/>
    </xf>
    <xf numFmtId="1" fontId="2" fillId="6" borderId="104" xfId="0" applyNumberFormat="1" applyFont="1" applyFill="1" applyBorder="1" applyAlignment="1">
      <alignment horizontal="center" vertical="top" wrapText="1"/>
    </xf>
    <xf numFmtId="0" fontId="2" fillId="6" borderId="34" xfId="0" applyNumberFormat="1" applyFont="1" applyFill="1" applyBorder="1" applyAlignment="1">
      <alignment horizontal="center" vertical="top" wrapText="1"/>
    </xf>
    <xf numFmtId="0" fontId="2" fillId="6" borderId="16" xfId="0" applyNumberFormat="1" applyFont="1" applyFill="1" applyBorder="1" applyAlignment="1">
      <alignment horizontal="center" vertical="top" wrapText="1"/>
    </xf>
    <xf numFmtId="0" fontId="2" fillId="6" borderId="44" xfId="0" applyNumberFormat="1" applyFont="1" applyFill="1" applyBorder="1" applyAlignment="1">
      <alignment horizontal="center" vertical="top" wrapText="1"/>
    </xf>
    <xf numFmtId="49" fontId="4" fillId="6" borderId="16" xfId="0" applyNumberFormat="1" applyFont="1" applyFill="1" applyBorder="1" applyAlignment="1">
      <alignment horizontal="center" vertical="top"/>
    </xf>
    <xf numFmtId="49" fontId="4" fillId="6" borderId="26" xfId="0" applyNumberFormat="1" applyFont="1" applyFill="1" applyBorder="1" applyAlignment="1">
      <alignment horizontal="center" vertical="top"/>
    </xf>
    <xf numFmtId="0" fontId="2" fillId="6" borderId="13" xfId="0" applyFont="1" applyFill="1" applyBorder="1" applyAlignment="1">
      <alignment horizontal="center" vertical="center" textRotation="90" wrapText="1"/>
    </xf>
    <xf numFmtId="0" fontId="2" fillId="6" borderId="26" xfId="0" applyFont="1" applyFill="1" applyBorder="1" applyAlignment="1">
      <alignment horizontal="center" vertical="center" textRotation="90" wrapText="1"/>
    </xf>
    <xf numFmtId="0" fontId="2" fillId="6" borderId="77" xfId="0" applyFont="1" applyFill="1" applyBorder="1" applyAlignment="1">
      <alignment horizontal="left" vertical="top" wrapText="1"/>
    </xf>
    <xf numFmtId="0" fontId="2" fillId="6" borderId="78" xfId="0" applyFont="1" applyFill="1" applyBorder="1" applyAlignment="1">
      <alignment horizontal="left" vertical="top" wrapText="1"/>
    </xf>
    <xf numFmtId="49" fontId="2" fillId="6" borderId="8" xfId="0" applyNumberFormat="1" applyFont="1" applyFill="1" applyBorder="1" applyAlignment="1">
      <alignment horizontal="center" vertical="top" wrapText="1"/>
    </xf>
    <xf numFmtId="49" fontId="2" fillId="6" borderId="18" xfId="0" applyNumberFormat="1" applyFont="1" applyFill="1" applyBorder="1" applyAlignment="1">
      <alignment horizontal="center" vertical="top" wrapText="1"/>
    </xf>
    <xf numFmtId="0" fontId="2" fillId="6" borderId="16" xfId="0" applyFont="1" applyFill="1" applyBorder="1" applyAlignment="1">
      <alignment horizontal="left" vertical="top" wrapText="1"/>
    </xf>
    <xf numFmtId="0" fontId="6" fillId="0" borderId="13" xfId="0" applyFont="1" applyBorder="1" applyAlignment="1">
      <alignment horizontal="left" vertical="top" wrapText="1"/>
    </xf>
    <xf numFmtId="0" fontId="2" fillId="6" borderId="40" xfId="0" applyFont="1" applyFill="1" applyBorder="1" applyAlignment="1">
      <alignment horizontal="center" vertical="center" textRotation="90" wrapText="1"/>
    </xf>
    <xf numFmtId="0" fontId="2" fillId="6" borderId="42" xfId="0" applyFont="1" applyFill="1" applyBorder="1" applyAlignment="1">
      <alignment horizontal="center" vertical="center" textRotation="90" wrapText="1"/>
    </xf>
    <xf numFmtId="0" fontId="6" fillId="6" borderId="8" xfId="0" applyFont="1" applyFill="1" applyBorder="1" applyAlignment="1">
      <alignment horizontal="center" vertical="top" wrapText="1"/>
    </xf>
    <xf numFmtId="0" fontId="2" fillId="6" borderId="8" xfId="0" applyFont="1" applyFill="1" applyBorder="1" applyAlignment="1">
      <alignment horizontal="left" vertical="top" wrapText="1"/>
    </xf>
    <xf numFmtId="49" fontId="2" fillId="6" borderId="5" xfId="0" applyNumberFormat="1" applyFont="1" applyFill="1" applyBorder="1" applyAlignment="1">
      <alignment horizontal="center" vertical="top" wrapText="1"/>
    </xf>
    <xf numFmtId="0" fontId="2" fillId="6" borderId="13" xfId="0" applyFont="1" applyFill="1" applyBorder="1" applyAlignment="1">
      <alignment vertical="top" wrapText="1"/>
    </xf>
    <xf numFmtId="0" fontId="2" fillId="6" borderId="26" xfId="0" applyFont="1" applyFill="1" applyBorder="1" applyAlignment="1">
      <alignment vertical="top" wrapText="1"/>
    </xf>
    <xf numFmtId="0" fontId="2" fillId="6" borderId="13" xfId="0" applyFont="1" applyFill="1" applyBorder="1" applyAlignment="1">
      <alignment horizontal="left" vertical="top" wrapText="1"/>
    </xf>
    <xf numFmtId="0" fontId="2" fillId="6" borderId="38" xfId="0" applyFont="1" applyFill="1" applyBorder="1" applyAlignment="1">
      <alignment horizontal="left" vertical="top" wrapText="1"/>
    </xf>
    <xf numFmtId="0" fontId="2" fillId="6" borderId="18" xfId="0" applyFont="1" applyFill="1" applyBorder="1" applyAlignment="1">
      <alignment horizontal="left" vertical="top" wrapText="1"/>
    </xf>
    <xf numFmtId="0" fontId="2" fillId="6" borderId="75" xfId="0" applyFont="1" applyFill="1" applyBorder="1" applyAlignment="1">
      <alignment horizontal="left" vertical="top" wrapText="1"/>
    </xf>
    <xf numFmtId="0" fontId="2" fillId="6" borderId="26" xfId="0" applyFont="1" applyFill="1" applyBorder="1" applyAlignment="1">
      <alignment horizontal="left" vertical="top" wrapText="1"/>
    </xf>
    <xf numFmtId="0" fontId="2" fillId="6" borderId="5" xfId="1" applyFont="1" applyFill="1" applyBorder="1" applyAlignment="1">
      <alignment vertical="top" wrapText="1"/>
    </xf>
    <xf numFmtId="0" fontId="6" fillId="6" borderId="18" xfId="0" applyFont="1" applyFill="1" applyBorder="1" applyAlignment="1">
      <alignment vertical="top" wrapText="1"/>
    </xf>
    <xf numFmtId="0" fontId="2" fillId="6" borderId="5" xfId="0" applyFont="1" applyFill="1" applyBorder="1" applyAlignment="1">
      <alignment horizontal="left" vertical="top" wrapText="1"/>
    </xf>
    <xf numFmtId="0" fontId="2" fillId="6" borderId="14" xfId="0" applyFont="1" applyFill="1" applyBorder="1" applyAlignment="1">
      <alignment horizontal="center" vertical="center" textRotation="90" wrapText="1"/>
    </xf>
    <xf numFmtId="0" fontId="2" fillId="6" borderId="32" xfId="1" applyFont="1" applyFill="1" applyBorder="1" applyAlignment="1">
      <alignment vertical="top" wrapText="1"/>
    </xf>
    <xf numFmtId="0" fontId="2" fillId="6" borderId="32" xfId="0" applyFont="1" applyFill="1" applyBorder="1" applyAlignment="1">
      <alignment horizontal="left" vertical="top" wrapText="1"/>
    </xf>
    <xf numFmtId="0" fontId="6" fillId="6" borderId="56" xfId="0" applyFont="1" applyFill="1" applyBorder="1" applyAlignment="1">
      <alignment vertical="top" wrapText="1"/>
    </xf>
    <xf numFmtId="49" fontId="4" fillId="10" borderId="9" xfId="0" applyNumberFormat="1" applyFont="1" applyFill="1" applyBorder="1" applyAlignment="1">
      <alignment horizontal="center" vertical="top"/>
    </xf>
    <xf numFmtId="49" fontId="4" fillId="3" borderId="42"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49" fontId="4" fillId="6" borderId="13" xfId="0" applyNumberFormat="1" applyFont="1" applyFill="1" applyBorder="1" applyAlignment="1">
      <alignment horizontal="center" vertical="top"/>
    </xf>
    <xf numFmtId="0" fontId="2" fillId="6" borderId="42" xfId="0" applyFont="1" applyFill="1" applyBorder="1" applyAlignment="1">
      <alignment horizontal="left" vertical="top" wrapText="1"/>
    </xf>
    <xf numFmtId="0" fontId="2" fillId="6" borderId="8" xfId="0" applyFont="1" applyFill="1" applyBorder="1" applyAlignment="1">
      <alignment horizontal="center" vertical="top" wrapText="1"/>
    </xf>
    <xf numFmtId="0" fontId="2" fillId="6" borderId="8" xfId="1" applyFont="1" applyFill="1" applyBorder="1" applyAlignment="1">
      <alignment horizontal="left" vertical="top" wrapText="1"/>
    </xf>
    <xf numFmtId="0" fontId="6" fillId="9" borderId="54" xfId="0" applyFont="1" applyFill="1" applyBorder="1" applyAlignment="1">
      <alignment horizontal="left" vertical="top" wrapText="1"/>
    </xf>
    <xf numFmtId="49" fontId="4" fillId="3" borderId="13" xfId="0" applyNumberFormat="1" applyFont="1" applyFill="1" applyBorder="1" applyAlignment="1">
      <alignment horizontal="center" vertical="top"/>
    </xf>
    <xf numFmtId="49" fontId="4" fillId="8" borderId="13" xfId="0" applyNumberFormat="1" applyFont="1" applyFill="1" applyBorder="1" applyAlignment="1">
      <alignment horizontal="center" vertical="top" wrapText="1"/>
    </xf>
    <xf numFmtId="0" fontId="4" fillId="6" borderId="13" xfId="0" applyFont="1" applyFill="1" applyBorder="1" applyAlignment="1">
      <alignment horizontal="center" vertical="top" wrapText="1"/>
    </xf>
    <xf numFmtId="0" fontId="2" fillId="6" borderId="77" xfId="0" applyFont="1" applyFill="1" applyBorder="1" applyAlignment="1">
      <alignment vertical="top" wrapText="1"/>
    </xf>
    <xf numFmtId="0" fontId="6" fillId="6" borderId="13" xfId="0" applyFont="1" applyFill="1" applyBorder="1" applyAlignment="1">
      <alignment vertical="top" wrapText="1"/>
    </xf>
    <xf numFmtId="0" fontId="2" fillId="6" borderId="5" xfId="0" applyFont="1" applyFill="1" applyBorder="1" applyAlignment="1">
      <alignment vertical="top" wrapText="1"/>
    </xf>
    <xf numFmtId="0" fontId="2" fillId="6" borderId="8" xfId="0" applyFont="1" applyFill="1" applyBorder="1" applyAlignment="1">
      <alignment vertical="top" wrapText="1"/>
    </xf>
    <xf numFmtId="0" fontId="2" fillId="6" borderId="18" xfId="0" applyFont="1" applyFill="1" applyBorder="1" applyAlignment="1">
      <alignment horizontal="center" vertical="top" wrapText="1"/>
    </xf>
    <xf numFmtId="0" fontId="6" fillId="6" borderId="42" xfId="0" applyFont="1" applyFill="1" applyBorder="1" applyAlignment="1"/>
    <xf numFmtId="49" fontId="2" fillId="6" borderId="8" xfId="0" applyNumberFormat="1" applyFont="1" applyFill="1" applyBorder="1" applyAlignment="1">
      <alignment horizontal="center" vertical="center" wrapText="1"/>
    </xf>
    <xf numFmtId="0" fontId="2" fillId="6" borderId="8" xfId="1" applyFont="1" applyFill="1" applyBorder="1" applyAlignment="1">
      <alignment vertical="top" wrapText="1"/>
    </xf>
    <xf numFmtId="0" fontId="2" fillId="6" borderId="31" xfId="0" applyFont="1" applyFill="1" applyBorder="1" applyAlignment="1">
      <alignment horizontal="center" vertical="center" textRotation="90" wrapText="1"/>
    </xf>
    <xf numFmtId="0" fontId="2" fillId="6" borderId="24" xfId="0" applyFont="1" applyFill="1" applyBorder="1" applyAlignment="1">
      <alignment horizontal="center" vertical="center" textRotation="90" wrapText="1"/>
    </xf>
    <xf numFmtId="49" fontId="2" fillId="6" borderId="18" xfId="0" applyNumberFormat="1" applyFont="1" applyFill="1" applyBorder="1" applyAlignment="1">
      <alignment horizontal="center" vertical="center" wrapText="1"/>
    </xf>
    <xf numFmtId="49" fontId="4" fillId="6" borderId="16" xfId="0" applyNumberFormat="1" applyFont="1" applyFill="1" applyBorder="1" applyAlignment="1">
      <alignment horizontal="center" vertical="top" wrapText="1"/>
    </xf>
    <xf numFmtId="49" fontId="4" fillId="6" borderId="13" xfId="0" applyNumberFormat="1" applyFont="1" applyFill="1" applyBorder="1" applyAlignment="1">
      <alignment horizontal="center" vertical="top" wrapText="1"/>
    </xf>
    <xf numFmtId="49" fontId="4" fillId="6" borderId="26" xfId="0" applyNumberFormat="1" applyFont="1" applyFill="1" applyBorder="1" applyAlignment="1">
      <alignment horizontal="center" vertical="top" wrapText="1"/>
    </xf>
    <xf numFmtId="166" fontId="2" fillId="6" borderId="78" xfId="3" applyFont="1" applyFill="1" applyBorder="1" applyAlignment="1">
      <alignment vertical="top" wrapText="1"/>
    </xf>
    <xf numFmtId="166" fontId="2" fillId="6" borderId="87" xfId="3" applyFont="1" applyFill="1" applyBorder="1" applyAlignment="1">
      <alignment vertical="top" wrapText="1"/>
    </xf>
    <xf numFmtId="0" fontId="6" fillId="6" borderId="32" xfId="0" applyFont="1" applyFill="1" applyBorder="1" applyAlignment="1">
      <alignment vertical="top" wrapText="1"/>
    </xf>
    <xf numFmtId="165" fontId="2" fillId="8" borderId="2" xfId="0" applyNumberFormat="1" applyFont="1" applyFill="1" applyBorder="1" applyAlignment="1">
      <alignment horizontal="center" vertical="top"/>
    </xf>
    <xf numFmtId="49" fontId="2" fillId="6" borderId="71" xfId="0" applyNumberFormat="1" applyFont="1" applyFill="1" applyBorder="1" applyAlignment="1">
      <alignment horizontal="center" vertical="top" wrapText="1"/>
    </xf>
    <xf numFmtId="1" fontId="2" fillId="6" borderId="91" xfId="0" applyNumberFormat="1" applyFont="1" applyFill="1" applyBorder="1" applyAlignment="1">
      <alignment horizontal="center" vertical="top" wrapText="1"/>
    </xf>
    <xf numFmtId="165" fontId="2" fillId="6" borderId="0" xfId="0" applyNumberFormat="1" applyFont="1" applyFill="1" applyBorder="1" applyAlignment="1">
      <alignment horizontal="center" vertical="center"/>
    </xf>
    <xf numFmtId="165" fontId="2" fillId="6" borderId="13" xfId="0" applyNumberFormat="1" applyFont="1" applyFill="1" applyBorder="1" applyAlignment="1">
      <alignment horizontal="center" vertical="center"/>
    </xf>
    <xf numFmtId="165" fontId="2" fillId="6" borderId="45" xfId="0" applyNumberFormat="1" applyFont="1" applyFill="1" applyBorder="1" applyAlignment="1">
      <alignment horizontal="center" vertical="center"/>
    </xf>
    <xf numFmtId="165" fontId="2" fillId="6" borderId="64" xfId="0" applyNumberFormat="1" applyFont="1" applyFill="1" applyBorder="1" applyAlignment="1">
      <alignment horizontal="center" vertical="top"/>
    </xf>
    <xf numFmtId="3" fontId="2" fillId="6" borderId="12" xfId="1" applyNumberFormat="1" applyFont="1" applyFill="1" applyBorder="1" applyAlignment="1">
      <alignment horizontal="center" vertical="top"/>
    </xf>
    <xf numFmtId="3" fontId="2" fillId="6" borderId="30" xfId="1" applyNumberFormat="1" applyFont="1" applyFill="1" applyBorder="1" applyAlignment="1">
      <alignment horizontal="center" vertical="top"/>
    </xf>
    <xf numFmtId="3" fontId="2" fillId="6" borderId="2" xfId="1" applyNumberFormat="1" applyFont="1" applyFill="1" applyBorder="1" applyAlignment="1">
      <alignment horizontal="center" vertical="top"/>
    </xf>
    <xf numFmtId="3" fontId="2" fillId="6" borderId="23" xfId="1" applyNumberFormat="1" applyFont="1" applyFill="1" applyBorder="1" applyAlignment="1">
      <alignment horizontal="center" vertical="top"/>
    </xf>
    <xf numFmtId="0" fontId="2" fillId="0" borderId="7" xfId="0" applyFont="1" applyBorder="1" applyAlignment="1">
      <alignment horizontal="center" vertical="center"/>
    </xf>
    <xf numFmtId="0" fontId="2" fillId="6" borderId="9" xfId="0" applyFont="1" applyFill="1" applyBorder="1" applyAlignment="1">
      <alignment vertical="top"/>
    </xf>
    <xf numFmtId="3" fontId="2" fillId="6" borderId="91" xfId="0" applyNumberFormat="1" applyFont="1" applyFill="1" applyBorder="1" applyAlignment="1">
      <alignment horizontal="center" vertical="top"/>
    </xf>
    <xf numFmtId="3" fontId="2" fillId="6" borderId="74" xfId="0" applyNumberFormat="1" applyFont="1" applyFill="1" applyBorder="1" applyAlignment="1">
      <alignment horizontal="center" vertical="top"/>
    </xf>
    <xf numFmtId="164" fontId="2" fillId="6" borderId="0" xfId="0" applyNumberFormat="1" applyFont="1" applyFill="1" applyAlignment="1">
      <alignment horizontal="center" vertical="top"/>
    </xf>
    <xf numFmtId="165" fontId="2" fillId="6" borderId="15" xfId="0" applyNumberFormat="1" applyFont="1" applyFill="1" applyBorder="1" applyAlignment="1">
      <alignment horizontal="center" vertical="top"/>
    </xf>
    <xf numFmtId="165" fontId="9" fillId="6" borderId="1" xfId="0" applyNumberFormat="1" applyFont="1" applyFill="1" applyBorder="1" applyAlignment="1">
      <alignment horizontal="center" vertical="top"/>
    </xf>
    <xf numFmtId="0" fontId="2" fillId="12" borderId="24" xfId="0" applyFont="1" applyFill="1" applyBorder="1" applyAlignment="1">
      <alignment horizontal="center" vertical="center"/>
    </xf>
    <xf numFmtId="0" fontId="2" fillId="12" borderId="14" xfId="0" applyFont="1" applyFill="1" applyBorder="1" applyAlignment="1">
      <alignment horizontal="center" vertical="center"/>
    </xf>
    <xf numFmtId="3" fontId="2" fillId="6" borderId="67" xfId="1" applyNumberFormat="1" applyFont="1" applyFill="1" applyBorder="1" applyAlignment="1">
      <alignment horizontal="center" vertical="top"/>
    </xf>
    <xf numFmtId="49" fontId="2" fillId="6" borderId="8" xfId="0" applyNumberFormat="1" applyFont="1" applyFill="1" applyBorder="1" applyAlignment="1">
      <alignment horizontal="center" vertical="top" wrapText="1"/>
    </xf>
    <xf numFmtId="0" fontId="2" fillId="6" borderId="13" xfId="0" applyFont="1" applyFill="1" applyBorder="1" applyAlignment="1">
      <alignment horizontal="left" vertical="top" wrapText="1"/>
    </xf>
    <xf numFmtId="49" fontId="4" fillId="10" borderId="9" xfId="0" applyNumberFormat="1" applyFont="1" applyFill="1" applyBorder="1" applyAlignment="1">
      <alignment horizontal="center" vertical="top"/>
    </xf>
    <xf numFmtId="49" fontId="4" fillId="3" borderId="42"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165" fontId="2" fillId="6" borderId="40" xfId="0" applyNumberFormat="1" applyFont="1" applyFill="1" applyBorder="1" applyAlignment="1">
      <alignment horizontal="center" vertical="top" wrapText="1"/>
    </xf>
    <xf numFmtId="0" fontId="2" fillId="0" borderId="42" xfId="0" applyFont="1" applyBorder="1" applyAlignment="1">
      <alignment vertical="top"/>
    </xf>
    <xf numFmtId="165" fontId="2" fillId="6" borderId="42" xfId="0" applyNumberFormat="1" applyFont="1" applyFill="1" applyBorder="1" applyAlignment="1">
      <alignment horizontal="center" vertical="top" wrapText="1"/>
    </xf>
    <xf numFmtId="165" fontId="2" fillId="6" borderId="24" xfId="0" applyNumberFormat="1" applyFont="1" applyFill="1" applyBorder="1" applyAlignment="1">
      <alignment horizontal="center" vertical="top" wrapText="1"/>
    </xf>
    <xf numFmtId="3" fontId="2" fillId="0" borderId="112" xfId="0" applyNumberFormat="1" applyFont="1" applyFill="1" applyBorder="1" applyAlignment="1">
      <alignment horizontal="center" vertical="top"/>
    </xf>
    <xf numFmtId="3" fontId="2" fillId="0" borderId="25" xfId="0" applyNumberFormat="1" applyFont="1" applyFill="1" applyBorder="1" applyAlignment="1">
      <alignment horizontal="center" vertical="top"/>
    </xf>
    <xf numFmtId="0" fontId="2" fillId="6" borderId="16" xfId="0" applyFont="1" applyFill="1" applyBorder="1" applyAlignment="1">
      <alignment horizontal="left" vertical="top" wrapText="1"/>
    </xf>
    <xf numFmtId="0" fontId="2" fillId="6" borderId="26" xfId="0" applyFont="1" applyFill="1" applyBorder="1" applyAlignment="1">
      <alignment horizontal="left" vertical="top" wrapText="1"/>
    </xf>
    <xf numFmtId="0" fontId="2" fillId="6" borderId="8" xfId="0" applyFont="1" applyFill="1" applyBorder="1" applyAlignment="1">
      <alignment horizontal="center" vertical="top" wrapText="1"/>
    </xf>
    <xf numFmtId="49" fontId="2" fillId="6" borderId="8" xfId="0" applyNumberFormat="1" applyFont="1" applyFill="1" applyBorder="1" applyAlignment="1">
      <alignment horizontal="center" vertical="center" wrapText="1"/>
    </xf>
    <xf numFmtId="49" fontId="4" fillId="3" borderId="42" xfId="0" applyNumberFormat="1" applyFont="1" applyFill="1" applyBorder="1" applyAlignment="1">
      <alignment horizontal="center" vertical="top"/>
    </xf>
    <xf numFmtId="0" fontId="2" fillId="6" borderId="5" xfId="0" applyFont="1" applyFill="1" applyBorder="1" applyAlignment="1">
      <alignment vertical="top" wrapText="1"/>
    </xf>
    <xf numFmtId="0" fontId="2" fillId="6" borderId="8" xfId="0" applyFont="1" applyFill="1" applyBorder="1" applyAlignment="1">
      <alignment horizontal="center" vertical="top" wrapText="1"/>
    </xf>
    <xf numFmtId="0" fontId="2" fillId="6" borderId="25" xfId="0" applyFont="1" applyFill="1" applyBorder="1" applyAlignment="1">
      <alignment horizontal="center" vertical="center" textRotation="90" wrapText="1"/>
    </xf>
    <xf numFmtId="0" fontId="2" fillId="6" borderId="13" xfId="0" applyFont="1" applyFill="1" applyBorder="1" applyAlignment="1">
      <alignment horizontal="left" vertical="top" wrapText="1"/>
    </xf>
    <xf numFmtId="49" fontId="4" fillId="10" borderId="9"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49" fontId="2" fillId="6" borderId="8" xfId="0" applyNumberFormat="1" applyFont="1" applyFill="1" applyBorder="1" applyAlignment="1">
      <alignment horizontal="center" vertical="center" wrapText="1"/>
    </xf>
    <xf numFmtId="49" fontId="4" fillId="6" borderId="13" xfId="0" applyNumberFormat="1" applyFont="1" applyFill="1" applyBorder="1" applyAlignment="1">
      <alignment horizontal="center" vertical="top" wrapText="1"/>
    </xf>
    <xf numFmtId="49" fontId="4" fillId="3" borderId="42" xfId="0" applyNumberFormat="1" applyFont="1" applyFill="1" applyBorder="1" applyAlignment="1">
      <alignment horizontal="center" vertical="top"/>
    </xf>
    <xf numFmtId="0" fontId="2" fillId="6" borderId="8" xfId="0" applyFont="1" applyFill="1" applyBorder="1" applyAlignment="1">
      <alignment horizontal="center" vertical="top" wrapText="1"/>
    </xf>
    <xf numFmtId="0" fontId="6" fillId="6" borderId="18" xfId="0" applyFont="1" applyFill="1" applyBorder="1" applyAlignment="1">
      <alignment vertical="top" wrapText="1"/>
    </xf>
    <xf numFmtId="164" fontId="2" fillId="12" borderId="26" xfId="0" applyNumberFormat="1" applyFont="1" applyFill="1" applyBorder="1" applyAlignment="1">
      <alignment horizontal="center" vertical="center"/>
    </xf>
    <xf numFmtId="0" fontId="2" fillId="6" borderId="14" xfId="0" applyFont="1" applyFill="1" applyBorder="1" applyAlignment="1">
      <alignment vertical="center" wrapText="1"/>
    </xf>
    <xf numFmtId="0" fontId="2" fillId="6" borderId="18" xfId="0" applyFont="1" applyFill="1" applyBorder="1" applyAlignment="1">
      <alignment horizontal="center" vertical="top" wrapText="1"/>
    </xf>
    <xf numFmtId="3" fontId="2" fillId="6" borderId="23" xfId="1" applyNumberFormat="1" applyFont="1" applyFill="1" applyBorder="1" applyAlignment="1">
      <alignment horizontal="center" vertical="top" wrapText="1"/>
    </xf>
    <xf numFmtId="3" fontId="2" fillId="6" borderId="75" xfId="1" applyNumberFormat="1" applyFont="1" applyFill="1" applyBorder="1" applyAlignment="1">
      <alignment horizontal="center" vertical="top" wrapText="1"/>
    </xf>
    <xf numFmtId="3" fontId="2" fillId="6" borderId="71" xfId="1" applyNumberFormat="1" applyFont="1" applyFill="1" applyBorder="1" applyAlignment="1">
      <alignment horizontal="center" vertical="top" wrapText="1"/>
    </xf>
    <xf numFmtId="3" fontId="2" fillId="6" borderId="13" xfId="1" applyNumberFormat="1" applyFont="1" applyFill="1" applyBorder="1" applyAlignment="1">
      <alignment horizontal="center" vertical="top" wrapText="1"/>
    </xf>
    <xf numFmtId="3" fontId="2" fillId="6" borderId="26" xfId="1" applyNumberFormat="1" applyFont="1" applyFill="1" applyBorder="1" applyAlignment="1">
      <alignment horizontal="center" vertical="top" wrapText="1"/>
    </xf>
    <xf numFmtId="3" fontId="2" fillId="6" borderId="25" xfId="1" applyNumberFormat="1" applyFont="1" applyFill="1" applyBorder="1" applyAlignment="1">
      <alignment horizontal="center" vertical="top" wrapText="1"/>
    </xf>
    <xf numFmtId="49" fontId="4" fillId="6" borderId="13" xfId="0" applyNumberFormat="1" applyFont="1" applyFill="1" applyBorder="1" applyAlignment="1">
      <alignment horizontal="center" vertical="top"/>
    </xf>
    <xf numFmtId="49" fontId="2" fillId="6" borderId="8" xfId="0" applyNumberFormat="1" applyFont="1" applyFill="1" applyBorder="1" applyAlignment="1">
      <alignment horizontal="center" vertical="top" wrapText="1"/>
    </xf>
    <xf numFmtId="49" fontId="4" fillId="10" borderId="9"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0" fontId="6" fillId="6" borderId="32" xfId="0" applyFont="1" applyFill="1" applyBorder="1" applyAlignment="1">
      <alignment vertical="top" wrapText="1"/>
    </xf>
    <xf numFmtId="49" fontId="4" fillId="3" borderId="42" xfId="0" applyNumberFormat="1" applyFont="1" applyFill="1" applyBorder="1" applyAlignment="1">
      <alignment horizontal="center" vertical="top"/>
    </xf>
    <xf numFmtId="0" fontId="2" fillId="0" borderId="23" xfId="0" applyFont="1" applyBorder="1" applyAlignment="1">
      <alignment vertical="top"/>
    </xf>
    <xf numFmtId="0" fontId="2" fillId="6" borderId="5" xfId="0" applyFont="1" applyFill="1" applyBorder="1" applyAlignment="1">
      <alignment vertical="top" wrapText="1"/>
    </xf>
    <xf numFmtId="0" fontId="2" fillId="6" borderId="8" xfId="1" applyFont="1" applyFill="1" applyBorder="1" applyAlignment="1">
      <alignment horizontal="left" vertical="top" wrapText="1"/>
    </xf>
    <xf numFmtId="0" fontId="2" fillId="6" borderId="31" xfId="0" applyFont="1" applyFill="1" applyBorder="1" applyAlignment="1">
      <alignment horizontal="center" vertical="top"/>
    </xf>
    <xf numFmtId="49" fontId="22" fillId="6" borderId="65" xfId="0" applyNumberFormat="1" applyFont="1" applyFill="1" applyBorder="1" applyAlignment="1">
      <alignment horizontal="center" vertical="top" wrapText="1"/>
    </xf>
    <xf numFmtId="49" fontId="22" fillId="6" borderId="81" xfId="0" applyNumberFormat="1" applyFont="1" applyFill="1" applyBorder="1" applyAlignment="1">
      <alignment horizontal="center" vertical="top" wrapText="1"/>
    </xf>
    <xf numFmtId="49" fontId="2" fillId="6" borderId="8" xfId="0" applyNumberFormat="1" applyFont="1" applyFill="1" applyBorder="1" applyAlignment="1">
      <alignment horizontal="center" vertical="top" wrapText="1"/>
    </xf>
    <xf numFmtId="0" fontId="2" fillId="6" borderId="8" xfId="0" applyFont="1" applyFill="1" applyBorder="1" applyAlignment="1">
      <alignment horizontal="left" vertical="top" wrapText="1"/>
    </xf>
    <xf numFmtId="0" fontId="2" fillId="0" borderId="8" xfId="0" applyFont="1" applyFill="1" applyBorder="1" applyAlignment="1">
      <alignment horizontal="center" vertical="top" wrapText="1"/>
    </xf>
    <xf numFmtId="49" fontId="4" fillId="6" borderId="13" xfId="0" applyNumberFormat="1" applyFont="1" applyFill="1" applyBorder="1" applyAlignment="1">
      <alignment horizontal="center" vertical="top"/>
    </xf>
    <xf numFmtId="49" fontId="4" fillId="10" borderId="9" xfId="0" applyNumberFormat="1" applyFont="1" applyFill="1" applyBorder="1" applyAlignment="1">
      <alignment horizontal="center" vertical="top"/>
    </xf>
    <xf numFmtId="49" fontId="4" fillId="3" borderId="42"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0" fontId="2" fillId="6" borderId="5" xfId="0" applyFont="1" applyFill="1" applyBorder="1" applyAlignment="1">
      <alignment vertical="top" wrapText="1"/>
    </xf>
    <xf numFmtId="0" fontId="4" fillId="6" borderId="34" xfId="0" applyFont="1" applyFill="1" applyBorder="1" applyAlignment="1">
      <alignment horizontal="center" vertical="center" wrapText="1"/>
    </xf>
    <xf numFmtId="0" fontId="2" fillId="6" borderId="78" xfId="1" applyFont="1" applyFill="1" applyBorder="1" applyAlignment="1">
      <alignment vertical="top" wrapText="1"/>
    </xf>
    <xf numFmtId="0" fontId="14" fillId="6" borderId="18" xfId="1" applyFont="1" applyFill="1" applyBorder="1" applyAlignment="1">
      <alignment vertical="top" wrapText="1"/>
    </xf>
    <xf numFmtId="49" fontId="4" fillId="6" borderId="13" xfId="0" applyNumberFormat="1" applyFont="1" applyFill="1" applyBorder="1" applyAlignment="1">
      <alignment horizontal="center" vertical="top"/>
    </xf>
    <xf numFmtId="49" fontId="4" fillId="10" borderId="9"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165" fontId="4" fillId="9" borderId="49" xfId="0" applyNumberFormat="1" applyFont="1" applyFill="1" applyBorder="1" applyAlignment="1">
      <alignment horizontal="center" vertical="top"/>
    </xf>
    <xf numFmtId="165" fontId="4" fillId="9" borderId="94" xfId="0" applyNumberFormat="1" applyFont="1" applyFill="1" applyBorder="1" applyAlignment="1">
      <alignment horizontal="center" vertical="top"/>
    </xf>
    <xf numFmtId="0" fontId="2" fillId="3" borderId="51" xfId="0" applyFont="1" applyFill="1" applyBorder="1" applyAlignment="1">
      <alignment horizontal="center" vertical="top" wrapText="1"/>
    </xf>
    <xf numFmtId="0" fontId="2" fillId="6" borderId="8" xfId="0" applyFont="1" applyFill="1" applyBorder="1" applyAlignment="1">
      <alignment vertical="top" wrapText="1"/>
    </xf>
    <xf numFmtId="0" fontId="2" fillId="6" borderId="74" xfId="0" applyFont="1" applyFill="1" applyBorder="1" applyAlignment="1">
      <alignment horizontal="left" vertical="top" wrapText="1"/>
    </xf>
    <xf numFmtId="0" fontId="2" fillId="6" borderId="1" xfId="0" applyFont="1" applyFill="1" applyBorder="1" applyAlignment="1">
      <alignment horizontal="center" vertical="center" textRotation="90" wrapText="1"/>
    </xf>
    <xf numFmtId="0" fontId="19" fillId="0" borderId="0" xfId="0" applyFont="1" applyAlignment="1">
      <alignment horizontal="center" vertical="top" wrapText="1"/>
    </xf>
    <xf numFmtId="3" fontId="2" fillId="6" borderId="104" xfId="0" applyNumberFormat="1" applyFont="1" applyFill="1" applyBorder="1" applyAlignment="1">
      <alignment horizontal="center" vertical="top" wrapText="1"/>
    </xf>
    <xf numFmtId="3" fontId="2" fillId="6" borderId="107" xfId="0" applyNumberFormat="1" applyFont="1" applyFill="1" applyBorder="1" applyAlignment="1">
      <alignment horizontal="center" vertical="top" wrapText="1"/>
    </xf>
    <xf numFmtId="3" fontId="2" fillId="0" borderId="108" xfId="0" applyNumberFormat="1" applyFont="1" applyFill="1" applyBorder="1" applyAlignment="1">
      <alignment horizontal="center" vertical="top"/>
    </xf>
    <xf numFmtId="3" fontId="2" fillId="6" borderId="15" xfId="1" applyNumberFormat="1" applyFont="1" applyFill="1" applyBorder="1" applyAlignment="1">
      <alignment horizontal="center" vertical="top"/>
    </xf>
    <xf numFmtId="3" fontId="2" fillId="6" borderId="107" xfId="1" applyNumberFormat="1" applyFont="1" applyFill="1" applyBorder="1" applyAlignment="1">
      <alignment horizontal="center" vertical="top" wrapText="1"/>
    </xf>
    <xf numFmtId="3" fontId="2" fillId="6" borderId="31" xfId="1" applyNumberFormat="1" applyFont="1" applyFill="1" applyBorder="1" applyAlignment="1">
      <alignment horizontal="center" vertical="top" wrapText="1"/>
    </xf>
    <xf numFmtId="0" fontId="2" fillId="0" borderId="108" xfId="0" applyFont="1" applyBorder="1" applyAlignment="1">
      <alignment vertical="top"/>
    </xf>
    <xf numFmtId="165" fontId="2" fillId="6" borderId="43" xfId="0" applyNumberFormat="1" applyFont="1" applyFill="1" applyBorder="1" applyAlignment="1">
      <alignment horizontal="center" vertical="top"/>
    </xf>
    <xf numFmtId="0" fontId="4" fillId="8" borderId="99" xfId="0" applyFont="1" applyFill="1" applyBorder="1" applyAlignment="1">
      <alignment horizontal="center" vertical="top"/>
    </xf>
    <xf numFmtId="0" fontId="2" fillId="6" borderId="17" xfId="0" applyFont="1" applyFill="1" applyBorder="1" applyAlignment="1">
      <alignment horizontal="center" vertical="top" wrapText="1"/>
    </xf>
    <xf numFmtId="165" fontId="4" fillId="9" borderId="83" xfId="0" applyNumberFormat="1" applyFont="1" applyFill="1" applyBorder="1" applyAlignment="1">
      <alignment horizontal="center" vertical="top"/>
    </xf>
    <xf numFmtId="3" fontId="9" fillId="6" borderId="5" xfId="0" applyNumberFormat="1" applyFont="1" applyFill="1" applyBorder="1" applyAlignment="1">
      <alignment horizontal="center" vertical="top"/>
    </xf>
    <xf numFmtId="3" fontId="9" fillId="6" borderId="8" xfId="0" applyNumberFormat="1" applyFont="1" applyFill="1" applyBorder="1" applyAlignment="1">
      <alignment horizontal="center" vertical="top"/>
    </xf>
    <xf numFmtId="3" fontId="2" fillId="8" borderId="35" xfId="0" applyNumberFormat="1" applyFont="1" applyFill="1" applyBorder="1" applyAlignment="1">
      <alignment horizontal="center" vertical="top"/>
    </xf>
    <xf numFmtId="0" fontId="2" fillId="8" borderId="35" xfId="1" applyFont="1" applyFill="1" applyBorder="1" applyAlignment="1">
      <alignment vertical="top" wrapText="1"/>
    </xf>
    <xf numFmtId="0" fontId="2" fillId="8" borderId="35" xfId="0" applyFont="1" applyFill="1" applyBorder="1" applyAlignment="1">
      <alignment horizontal="center" vertical="top"/>
    </xf>
    <xf numFmtId="0" fontId="14" fillId="8" borderId="35" xfId="0" applyFont="1" applyFill="1" applyBorder="1" applyAlignment="1">
      <alignment horizontal="left" vertical="top" wrapText="1"/>
    </xf>
    <xf numFmtId="49" fontId="2" fillId="8" borderId="96" xfId="0" applyNumberFormat="1" applyFont="1" applyFill="1" applyBorder="1" applyAlignment="1">
      <alignment horizontal="center" vertical="top" wrapText="1"/>
    </xf>
    <xf numFmtId="49" fontId="2" fillId="6" borderId="93" xfId="0" applyNumberFormat="1" applyFont="1" applyFill="1" applyBorder="1" applyAlignment="1">
      <alignment horizontal="center" vertical="top"/>
    </xf>
    <xf numFmtId="49" fontId="2" fillId="6" borderId="0" xfId="0" applyNumberFormat="1" applyFont="1" applyFill="1" applyBorder="1" applyAlignment="1">
      <alignment horizontal="center" vertical="top"/>
    </xf>
    <xf numFmtId="49" fontId="2" fillId="6" borderId="91" xfId="0" applyNumberFormat="1" applyFont="1" applyFill="1" applyBorder="1" applyAlignment="1">
      <alignment horizontal="center" vertical="top"/>
    </xf>
    <xf numFmtId="3" fontId="2" fillId="6" borderId="14" xfId="0" applyNumberFormat="1" applyFont="1" applyFill="1" applyBorder="1" applyAlignment="1">
      <alignment horizontal="center" vertical="top" wrapText="1"/>
    </xf>
    <xf numFmtId="3" fontId="2" fillId="6" borderId="25" xfId="0" applyNumberFormat="1" applyFont="1" applyFill="1" applyBorder="1" applyAlignment="1">
      <alignment horizontal="center" vertical="top"/>
    </xf>
    <xf numFmtId="49" fontId="2" fillId="6" borderId="72" xfId="0" applyNumberFormat="1" applyFont="1" applyFill="1" applyBorder="1" applyAlignment="1">
      <alignment horizontal="center" vertical="top"/>
    </xf>
    <xf numFmtId="164" fontId="2" fillId="6" borderId="14" xfId="0" applyNumberFormat="1" applyFont="1" applyFill="1" applyBorder="1" applyAlignment="1">
      <alignment horizontal="center" vertical="top"/>
    </xf>
    <xf numFmtId="164" fontId="2" fillId="6" borderId="76" xfId="0" applyNumberFormat="1" applyFont="1" applyFill="1" applyBorder="1" applyAlignment="1">
      <alignment horizontal="center" vertical="top"/>
    </xf>
    <xf numFmtId="0" fontId="2" fillId="0" borderId="31" xfId="0" applyFont="1" applyBorder="1" applyAlignment="1">
      <alignment horizontal="center" vertical="top"/>
    </xf>
    <xf numFmtId="0" fontId="2" fillId="0" borderId="13" xfId="0" applyFont="1" applyBorder="1" applyAlignment="1">
      <alignment horizontal="center" vertical="top"/>
    </xf>
    <xf numFmtId="0" fontId="2" fillId="0" borderId="32" xfId="0" applyFont="1" applyBorder="1" applyAlignment="1">
      <alignment vertical="top"/>
    </xf>
    <xf numFmtId="164" fontId="2" fillId="6" borderId="107" xfId="0" applyNumberFormat="1" applyFont="1" applyFill="1" applyBorder="1" applyAlignment="1">
      <alignment horizontal="center" vertical="top"/>
    </xf>
    <xf numFmtId="0" fontId="2" fillId="0" borderId="23" xfId="0" applyFont="1" applyBorder="1" applyAlignment="1">
      <alignment horizontal="center" vertical="top"/>
    </xf>
    <xf numFmtId="164" fontId="2" fillId="6" borderId="75" xfId="0" applyNumberFormat="1" applyFont="1" applyFill="1" applyBorder="1" applyAlignment="1">
      <alignment horizontal="center" vertical="top"/>
    </xf>
    <xf numFmtId="0" fontId="2" fillId="0" borderId="25" xfId="0" applyFont="1" applyBorder="1" applyAlignment="1">
      <alignment vertical="top"/>
    </xf>
    <xf numFmtId="0" fontId="4" fillId="2" borderId="42" xfId="0" applyFont="1" applyFill="1" applyBorder="1" applyAlignment="1">
      <alignment horizontal="center" vertical="top" wrapText="1"/>
    </xf>
    <xf numFmtId="165" fontId="2" fillId="6" borderId="45" xfId="0" applyNumberFormat="1" applyFont="1" applyFill="1" applyBorder="1" applyAlignment="1">
      <alignment vertical="top"/>
    </xf>
    <xf numFmtId="0" fontId="2" fillId="6" borderId="38" xfId="0" applyFont="1" applyFill="1" applyBorder="1" applyAlignment="1">
      <alignment vertical="top" wrapText="1"/>
    </xf>
    <xf numFmtId="165" fontId="2" fillId="6" borderId="21" xfId="0" applyNumberFormat="1" applyFont="1" applyFill="1" applyBorder="1" applyAlignment="1">
      <alignment vertical="top"/>
    </xf>
    <xf numFmtId="0" fontId="4" fillId="2" borderId="13" xfId="0" applyFont="1" applyFill="1" applyBorder="1" applyAlignment="1">
      <alignment horizontal="center" vertical="top" wrapText="1"/>
    </xf>
    <xf numFmtId="0" fontId="4" fillId="2" borderId="25" xfId="0" applyFont="1" applyFill="1" applyBorder="1" applyAlignment="1">
      <alignment horizontal="center" vertical="top" wrapText="1"/>
    </xf>
    <xf numFmtId="3" fontId="2" fillId="6" borderId="0" xfId="0" applyNumberFormat="1" applyFont="1" applyFill="1" applyBorder="1" applyAlignment="1">
      <alignment horizontal="right" vertical="center"/>
    </xf>
    <xf numFmtId="3" fontId="2" fillId="6" borderId="45" xfId="0" applyNumberFormat="1" applyFont="1" applyFill="1" applyBorder="1" applyAlignment="1">
      <alignment horizontal="right" vertical="center"/>
    </xf>
    <xf numFmtId="3" fontId="2" fillId="6" borderId="38" xfId="0" applyNumberFormat="1" applyFont="1" applyFill="1" applyBorder="1" applyAlignment="1">
      <alignment horizontal="right" vertical="center"/>
    </xf>
    <xf numFmtId="3" fontId="2" fillId="6" borderId="8" xfId="0" applyNumberFormat="1" applyFont="1" applyFill="1" applyBorder="1" applyAlignment="1">
      <alignment horizontal="right" vertical="center"/>
    </xf>
    <xf numFmtId="3" fontId="2" fillId="6" borderId="23" xfId="0" applyNumberFormat="1" applyFont="1" applyFill="1" applyBorder="1" applyAlignment="1">
      <alignment horizontal="right" vertical="center"/>
    </xf>
    <xf numFmtId="3" fontId="2" fillId="6" borderId="26" xfId="0" applyNumberFormat="1" applyFont="1" applyFill="1" applyBorder="1" applyAlignment="1">
      <alignment horizontal="right" vertical="center"/>
    </xf>
    <xf numFmtId="0" fontId="2" fillId="6" borderId="68" xfId="0" applyFont="1" applyFill="1" applyBorder="1" applyAlignment="1">
      <alignment horizontal="center" vertical="top"/>
    </xf>
    <xf numFmtId="0" fontId="2" fillId="6" borderId="69" xfId="0" applyFont="1" applyFill="1" applyBorder="1" applyAlignment="1">
      <alignment horizontal="center" vertical="top"/>
    </xf>
    <xf numFmtId="0" fontId="2" fillId="6" borderId="21" xfId="0" applyFont="1" applyFill="1" applyBorder="1" applyAlignment="1">
      <alignment horizontal="center" vertical="center" textRotation="90" wrapText="1"/>
    </xf>
    <xf numFmtId="165" fontId="2" fillId="6" borderId="21" xfId="0" applyNumberFormat="1" applyFont="1" applyFill="1" applyBorder="1" applyAlignment="1">
      <alignment horizontal="center" vertical="top"/>
    </xf>
    <xf numFmtId="165" fontId="2" fillId="6" borderId="58" xfId="0" applyNumberFormat="1" applyFont="1" applyFill="1" applyBorder="1" applyAlignment="1">
      <alignment horizontal="center" vertical="top"/>
    </xf>
    <xf numFmtId="165" fontId="2" fillId="6" borderId="38" xfId="0" applyNumberFormat="1" applyFont="1" applyFill="1" applyBorder="1" applyAlignment="1">
      <alignment horizontal="center" vertical="top"/>
    </xf>
    <xf numFmtId="165" fontId="2" fillId="6" borderId="8" xfId="0" applyNumberFormat="1" applyFont="1" applyFill="1" applyBorder="1" applyAlignment="1">
      <alignment horizontal="center" vertical="top"/>
    </xf>
    <xf numFmtId="0" fontId="16" fillId="6" borderId="5" xfId="0" applyFont="1" applyFill="1" applyBorder="1" applyAlignment="1">
      <alignment horizontal="left" vertical="top" wrapText="1"/>
    </xf>
    <xf numFmtId="0" fontId="15" fillId="6" borderId="25" xfId="0" applyFont="1" applyFill="1" applyBorder="1" applyAlignment="1">
      <alignment wrapText="1"/>
    </xf>
    <xf numFmtId="165" fontId="2" fillId="0" borderId="0" xfId="0" applyNumberFormat="1" applyFont="1" applyBorder="1" applyAlignment="1">
      <alignment vertical="top"/>
    </xf>
    <xf numFmtId="165" fontId="2" fillId="6" borderId="20" xfId="0" applyNumberFormat="1" applyFont="1" applyFill="1" applyBorder="1" applyAlignment="1">
      <alignment horizontal="center" vertical="center"/>
    </xf>
    <xf numFmtId="165" fontId="2" fillId="6" borderId="46" xfId="0" applyNumberFormat="1" applyFont="1" applyFill="1" applyBorder="1" applyAlignment="1">
      <alignment horizontal="center" vertical="center"/>
    </xf>
    <xf numFmtId="165" fontId="2" fillId="2" borderId="0" xfId="0" applyNumberFormat="1" applyFont="1" applyFill="1" applyBorder="1" applyAlignment="1">
      <alignment horizontal="center" vertical="top"/>
    </xf>
    <xf numFmtId="165" fontId="2" fillId="2" borderId="20" xfId="0" applyNumberFormat="1" applyFont="1" applyFill="1" applyBorder="1" applyAlignment="1">
      <alignment horizontal="center" vertical="top"/>
    </xf>
    <xf numFmtId="165" fontId="2" fillId="2" borderId="21" xfId="0" applyNumberFormat="1" applyFont="1" applyFill="1" applyBorder="1" applyAlignment="1">
      <alignment horizontal="center" vertical="top"/>
    </xf>
    <xf numFmtId="165" fontId="2" fillId="2" borderId="13" xfId="0" applyNumberFormat="1" applyFont="1" applyFill="1" applyBorder="1" applyAlignment="1">
      <alignment horizontal="center" vertical="top"/>
    </xf>
    <xf numFmtId="165" fontId="2" fillId="2" borderId="14" xfId="0" applyNumberFormat="1" applyFont="1" applyFill="1" applyBorder="1" applyAlignment="1">
      <alignment horizontal="center" vertical="top"/>
    </xf>
    <xf numFmtId="165" fontId="2" fillId="2" borderId="15" xfId="0" applyNumberFormat="1" applyFont="1" applyFill="1" applyBorder="1" applyAlignment="1">
      <alignment horizontal="center" vertical="top"/>
    </xf>
    <xf numFmtId="165" fontId="2" fillId="2" borderId="26" xfId="0" applyNumberFormat="1" applyFont="1" applyFill="1" applyBorder="1" applyAlignment="1">
      <alignment horizontal="center" vertical="top"/>
    </xf>
    <xf numFmtId="165" fontId="2" fillId="2" borderId="25" xfId="0" applyNumberFormat="1" applyFont="1" applyFill="1" applyBorder="1" applyAlignment="1">
      <alignment horizontal="center" vertical="top"/>
    </xf>
    <xf numFmtId="0" fontId="2" fillId="6" borderId="23" xfId="0" applyNumberFormat="1" applyFont="1" applyFill="1" applyBorder="1" applyAlignment="1">
      <alignment horizontal="center" vertical="top" wrapText="1"/>
    </xf>
    <xf numFmtId="0" fontId="2" fillId="6" borderId="1" xfId="0" applyNumberFormat="1" applyFont="1" applyFill="1" applyBorder="1" applyAlignment="1">
      <alignment horizontal="center" vertical="top" wrapText="1"/>
    </xf>
    <xf numFmtId="165" fontId="4" fillId="9" borderId="3" xfId="0" applyNumberFormat="1" applyFont="1" applyFill="1" applyBorder="1" applyAlignment="1">
      <alignment horizontal="center" vertical="top"/>
    </xf>
    <xf numFmtId="49" fontId="2" fillId="6" borderId="5" xfId="0" applyNumberFormat="1" applyFont="1" applyFill="1" applyBorder="1" applyAlignment="1">
      <alignment horizontal="center" vertical="top" wrapText="1"/>
    </xf>
    <xf numFmtId="49" fontId="4" fillId="10" borderId="9"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0" fontId="4" fillId="6" borderId="13" xfId="0" applyFont="1" applyFill="1" applyBorder="1" applyAlignment="1">
      <alignment horizontal="center" vertical="top" wrapText="1"/>
    </xf>
    <xf numFmtId="49" fontId="4" fillId="6" borderId="13" xfId="0" applyNumberFormat="1" applyFont="1" applyFill="1" applyBorder="1" applyAlignment="1">
      <alignment horizontal="center" vertical="top"/>
    </xf>
    <xf numFmtId="0" fontId="2" fillId="6" borderId="32" xfId="1" applyFont="1" applyFill="1" applyBorder="1" applyAlignment="1">
      <alignment vertical="top" wrapText="1"/>
    </xf>
    <xf numFmtId="0" fontId="4" fillId="6" borderId="42" xfId="0" applyFont="1" applyFill="1" applyBorder="1" applyAlignment="1">
      <alignment horizontal="center" vertical="top"/>
    </xf>
    <xf numFmtId="0" fontId="4" fillId="6" borderId="42" xfId="0" applyFont="1" applyFill="1" applyBorder="1" applyAlignment="1">
      <alignment horizontal="center" vertical="center" wrapText="1"/>
    </xf>
    <xf numFmtId="0" fontId="4" fillId="6" borderId="42" xfId="0" applyFont="1" applyFill="1" applyBorder="1" applyAlignment="1">
      <alignment horizontal="center" vertical="top" wrapText="1"/>
    </xf>
    <xf numFmtId="0" fontId="4" fillId="6" borderId="14" xfId="0" applyFont="1" applyFill="1" applyBorder="1" applyAlignment="1">
      <alignment horizontal="center" vertical="top" wrapText="1"/>
    </xf>
    <xf numFmtId="0" fontId="4" fillId="6" borderId="25" xfId="0" applyFont="1" applyFill="1" applyBorder="1" applyAlignment="1">
      <alignment horizontal="center" vertical="top" wrapText="1"/>
    </xf>
    <xf numFmtId="3" fontId="4" fillId="6" borderId="40" xfId="0" applyNumberFormat="1" applyFont="1" applyFill="1" applyBorder="1" applyAlignment="1">
      <alignment horizontal="center" vertical="top"/>
    </xf>
    <xf numFmtId="3" fontId="4" fillId="6" borderId="14" xfId="0" applyNumberFormat="1" applyFont="1" applyFill="1" applyBorder="1" applyAlignment="1">
      <alignment horizontal="center" vertical="top"/>
    </xf>
    <xf numFmtId="3" fontId="4" fillId="6" borderId="1" xfId="0" applyNumberFormat="1" applyFont="1" applyFill="1" applyBorder="1" applyAlignment="1">
      <alignment horizontal="center" vertical="top"/>
    </xf>
    <xf numFmtId="49" fontId="4" fillId="6" borderId="1" xfId="0" applyNumberFormat="1" applyFont="1" applyFill="1" applyBorder="1" applyAlignment="1">
      <alignment horizontal="center" vertical="top" wrapText="1"/>
    </xf>
    <xf numFmtId="0" fontId="4" fillId="6" borderId="13" xfId="0" applyFont="1" applyFill="1" applyBorder="1" applyAlignment="1">
      <alignment vertical="top"/>
    </xf>
    <xf numFmtId="0" fontId="4" fillId="6" borderId="16" xfId="0" applyFont="1" applyFill="1" applyBorder="1" applyAlignment="1">
      <alignment horizontal="center" vertical="top"/>
    </xf>
    <xf numFmtId="0" fontId="2" fillId="6" borderId="14" xfId="0" applyFont="1" applyFill="1" applyBorder="1" applyAlignment="1">
      <alignment horizontal="center" vertical="center" textRotation="90"/>
    </xf>
    <xf numFmtId="0" fontId="2" fillId="6" borderId="63" xfId="0" applyFont="1" applyFill="1" applyBorder="1" applyAlignment="1">
      <alignment horizontal="center" vertical="center" textRotation="90" wrapText="1"/>
    </xf>
    <xf numFmtId="0" fontId="4" fillId="6" borderId="2" xfId="0" applyFont="1" applyFill="1" applyBorder="1" applyAlignment="1">
      <alignment horizontal="center" vertical="top" wrapText="1"/>
    </xf>
    <xf numFmtId="0" fontId="2" fillId="0" borderId="41" xfId="0" applyFont="1" applyBorder="1" applyAlignment="1">
      <alignment vertical="center"/>
    </xf>
    <xf numFmtId="0" fontId="2" fillId="0" borderId="41" xfId="0" applyFont="1" applyBorder="1" applyAlignment="1">
      <alignment horizontal="center" vertical="top"/>
    </xf>
    <xf numFmtId="4" fontId="2" fillId="0" borderId="41" xfId="0" applyNumberFormat="1" applyFont="1" applyFill="1" applyBorder="1" applyAlignment="1">
      <alignment vertical="top"/>
    </xf>
    <xf numFmtId="0" fontId="4" fillId="6" borderId="1" xfId="0" applyFont="1" applyFill="1" applyBorder="1" applyAlignment="1">
      <alignment horizontal="center" vertical="top"/>
    </xf>
    <xf numFmtId="3" fontId="4" fillId="6" borderId="14" xfId="0" applyNumberFormat="1" applyFont="1" applyFill="1" applyBorder="1" applyAlignment="1">
      <alignment horizontal="center" vertical="top" wrapText="1"/>
    </xf>
    <xf numFmtId="0" fontId="4" fillId="6" borderId="25" xfId="0" applyFont="1" applyFill="1" applyBorder="1" applyAlignment="1">
      <alignment horizontal="center" vertical="top"/>
    </xf>
    <xf numFmtId="3" fontId="2" fillId="6" borderId="13" xfId="1" applyNumberFormat="1" applyFont="1" applyFill="1" applyBorder="1" applyAlignment="1">
      <alignment horizontal="center" vertical="top"/>
    </xf>
    <xf numFmtId="3" fontId="4" fillId="6" borderId="112" xfId="0" applyNumberFormat="1" applyFont="1" applyFill="1" applyBorder="1" applyAlignment="1">
      <alignment horizontal="center" vertical="top" wrapText="1"/>
    </xf>
    <xf numFmtId="49" fontId="2" fillId="6" borderId="87" xfId="0" applyNumberFormat="1" applyFont="1" applyFill="1" applyBorder="1" applyAlignment="1">
      <alignment horizontal="center" vertical="top" wrapText="1"/>
    </xf>
    <xf numFmtId="0" fontId="2" fillId="6" borderId="13" xfId="0" applyFont="1" applyFill="1" applyBorder="1" applyAlignment="1">
      <alignment vertical="center" textRotation="90"/>
    </xf>
    <xf numFmtId="0" fontId="2" fillId="6" borderId="16" xfId="0" applyFont="1" applyFill="1" applyBorder="1" applyAlignment="1">
      <alignment horizontal="left" vertical="top" wrapText="1"/>
    </xf>
    <xf numFmtId="0" fontId="2" fillId="6" borderId="13" xfId="0" applyFont="1" applyFill="1" applyBorder="1" applyAlignment="1">
      <alignment horizontal="left" vertical="top" wrapText="1"/>
    </xf>
    <xf numFmtId="0" fontId="2" fillId="6" borderId="8" xfId="1" applyFont="1" applyFill="1" applyBorder="1" applyAlignment="1">
      <alignment vertical="top" wrapText="1"/>
    </xf>
    <xf numFmtId="0" fontId="6" fillId="6" borderId="8" xfId="0" applyFont="1" applyFill="1" applyBorder="1" applyAlignment="1">
      <alignment vertical="top" wrapText="1"/>
    </xf>
    <xf numFmtId="49" fontId="4" fillId="7" borderId="57" xfId="0" applyNumberFormat="1" applyFont="1" applyFill="1" applyBorder="1" applyAlignment="1">
      <alignment horizontal="left" vertical="top" wrapText="1"/>
    </xf>
    <xf numFmtId="0" fontId="4" fillId="4" borderId="35" xfId="0" applyFont="1" applyFill="1" applyBorder="1" applyAlignment="1">
      <alignment horizontal="left" vertical="top" wrapText="1"/>
    </xf>
    <xf numFmtId="0" fontId="4" fillId="10" borderId="35" xfId="0" applyFont="1" applyFill="1" applyBorder="1" applyAlignment="1">
      <alignment horizontal="left" vertical="top"/>
    </xf>
    <xf numFmtId="0" fontId="4" fillId="10" borderId="36" xfId="0" applyFont="1" applyFill="1" applyBorder="1" applyAlignment="1">
      <alignment horizontal="left" vertical="top"/>
    </xf>
    <xf numFmtId="0" fontId="2" fillId="6" borderId="8" xfId="0" applyFont="1" applyFill="1" applyBorder="1" applyAlignment="1">
      <alignment horizontal="left" vertical="top" wrapText="1"/>
    </xf>
    <xf numFmtId="49" fontId="4" fillId="10" borderId="9"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0" fontId="2" fillId="6" borderId="26" xfId="0" applyFont="1" applyFill="1" applyBorder="1" applyAlignment="1">
      <alignment horizontal="left" vertical="top" wrapText="1"/>
    </xf>
    <xf numFmtId="0" fontId="2" fillId="6" borderId="8" xfId="0" applyFont="1" applyFill="1" applyBorder="1" applyAlignment="1">
      <alignment vertical="top" wrapText="1"/>
    </xf>
    <xf numFmtId="0" fontId="6" fillId="6" borderId="18" xfId="0" applyFont="1" applyFill="1" applyBorder="1" applyAlignment="1">
      <alignment vertical="top" wrapText="1"/>
    </xf>
    <xf numFmtId="0" fontId="2" fillId="6" borderId="42" xfId="0" applyFont="1" applyFill="1" applyBorder="1" applyAlignment="1">
      <alignment horizontal="left" vertical="top" wrapText="1"/>
    </xf>
    <xf numFmtId="0" fontId="2" fillId="6" borderId="8" xfId="1" applyFont="1" applyFill="1" applyBorder="1" applyAlignment="1">
      <alignment horizontal="left" vertical="top" wrapText="1"/>
    </xf>
    <xf numFmtId="0" fontId="2" fillId="6" borderId="74" xfId="0" applyFont="1" applyFill="1" applyBorder="1" applyAlignment="1">
      <alignment horizontal="left" vertical="top" wrapText="1"/>
    </xf>
    <xf numFmtId="0" fontId="6" fillId="6" borderId="13" xfId="0" applyFont="1" applyFill="1" applyBorder="1" applyAlignment="1">
      <alignment vertical="top" wrapText="1"/>
    </xf>
    <xf numFmtId="0" fontId="2" fillId="6" borderId="14" xfId="0" applyFont="1" applyFill="1" applyBorder="1" applyAlignment="1">
      <alignment horizontal="center" vertical="center" textRotation="90" wrapText="1"/>
    </xf>
    <xf numFmtId="49" fontId="4" fillId="3" borderId="42" xfId="0" applyNumberFormat="1" applyFont="1" applyFill="1" applyBorder="1" applyAlignment="1">
      <alignment horizontal="center" vertical="top"/>
    </xf>
    <xf numFmtId="0" fontId="6" fillId="6" borderId="13" xfId="0" applyFont="1" applyFill="1" applyBorder="1" applyAlignment="1">
      <alignment horizontal="left" vertical="top" wrapText="1"/>
    </xf>
    <xf numFmtId="0" fontId="2" fillId="6" borderId="31" xfId="0" applyFont="1" applyFill="1" applyBorder="1" applyAlignment="1">
      <alignment horizontal="center" vertical="center" textRotation="90" wrapText="1"/>
    </xf>
    <xf numFmtId="0" fontId="2" fillId="6" borderId="5" xfId="0" applyFont="1" applyFill="1" applyBorder="1" applyAlignment="1">
      <alignment horizontal="left" vertical="top" wrapText="1"/>
    </xf>
    <xf numFmtId="0" fontId="2" fillId="6" borderId="18" xfId="0" applyFont="1" applyFill="1" applyBorder="1" applyAlignment="1">
      <alignment horizontal="left" vertical="top" wrapText="1"/>
    </xf>
    <xf numFmtId="0" fontId="6" fillId="0" borderId="13" xfId="0" applyFont="1" applyBorder="1" applyAlignment="1">
      <alignment horizontal="left" vertical="top" wrapText="1"/>
    </xf>
    <xf numFmtId="0" fontId="2" fillId="6" borderId="40" xfId="0" applyFont="1" applyFill="1" applyBorder="1" applyAlignment="1">
      <alignment horizontal="center" vertical="center" textRotation="90" wrapText="1"/>
    </xf>
    <xf numFmtId="0" fontId="2" fillId="6" borderId="42" xfId="0" applyFont="1" applyFill="1" applyBorder="1" applyAlignment="1">
      <alignment horizontal="center" vertical="center" textRotation="90" wrapText="1"/>
    </xf>
    <xf numFmtId="0" fontId="4" fillId="6" borderId="1" xfId="0" applyFont="1" applyFill="1" applyBorder="1" applyAlignment="1">
      <alignment horizontal="center" vertical="top" wrapText="1"/>
    </xf>
    <xf numFmtId="0" fontId="4" fillId="6" borderId="14" xfId="0" applyFont="1" applyFill="1" applyBorder="1" applyAlignment="1">
      <alignment horizontal="center" vertical="top" wrapText="1"/>
    </xf>
    <xf numFmtId="49" fontId="4" fillId="10" borderId="7" xfId="0" applyNumberFormat="1" applyFont="1" applyFill="1" applyBorder="1" applyAlignment="1">
      <alignment horizontal="center" vertical="top"/>
    </xf>
    <xf numFmtId="49" fontId="4" fillId="3" borderId="39" xfId="0" applyNumberFormat="1" applyFont="1" applyFill="1" applyBorder="1" applyAlignment="1">
      <alignment horizontal="center" vertical="top"/>
    </xf>
    <xf numFmtId="0" fontId="2" fillId="6" borderId="0" xfId="0" applyFont="1" applyFill="1" applyBorder="1" applyAlignment="1">
      <alignment horizontal="center" vertical="top" wrapText="1"/>
    </xf>
    <xf numFmtId="0" fontId="4" fillId="9" borderId="54" xfId="0" applyFont="1" applyFill="1" applyBorder="1" applyAlignment="1">
      <alignment vertical="center"/>
    </xf>
    <xf numFmtId="0" fontId="2" fillId="6" borderId="13" xfId="0" applyFont="1" applyFill="1" applyBorder="1" applyAlignment="1">
      <alignment vertical="top" wrapText="1"/>
    </xf>
    <xf numFmtId="0" fontId="2" fillId="6" borderId="26" xfId="0" applyFont="1" applyFill="1" applyBorder="1" applyAlignment="1">
      <alignment vertical="top" wrapText="1"/>
    </xf>
    <xf numFmtId="0" fontId="2" fillId="6" borderId="38" xfId="0" applyFont="1" applyFill="1" applyBorder="1" applyAlignment="1">
      <alignment horizontal="left" vertical="top" wrapText="1"/>
    </xf>
    <xf numFmtId="0" fontId="2" fillId="6" borderId="16" xfId="0" applyFont="1" applyFill="1" applyBorder="1" applyAlignment="1">
      <alignment vertical="top" wrapText="1"/>
    </xf>
    <xf numFmtId="0" fontId="2" fillId="6" borderId="5" xfId="0" applyFont="1" applyFill="1" applyBorder="1" applyAlignment="1">
      <alignment vertical="top" wrapText="1"/>
    </xf>
    <xf numFmtId="0" fontId="2" fillId="6" borderId="77" xfId="0" applyFont="1" applyFill="1" applyBorder="1" applyAlignment="1">
      <alignment horizontal="left" vertical="top" wrapText="1"/>
    </xf>
    <xf numFmtId="0" fontId="2" fillId="6" borderId="78" xfId="0" applyFont="1" applyFill="1" applyBorder="1" applyAlignment="1">
      <alignment horizontal="left" vertical="top" wrapText="1"/>
    </xf>
    <xf numFmtId="0" fontId="2" fillId="6" borderId="77" xfId="0" applyFont="1" applyFill="1" applyBorder="1" applyAlignment="1">
      <alignment vertical="top" wrapText="1"/>
    </xf>
    <xf numFmtId="0" fontId="6" fillId="6" borderId="42" xfId="0" applyFont="1" applyFill="1" applyBorder="1" applyAlignment="1"/>
    <xf numFmtId="0" fontId="6" fillId="9" borderId="54" xfId="0" applyFont="1" applyFill="1" applyBorder="1" applyAlignment="1">
      <alignment horizontal="left" vertical="top" wrapText="1"/>
    </xf>
    <xf numFmtId="0" fontId="4" fillId="2" borderId="13" xfId="0" applyFont="1" applyFill="1" applyBorder="1" applyAlignment="1">
      <alignment horizontal="left" vertical="top" wrapText="1"/>
    </xf>
    <xf numFmtId="49" fontId="4" fillId="8" borderId="13" xfId="0" applyNumberFormat="1" applyFont="1" applyFill="1" applyBorder="1" applyAlignment="1">
      <alignment horizontal="center" vertical="top" wrapText="1"/>
    </xf>
    <xf numFmtId="0" fontId="4" fillId="6" borderId="13" xfId="0" applyFont="1" applyFill="1" applyBorder="1" applyAlignment="1">
      <alignment horizontal="center" vertical="top" wrapText="1"/>
    </xf>
    <xf numFmtId="0" fontId="2" fillId="10" borderId="55" xfId="0" applyFont="1" applyFill="1" applyBorder="1" applyAlignment="1">
      <alignment horizontal="center" vertical="top" wrapText="1"/>
    </xf>
    <xf numFmtId="0" fontId="2" fillId="4" borderId="54" xfId="0" applyFont="1" applyFill="1" applyBorder="1" applyAlignment="1">
      <alignment horizontal="center" vertical="top"/>
    </xf>
    <xf numFmtId="0" fontId="2" fillId="6" borderId="24" xfId="0" applyFont="1" applyFill="1" applyBorder="1" applyAlignment="1">
      <alignment horizontal="center" vertical="center" textRotation="90" wrapText="1"/>
    </xf>
    <xf numFmtId="0" fontId="2" fillId="6" borderId="32" xfId="0" applyFont="1" applyFill="1" applyBorder="1" applyAlignment="1">
      <alignment horizontal="left" vertical="top" wrapText="1"/>
    </xf>
    <xf numFmtId="0" fontId="2" fillId="6" borderId="13" xfId="0" applyFont="1" applyFill="1" applyBorder="1" applyAlignment="1">
      <alignment horizontal="center" vertical="center" textRotation="90" wrapText="1"/>
    </xf>
    <xf numFmtId="0" fontId="2" fillId="6" borderId="26" xfId="0" applyFont="1" applyFill="1" applyBorder="1" applyAlignment="1">
      <alignment horizontal="center" vertical="center" textRotation="90" wrapText="1"/>
    </xf>
    <xf numFmtId="0" fontId="2" fillId="6" borderId="16" xfId="0" applyFont="1" applyFill="1" applyBorder="1" applyAlignment="1">
      <alignment vertical="top" wrapText="1"/>
    </xf>
    <xf numFmtId="0" fontId="2" fillId="6" borderId="26" xfId="0" applyFont="1" applyFill="1" applyBorder="1" applyAlignment="1">
      <alignment vertical="top" wrapText="1"/>
    </xf>
    <xf numFmtId="0" fontId="2" fillId="6" borderId="13" xfId="0" applyFont="1" applyFill="1" applyBorder="1" applyAlignment="1">
      <alignment vertical="top" wrapText="1"/>
    </xf>
    <xf numFmtId="0" fontId="6" fillId="9" borderId="54" xfId="0" applyFont="1" applyFill="1" applyBorder="1" applyAlignment="1">
      <alignment horizontal="left" vertical="top" wrapText="1"/>
    </xf>
    <xf numFmtId="49" fontId="4" fillId="10" borderId="9"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49" fontId="4" fillId="8" borderId="13" xfId="0" applyNumberFormat="1" applyFont="1" applyFill="1" applyBorder="1" applyAlignment="1">
      <alignment horizontal="center" vertical="top" wrapText="1"/>
    </xf>
    <xf numFmtId="0" fontId="4" fillId="6" borderId="13" xfId="0" applyFont="1" applyFill="1" applyBorder="1" applyAlignment="1">
      <alignment horizontal="center" vertical="top" wrapText="1"/>
    </xf>
    <xf numFmtId="0" fontId="2" fillId="6" borderId="16" xfId="0" applyFont="1" applyFill="1" applyBorder="1" applyAlignment="1">
      <alignment horizontal="left" vertical="top" wrapText="1"/>
    </xf>
    <xf numFmtId="0" fontId="2" fillId="6" borderId="13" xfId="0" applyFont="1" applyFill="1" applyBorder="1" applyAlignment="1">
      <alignment horizontal="left" vertical="top" wrapText="1"/>
    </xf>
    <xf numFmtId="0" fontId="6" fillId="6" borderId="13" xfId="0" applyFont="1" applyFill="1" applyBorder="1" applyAlignment="1">
      <alignment vertical="top" wrapText="1"/>
    </xf>
    <xf numFmtId="0" fontId="6" fillId="6" borderId="42" xfId="0" applyFont="1" applyFill="1" applyBorder="1" applyAlignment="1"/>
    <xf numFmtId="0" fontId="4" fillId="2" borderId="13" xfId="0" applyFont="1" applyFill="1" applyBorder="1" applyAlignment="1">
      <alignment horizontal="left" vertical="top" wrapText="1"/>
    </xf>
    <xf numFmtId="49" fontId="4" fillId="8" borderId="13" xfId="0" applyNumberFormat="1" applyFont="1" applyFill="1" applyBorder="1" applyAlignment="1">
      <alignment horizontal="center" vertical="top"/>
    </xf>
    <xf numFmtId="0" fontId="2" fillId="6" borderId="26" xfId="0" applyFont="1" applyFill="1" applyBorder="1" applyAlignment="1">
      <alignment horizontal="left" vertical="top" wrapText="1"/>
    </xf>
    <xf numFmtId="49" fontId="4" fillId="10" borderId="7" xfId="0" applyNumberFormat="1" applyFont="1" applyFill="1" applyBorder="1" applyAlignment="1">
      <alignment horizontal="center" vertical="top"/>
    </xf>
    <xf numFmtId="49" fontId="4" fillId="3" borderId="39" xfId="0" applyNumberFormat="1" applyFont="1" applyFill="1" applyBorder="1" applyAlignment="1">
      <alignment horizontal="center" vertical="top"/>
    </xf>
    <xf numFmtId="49" fontId="4" fillId="3" borderId="42" xfId="0" applyNumberFormat="1" applyFont="1" applyFill="1" applyBorder="1" applyAlignment="1">
      <alignment horizontal="center" vertical="top"/>
    </xf>
    <xf numFmtId="0" fontId="2" fillId="6" borderId="0" xfId="0" applyFont="1" applyFill="1" applyBorder="1" applyAlignment="1">
      <alignment horizontal="center" vertical="top" wrapText="1"/>
    </xf>
    <xf numFmtId="0" fontId="2" fillId="6" borderId="42" xfId="0" applyFont="1" applyFill="1" applyBorder="1" applyAlignment="1">
      <alignment horizontal="left" vertical="top" wrapText="1"/>
    </xf>
    <xf numFmtId="0" fontId="6" fillId="0" borderId="13" xfId="0" applyFont="1" applyBorder="1" applyAlignment="1">
      <alignment horizontal="left" vertical="top" wrapText="1"/>
    </xf>
    <xf numFmtId="0" fontId="2" fillId="6" borderId="40" xfId="0" applyFont="1" applyFill="1" applyBorder="1" applyAlignment="1">
      <alignment horizontal="center" vertical="center" textRotation="90" wrapText="1"/>
    </xf>
    <xf numFmtId="0" fontId="2" fillId="6" borderId="42" xfId="0" applyFont="1" applyFill="1" applyBorder="1" applyAlignment="1">
      <alignment horizontal="center" vertical="center" textRotation="90" wrapText="1"/>
    </xf>
    <xf numFmtId="0" fontId="4" fillId="6" borderId="1" xfId="0" applyFont="1" applyFill="1" applyBorder="1" applyAlignment="1">
      <alignment horizontal="center" vertical="top" wrapText="1"/>
    </xf>
    <xf numFmtId="0" fontId="4" fillId="6" borderId="14" xfId="0" applyFont="1" applyFill="1" applyBorder="1" applyAlignment="1">
      <alignment horizontal="center" vertical="top" wrapText="1"/>
    </xf>
    <xf numFmtId="0" fontId="2" fillId="6" borderId="31" xfId="0" applyFont="1" applyFill="1" applyBorder="1" applyAlignment="1">
      <alignment horizontal="center" vertical="center" textRotation="90" wrapText="1"/>
    </xf>
    <xf numFmtId="0" fontId="2" fillId="6" borderId="74" xfId="0" applyFont="1" applyFill="1" applyBorder="1" applyAlignment="1">
      <alignment horizontal="left" vertical="top" wrapText="1"/>
    </xf>
    <xf numFmtId="0" fontId="2" fillId="6" borderId="14" xfId="0" applyFont="1" applyFill="1" applyBorder="1" applyAlignment="1">
      <alignment horizontal="center" vertical="center" textRotation="90" wrapText="1"/>
    </xf>
    <xf numFmtId="0" fontId="6" fillId="6" borderId="13" xfId="0" applyFont="1" applyFill="1" applyBorder="1" applyAlignment="1">
      <alignment horizontal="left" vertical="top" wrapText="1"/>
    </xf>
    <xf numFmtId="0" fontId="2" fillId="6" borderId="13" xfId="0" applyFont="1" applyFill="1" applyBorder="1" applyAlignment="1">
      <alignment horizontal="center" vertical="center" textRotation="90" wrapText="1"/>
    </xf>
    <xf numFmtId="0" fontId="2" fillId="6" borderId="26" xfId="0" applyFont="1" applyFill="1" applyBorder="1" applyAlignment="1">
      <alignment horizontal="center" vertical="center" textRotation="90" wrapText="1"/>
    </xf>
    <xf numFmtId="0" fontId="2" fillId="6" borderId="8" xfId="0" applyFont="1" applyFill="1" applyBorder="1" applyAlignment="1">
      <alignment horizontal="center" vertical="top" wrapText="1"/>
    </xf>
    <xf numFmtId="0" fontId="2" fillId="6" borderId="77" xfId="0" applyFont="1" applyFill="1" applyBorder="1" applyAlignment="1">
      <alignment horizontal="center" vertical="top" wrapText="1"/>
    </xf>
    <xf numFmtId="0" fontId="2" fillId="6" borderId="18" xfId="0" applyFont="1" applyFill="1" applyBorder="1" applyAlignment="1">
      <alignment horizontal="center" vertical="top" wrapText="1"/>
    </xf>
    <xf numFmtId="0" fontId="2" fillId="6" borderId="24" xfId="0" applyFont="1" applyFill="1" applyBorder="1" applyAlignment="1">
      <alignment horizontal="center" vertical="center" textRotation="90" wrapText="1"/>
    </xf>
    <xf numFmtId="0" fontId="2" fillId="0" borderId="16" xfId="0" applyFont="1" applyBorder="1" applyAlignment="1">
      <alignment horizontal="center" vertical="center" textRotation="90"/>
    </xf>
    <xf numFmtId="49" fontId="4" fillId="10" borderId="37" xfId="0" applyNumberFormat="1" applyFont="1" applyFill="1" applyBorder="1" applyAlignment="1">
      <alignment horizontal="center" vertical="top"/>
    </xf>
    <xf numFmtId="49" fontId="4" fillId="3" borderId="16" xfId="0" applyNumberFormat="1" applyFont="1" applyFill="1" applyBorder="1" applyAlignment="1">
      <alignment horizontal="center" vertical="top"/>
    </xf>
    <xf numFmtId="0" fontId="4" fillId="0" borderId="61" xfId="0" applyFont="1" applyBorder="1" applyAlignment="1">
      <alignment horizontal="center" vertical="center" wrapText="1"/>
    </xf>
    <xf numFmtId="0" fontId="4" fillId="0" borderId="113" xfId="0" applyFont="1" applyBorder="1" applyAlignment="1">
      <alignment horizontal="center" vertical="center" wrapText="1"/>
    </xf>
    <xf numFmtId="49" fontId="4" fillId="8" borderId="19" xfId="0" applyNumberFormat="1" applyFont="1" applyFill="1" applyBorder="1" applyAlignment="1">
      <alignment horizontal="center" vertical="top" wrapText="1"/>
    </xf>
    <xf numFmtId="0" fontId="2" fillId="0" borderId="3" xfId="0" applyFont="1" applyBorder="1" applyAlignment="1">
      <alignment horizontal="center" vertical="center" textRotation="90"/>
    </xf>
    <xf numFmtId="0" fontId="2" fillId="6" borderId="94" xfId="0" applyFont="1" applyFill="1" applyBorder="1" applyAlignment="1">
      <alignment vertical="top" wrapText="1"/>
    </xf>
    <xf numFmtId="0" fontId="4" fillId="6" borderId="22" xfId="0" applyFont="1" applyFill="1" applyBorder="1" applyAlignment="1">
      <alignment horizontal="center" vertical="top" wrapText="1"/>
    </xf>
    <xf numFmtId="3" fontId="2" fillId="6" borderId="83" xfId="0" applyNumberFormat="1" applyFont="1" applyFill="1" applyBorder="1" applyAlignment="1">
      <alignment horizontal="center" vertical="top"/>
    </xf>
    <xf numFmtId="0" fontId="4" fillId="6" borderId="3" xfId="0" applyFont="1" applyFill="1" applyBorder="1" applyAlignment="1">
      <alignment horizontal="center" vertical="top" wrapText="1"/>
    </xf>
    <xf numFmtId="3" fontId="2" fillId="6" borderId="94"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6" borderId="111" xfId="0" applyNumberFormat="1" applyFont="1" applyFill="1" applyBorder="1" applyAlignment="1">
      <alignment horizontal="center" vertical="top"/>
    </xf>
    <xf numFmtId="0" fontId="2" fillId="6" borderId="98" xfId="0" applyFont="1" applyFill="1" applyBorder="1" applyAlignment="1">
      <alignment horizontal="left" vertical="top" wrapText="1"/>
    </xf>
    <xf numFmtId="3" fontId="2" fillId="6" borderId="22" xfId="0" applyNumberFormat="1" applyFont="1" applyFill="1" applyBorder="1" applyAlignment="1">
      <alignment horizontal="center" vertical="top"/>
    </xf>
    <xf numFmtId="3" fontId="2" fillId="6" borderId="96" xfId="0" applyNumberFormat="1" applyFont="1" applyFill="1" applyBorder="1" applyAlignment="1">
      <alignment horizontal="center" vertical="top"/>
    </xf>
    <xf numFmtId="3" fontId="2" fillId="6" borderId="95" xfId="0" applyNumberFormat="1" applyFont="1" applyFill="1" applyBorder="1" applyAlignment="1">
      <alignment horizontal="center" vertical="top"/>
    </xf>
    <xf numFmtId="0" fontId="2" fillId="6" borderId="22" xfId="0" applyFont="1" applyFill="1" applyBorder="1" applyAlignment="1">
      <alignment vertical="top" wrapText="1"/>
    </xf>
    <xf numFmtId="0" fontId="2" fillId="6" borderId="99" xfId="0" applyFont="1" applyFill="1" applyBorder="1" applyAlignment="1">
      <alignment horizontal="left" vertical="top" wrapText="1"/>
    </xf>
    <xf numFmtId="0" fontId="2" fillId="6" borderId="95" xfId="0" applyFont="1" applyFill="1" applyBorder="1" applyAlignment="1">
      <alignment vertical="top" wrapText="1"/>
    </xf>
    <xf numFmtId="0" fontId="4" fillId="6" borderId="83" xfId="0" applyFont="1" applyFill="1" applyBorder="1" applyAlignment="1">
      <alignment horizontal="center" vertical="top" wrapText="1"/>
    </xf>
    <xf numFmtId="0" fontId="2" fillId="6" borderId="53" xfId="0" applyFont="1" applyFill="1" applyBorder="1" applyAlignment="1">
      <alignment horizontal="left" vertical="top" wrapText="1"/>
    </xf>
    <xf numFmtId="3" fontId="2" fillId="6" borderId="114" xfId="0" applyNumberFormat="1" applyFont="1" applyFill="1" applyBorder="1" applyAlignment="1">
      <alignment horizontal="center" vertical="top"/>
    </xf>
    <xf numFmtId="165" fontId="4" fillId="3" borderId="115" xfId="0" applyNumberFormat="1" applyFont="1" applyFill="1" applyBorder="1" applyAlignment="1">
      <alignment horizontal="center" vertical="top"/>
    </xf>
    <xf numFmtId="165" fontId="2" fillId="6" borderId="24" xfId="0" applyNumberFormat="1" applyFont="1" applyFill="1" applyBorder="1" applyAlignment="1">
      <alignment horizontal="center" vertical="top"/>
    </xf>
    <xf numFmtId="165" fontId="4" fillId="3" borderId="62" xfId="0" applyNumberFormat="1" applyFont="1" applyFill="1" applyBorder="1" applyAlignment="1">
      <alignment horizontal="center" vertical="top"/>
    </xf>
    <xf numFmtId="165" fontId="2" fillId="2" borderId="46" xfId="0" applyNumberFormat="1" applyFont="1" applyFill="1" applyBorder="1" applyAlignment="1">
      <alignment horizontal="center" vertical="top"/>
    </xf>
    <xf numFmtId="165" fontId="2" fillId="2" borderId="45"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49" fontId="4" fillId="0" borderId="0" xfId="0" applyNumberFormat="1" applyFont="1" applyFill="1" applyBorder="1" applyAlignment="1">
      <alignment horizontal="center" vertical="top" wrapText="1"/>
    </xf>
    <xf numFmtId="0" fontId="2" fillId="6" borderId="108" xfId="0" applyFont="1" applyFill="1" applyBorder="1" applyAlignment="1">
      <alignment horizontal="center" vertical="top"/>
    </xf>
    <xf numFmtId="3" fontId="2" fillId="6" borderId="58" xfId="0" applyNumberFormat="1" applyFont="1" applyFill="1" applyBorder="1" applyAlignment="1">
      <alignment horizontal="right" vertical="center"/>
    </xf>
    <xf numFmtId="3" fontId="2" fillId="6" borderId="15" xfId="0" applyNumberFormat="1" applyFont="1" applyFill="1" applyBorder="1" applyAlignment="1">
      <alignment horizontal="right" vertical="center"/>
    </xf>
    <xf numFmtId="3" fontId="2" fillId="6" borderId="31" xfId="0" applyNumberFormat="1" applyFont="1" applyFill="1" applyBorder="1" applyAlignment="1">
      <alignment horizontal="center" vertical="top"/>
    </xf>
    <xf numFmtId="49" fontId="2" fillId="6" borderId="106" xfId="0" applyNumberFormat="1" applyFont="1" applyFill="1" applyBorder="1" applyAlignment="1">
      <alignment horizontal="center" vertical="top"/>
    </xf>
    <xf numFmtId="3" fontId="2" fillId="6" borderId="93" xfId="1" applyNumberFormat="1" applyFont="1" applyFill="1" applyBorder="1" applyAlignment="1">
      <alignment horizontal="center" vertical="top" wrapText="1"/>
    </xf>
    <xf numFmtId="0" fontId="2" fillId="0" borderId="0" xfId="0" applyFont="1" applyBorder="1" applyAlignment="1">
      <alignment horizontal="right" vertical="top"/>
    </xf>
    <xf numFmtId="3" fontId="2" fillId="6" borderId="0" xfId="1" applyNumberFormat="1" applyFont="1" applyFill="1" applyBorder="1" applyAlignment="1">
      <alignment horizontal="center" vertical="top" wrapText="1"/>
    </xf>
    <xf numFmtId="0" fontId="4" fillId="9" borderId="0" xfId="0" applyFont="1" applyFill="1" applyBorder="1" applyAlignment="1">
      <alignment vertical="center"/>
    </xf>
    <xf numFmtId="0" fontId="2" fillId="10" borderId="0" xfId="0" applyFont="1" applyFill="1" applyBorder="1" applyAlignment="1">
      <alignment horizontal="center" vertical="top" wrapText="1"/>
    </xf>
    <xf numFmtId="0" fontId="4" fillId="0" borderId="1" xfId="0" applyFont="1" applyBorder="1" applyAlignment="1">
      <alignment horizontal="center" vertical="center" textRotation="90"/>
    </xf>
    <xf numFmtId="49" fontId="4" fillId="7" borderId="46" xfId="0" applyNumberFormat="1" applyFont="1" applyFill="1" applyBorder="1" applyAlignment="1">
      <alignment horizontal="left" vertical="top" wrapText="1"/>
    </xf>
    <xf numFmtId="0" fontId="4" fillId="3" borderId="28" xfId="0" applyFont="1" applyFill="1" applyBorder="1" applyAlignment="1">
      <alignment horizontal="left" vertical="top" wrapText="1"/>
    </xf>
    <xf numFmtId="0" fontId="4" fillId="4" borderId="44" xfId="0" applyFont="1" applyFill="1" applyBorder="1" applyAlignment="1">
      <alignment horizontal="left" vertical="top" wrapText="1"/>
    </xf>
    <xf numFmtId="0" fontId="4" fillId="3" borderId="83" xfId="0" applyFont="1" applyFill="1" applyBorder="1" applyAlignment="1">
      <alignment horizontal="left" vertical="top" wrapText="1"/>
    </xf>
    <xf numFmtId="165" fontId="2" fillId="8" borderId="30" xfId="0" applyNumberFormat="1" applyFont="1" applyFill="1" applyBorder="1" applyAlignment="1">
      <alignment horizontal="center" vertical="top"/>
    </xf>
    <xf numFmtId="165" fontId="4" fillId="8" borderId="116" xfId="0" applyNumberFormat="1" applyFont="1" applyFill="1" applyBorder="1" applyAlignment="1">
      <alignment horizontal="center" vertical="top"/>
    </xf>
    <xf numFmtId="165" fontId="4" fillId="8" borderId="34" xfId="0" applyNumberFormat="1" applyFont="1" applyFill="1" applyBorder="1" applyAlignment="1">
      <alignment horizontal="center" vertical="top"/>
    </xf>
    <xf numFmtId="165" fontId="4" fillId="8" borderId="114"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165" fontId="2" fillId="2" borderId="23" xfId="0" applyNumberFormat="1" applyFont="1" applyFill="1" applyBorder="1" applyAlignment="1">
      <alignment horizontal="center" vertical="top"/>
    </xf>
    <xf numFmtId="165" fontId="4" fillId="9" borderId="96" xfId="0" applyNumberFormat="1" applyFont="1" applyFill="1" applyBorder="1" applyAlignment="1">
      <alignment horizontal="center" vertical="top"/>
    </xf>
    <xf numFmtId="165" fontId="4" fillId="9" borderId="95" xfId="0" applyNumberFormat="1" applyFont="1" applyFill="1" applyBorder="1" applyAlignment="1">
      <alignment horizontal="center" vertical="top"/>
    </xf>
    <xf numFmtId="165" fontId="4" fillId="9" borderId="114" xfId="0" applyNumberFormat="1" applyFont="1" applyFill="1" applyBorder="1" applyAlignment="1">
      <alignment horizontal="center" vertical="top"/>
    </xf>
    <xf numFmtId="165" fontId="4" fillId="10" borderId="115" xfId="0" applyNumberFormat="1" applyFont="1" applyFill="1" applyBorder="1" applyAlignment="1">
      <alignment horizontal="center" vertical="top"/>
    </xf>
    <xf numFmtId="165" fontId="4" fillId="4" borderId="115" xfId="0" applyNumberFormat="1" applyFont="1" applyFill="1" applyBorder="1" applyAlignment="1">
      <alignment horizontal="center" vertical="top"/>
    </xf>
    <xf numFmtId="165" fontId="4" fillId="4" borderId="11" xfId="0" applyNumberFormat="1" applyFont="1" applyFill="1" applyBorder="1" applyAlignment="1">
      <alignment horizontal="center" vertical="top"/>
    </xf>
    <xf numFmtId="165" fontId="4" fillId="4" borderId="58" xfId="0" applyNumberFormat="1" applyFont="1" applyFill="1" applyBorder="1" applyAlignment="1">
      <alignment horizontal="center" vertical="top"/>
    </xf>
    <xf numFmtId="0" fontId="6" fillId="0" borderId="33" xfId="0" applyFont="1" applyBorder="1" applyAlignment="1">
      <alignment horizontal="left" vertical="top" wrapText="1"/>
    </xf>
    <xf numFmtId="165" fontId="4" fillId="10" borderId="109" xfId="0" applyNumberFormat="1" applyFont="1" applyFill="1" applyBorder="1" applyAlignment="1">
      <alignment horizontal="center" vertical="top"/>
    </xf>
    <xf numFmtId="165" fontId="4" fillId="4" borderId="109" xfId="0" applyNumberFormat="1" applyFont="1" applyFill="1" applyBorder="1" applyAlignment="1">
      <alignment horizontal="center" vertical="top"/>
    </xf>
    <xf numFmtId="165" fontId="2" fillId="6" borderId="117" xfId="0" applyNumberFormat="1" applyFont="1" applyFill="1" applyBorder="1" applyAlignment="1">
      <alignment horizontal="center" vertical="top"/>
    </xf>
    <xf numFmtId="0" fontId="2" fillId="6" borderId="6" xfId="0" applyFont="1" applyFill="1" applyBorder="1" applyAlignment="1">
      <alignment horizontal="center" vertical="top" wrapText="1"/>
    </xf>
    <xf numFmtId="165" fontId="4" fillId="8" borderId="110" xfId="0" applyNumberFormat="1" applyFont="1" applyFill="1" applyBorder="1" applyAlignment="1">
      <alignment horizontal="center" vertical="top"/>
    </xf>
    <xf numFmtId="165" fontId="2" fillId="2" borderId="5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165" fontId="2" fillId="6" borderId="58" xfId="0" applyNumberFormat="1" applyFont="1" applyFill="1" applyBorder="1" applyAlignment="1">
      <alignment horizontal="center" vertical="center"/>
    </xf>
    <xf numFmtId="165" fontId="2" fillId="6" borderId="31" xfId="0" applyNumberFormat="1" applyFont="1" applyFill="1" applyBorder="1" applyAlignment="1">
      <alignment horizontal="center" vertical="center"/>
    </xf>
    <xf numFmtId="165" fontId="2" fillId="6" borderId="21" xfId="0" applyNumberFormat="1" applyFont="1" applyFill="1" applyBorder="1" applyAlignment="1">
      <alignment horizontal="center" vertical="center"/>
    </xf>
    <xf numFmtId="165" fontId="2" fillId="6" borderId="14" xfId="0" applyNumberFormat="1" applyFont="1" applyFill="1" applyBorder="1" applyAlignment="1">
      <alignment horizontal="center" vertical="center"/>
    </xf>
    <xf numFmtId="165" fontId="2" fillId="6" borderId="106" xfId="0" applyNumberFormat="1" applyFont="1" applyFill="1" applyBorder="1" applyAlignment="1">
      <alignment horizontal="center" vertical="top"/>
    </xf>
    <xf numFmtId="3" fontId="2" fillId="0" borderId="33" xfId="0" applyNumberFormat="1" applyFont="1" applyFill="1" applyBorder="1" applyAlignment="1">
      <alignment horizontal="left" vertical="top" wrapText="1"/>
    </xf>
    <xf numFmtId="0" fontId="2" fillId="4" borderId="45" xfId="0" applyFont="1" applyFill="1" applyBorder="1" applyAlignment="1">
      <alignment horizontal="center" vertical="top"/>
    </xf>
    <xf numFmtId="0" fontId="2" fillId="6" borderId="15" xfId="0" applyNumberFormat="1" applyFont="1" applyFill="1" applyBorder="1" applyAlignment="1">
      <alignment horizontal="center" vertical="top" wrapText="1"/>
    </xf>
    <xf numFmtId="3" fontId="2" fillId="6" borderId="108" xfId="0" applyNumberFormat="1" applyFont="1" applyFill="1" applyBorder="1" applyAlignment="1">
      <alignment horizontal="center" vertical="top"/>
    </xf>
    <xf numFmtId="3" fontId="2" fillId="6" borderId="88" xfId="0" applyNumberFormat="1" applyFont="1" applyFill="1" applyBorder="1" applyAlignment="1">
      <alignment horizontal="center" vertical="top"/>
    </xf>
    <xf numFmtId="3" fontId="2" fillId="0" borderId="117" xfId="0" applyNumberFormat="1" applyFont="1" applyFill="1" applyBorder="1" applyAlignment="1">
      <alignment horizontal="center" vertical="top"/>
    </xf>
    <xf numFmtId="3" fontId="2" fillId="6" borderId="15" xfId="0" applyNumberFormat="1" applyFont="1" applyFill="1" applyBorder="1" applyAlignment="1">
      <alignment horizontal="center" vertical="top"/>
    </xf>
    <xf numFmtId="3" fontId="2" fillId="0" borderId="89" xfId="0" applyNumberFormat="1" applyFont="1" applyFill="1" applyBorder="1" applyAlignment="1">
      <alignment horizontal="center" vertical="top"/>
    </xf>
    <xf numFmtId="3" fontId="2" fillId="6" borderId="98" xfId="0" applyNumberFormat="1" applyFont="1" applyFill="1" applyBorder="1" applyAlignment="1">
      <alignment horizontal="center" vertical="top"/>
    </xf>
    <xf numFmtId="3" fontId="2" fillId="0" borderId="2" xfId="0" applyNumberFormat="1" applyFont="1" applyFill="1" applyBorder="1" applyAlignment="1">
      <alignment horizontal="center" vertical="top"/>
    </xf>
    <xf numFmtId="3" fontId="2" fillId="0" borderId="13" xfId="0" applyNumberFormat="1" applyFont="1" applyFill="1" applyBorder="1" applyAlignment="1">
      <alignment horizontal="center" vertical="top"/>
    </xf>
    <xf numFmtId="3" fontId="2" fillId="0" borderId="26" xfId="0" applyNumberFormat="1" applyFont="1" applyFill="1" applyBorder="1" applyAlignment="1">
      <alignment horizontal="center" vertical="top"/>
    </xf>
    <xf numFmtId="0" fontId="2" fillId="0" borderId="15" xfId="0" applyFont="1" applyBorder="1" applyAlignment="1">
      <alignment horizontal="center" vertical="top"/>
    </xf>
    <xf numFmtId="0" fontId="2" fillId="0" borderId="106" xfId="0" applyFont="1" applyBorder="1" applyAlignment="1">
      <alignment vertical="top"/>
    </xf>
    <xf numFmtId="0" fontId="2" fillId="0" borderId="9" xfId="0" applyFont="1" applyBorder="1" applyAlignment="1">
      <alignment horizontal="center" vertical="top"/>
    </xf>
    <xf numFmtId="49" fontId="2" fillId="6" borderId="71" xfId="0" applyNumberFormat="1" applyFont="1" applyFill="1" applyBorder="1" applyAlignment="1">
      <alignment horizontal="center" vertical="top"/>
    </xf>
    <xf numFmtId="49" fontId="2" fillId="6" borderId="9" xfId="0" applyNumberFormat="1" applyFont="1" applyFill="1" applyBorder="1" applyAlignment="1">
      <alignment horizontal="center" vertical="top"/>
    </xf>
    <xf numFmtId="3" fontId="2" fillId="6" borderId="84" xfId="0" applyNumberFormat="1" applyFont="1" applyFill="1" applyBorder="1" applyAlignment="1">
      <alignment horizontal="center" vertical="top"/>
    </xf>
    <xf numFmtId="164" fontId="2" fillId="6" borderId="81" xfId="0" applyNumberFormat="1" applyFont="1" applyFill="1" applyBorder="1" applyAlignment="1">
      <alignment horizontal="center" vertical="top"/>
    </xf>
    <xf numFmtId="0" fontId="2" fillId="0" borderId="47" xfId="0" applyFont="1" applyBorder="1" applyAlignment="1">
      <alignment vertical="top"/>
    </xf>
    <xf numFmtId="164" fontId="2" fillId="6" borderId="45" xfId="0" applyNumberFormat="1" applyFont="1" applyFill="1" applyBorder="1" applyAlignment="1">
      <alignment horizontal="center" vertical="top"/>
    </xf>
    <xf numFmtId="0" fontId="2" fillId="0" borderId="80" xfId="0" applyFont="1" applyBorder="1" applyAlignment="1">
      <alignment vertical="top"/>
    </xf>
    <xf numFmtId="0" fontId="2" fillId="0" borderId="13" xfId="0" applyFont="1" applyBorder="1" applyAlignment="1">
      <alignment vertical="top"/>
    </xf>
    <xf numFmtId="0" fontId="2" fillId="0" borderId="26" xfId="0" applyFont="1" applyBorder="1" applyAlignment="1">
      <alignment vertical="top"/>
    </xf>
    <xf numFmtId="164" fontId="2" fillId="6" borderId="13" xfId="0" applyNumberFormat="1" applyFont="1" applyFill="1" applyBorder="1" applyAlignment="1">
      <alignment horizontal="center" vertical="top"/>
    </xf>
    <xf numFmtId="165" fontId="2" fillId="6" borderId="56" xfId="0" applyNumberFormat="1" applyFont="1" applyFill="1" applyBorder="1" applyAlignment="1">
      <alignment horizontal="center" vertical="top"/>
    </xf>
    <xf numFmtId="165" fontId="2" fillId="6" borderId="46" xfId="0" applyNumberFormat="1" applyFont="1" applyFill="1" applyBorder="1" applyAlignment="1">
      <alignment vertical="top"/>
    </xf>
    <xf numFmtId="165" fontId="2" fillId="6" borderId="20" xfId="0" applyNumberFormat="1" applyFont="1" applyFill="1" applyBorder="1" applyAlignment="1">
      <alignment vertical="top"/>
    </xf>
    <xf numFmtId="165" fontId="2" fillId="6" borderId="13" xfId="0" applyNumberFormat="1" applyFont="1" applyFill="1" applyBorder="1" applyAlignment="1">
      <alignment vertical="top"/>
    </xf>
    <xf numFmtId="0" fontId="2" fillId="6" borderId="108" xfId="0" applyFont="1" applyFill="1" applyBorder="1" applyAlignment="1">
      <alignment horizontal="center" vertical="center"/>
    </xf>
    <xf numFmtId="0" fontId="2" fillId="6" borderId="88" xfId="0" applyFont="1" applyFill="1" applyBorder="1" applyAlignment="1">
      <alignment horizontal="center" vertical="top"/>
    </xf>
    <xf numFmtId="0" fontId="2" fillId="3" borderId="54" xfId="0" applyFont="1" applyFill="1" applyBorder="1" applyAlignment="1">
      <alignment horizontal="center" vertical="top" wrapText="1"/>
    </xf>
    <xf numFmtId="0" fontId="2" fillId="3" borderId="51" xfId="0" applyFont="1" applyFill="1" applyBorder="1" applyAlignment="1">
      <alignment horizontal="center" vertical="top" wrapText="1"/>
    </xf>
    <xf numFmtId="0" fontId="2" fillId="3" borderId="55" xfId="0" applyFont="1" applyFill="1" applyBorder="1" applyAlignment="1">
      <alignment horizontal="center" vertical="top" wrapText="1"/>
    </xf>
    <xf numFmtId="0" fontId="4" fillId="9" borderId="54" xfId="0" applyFont="1" applyFill="1" applyBorder="1" applyAlignment="1">
      <alignment horizontal="left" vertical="top" wrapText="1"/>
    </xf>
    <xf numFmtId="3" fontId="2" fillId="6" borderId="13" xfId="0" applyNumberFormat="1" applyFont="1" applyFill="1" applyBorder="1" applyAlignment="1">
      <alignment horizontal="right" vertical="center"/>
    </xf>
    <xf numFmtId="165" fontId="2" fillId="6" borderId="68" xfId="0" applyNumberFormat="1" applyFont="1" applyFill="1" applyBorder="1" applyAlignment="1">
      <alignment horizontal="center" vertical="top" wrapText="1"/>
    </xf>
    <xf numFmtId="164" fontId="2" fillId="6" borderId="84" xfId="0" applyNumberFormat="1" applyFont="1" applyFill="1" applyBorder="1" applyAlignment="1">
      <alignment horizontal="center" vertical="center" wrapText="1"/>
    </xf>
    <xf numFmtId="165" fontId="2" fillId="6" borderId="84" xfId="0" applyNumberFormat="1" applyFont="1" applyFill="1" applyBorder="1" applyAlignment="1">
      <alignment horizontal="center" vertical="top" wrapText="1"/>
    </xf>
    <xf numFmtId="3" fontId="2" fillId="6" borderId="86" xfId="1" applyNumberFormat="1" applyFont="1" applyFill="1" applyBorder="1" applyAlignment="1">
      <alignment horizontal="center" vertical="top"/>
    </xf>
    <xf numFmtId="49" fontId="2" fillId="6" borderId="101" xfId="0" applyNumberFormat="1" applyFont="1" applyFill="1" applyBorder="1" applyAlignment="1">
      <alignment horizontal="center" vertical="top" wrapText="1"/>
    </xf>
    <xf numFmtId="3" fontId="2" fillId="6" borderId="73" xfId="0" applyNumberFormat="1" applyFont="1" applyFill="1" applyBorder="1" applyAlignment="1">
      <alignment horizontal="center" vertical="top" wrapText="1"/>
    </xf>
    <xf numFmtId="3" fontId="2" fillId="6" borderId="47" xfId="1" applyNumberFormat="1" applyFont="1" applyFill="1" applyBorder="1" applyAlignment="1">
      <alignment horizontal="center" vertical="top" wrapText="1"/>
    </xf>
    <xf numFmtId="3" fontId="2" fillId="6" borderId="86" xfId="1" applyNumberFormat="1" applyFont="1" applyFill="1" applyBorder="1" applyAlignment="1">
      <alignment horizontal="center" vertical="top" wrapText="1"/>
    </xf>
    <xf numFmtId="1" fontId="2" fillId="6" borderId="72" xfId="0" applyNumberFormat="1" applyFont="1" applyFill="1" applyBorder="1" applyAlignment="1">
      <alignment horizontal="center" vertical="top" wrapText="1"/>
    </xf>
    <xf numFmtId="165" fontId="2" fillId="6" borderId="66" xfId="0" applyNumberFormat="1" applyFont="1" applyFill="1" applyBorder="1" applyAlignment="1">
      <alignment horizontal="center" vertical="top"/>
    </xf>
    <xf numFmtId="165" fontId="2" fillId="2" borderId="97" xfId="0" applyNumberFormat="1" applyFont="1" applyFill="1" applyBorder="1" applyAlignment="1">
      <alignment horizontal="center" vertical="top"/>
    </xf>
    <xf numFmtId="3" fontId="2" fillId="0" borderId="84" xfId="0" applyNumberFormat="1" applyFont="1" applyFill="1" applyBorder="1" applyAlignment="1">
      <alignment horizontal="center" vertical="top"/>
    </xf>
    <xf numFmtId="3" fontId="2" fillId="0" borderId="97" xfId="0" applyNumberFormat="1" applyFont="1" applyFill="1" applyBorder="1" applyAlignment="1">
      <alignment horizontal="center" vertical="top"/>
    </xf>
    <xf numFmtId="3" fontId="4" fillId="6" borderId="7" xfId="0" applyNumberFormat="1" applyFont="1" applyFill="1" applyBorder="1" applyAlignment="1">
      <alignment horizontal="center" vertical="top" wrapText="1"/>
    </xf>
    <xf numFmtId="3" fontId="4" fillId="6" borderId="46" xfId="0" applyNumberFormat="1" applyFont="1" applyFill="1" applyBorder="1" applyAlignment="1">
      <alignment horizontal="center" vertical="top" wrapText="1"/>
    </xf>
    <xf numFmtId="3" fontId="4" fillId="6" borderId="20" xfId="0" applyNumberFormat="1" applyFont="1" applyFill="1" applyBorder="1" applyAlignment="1">
      <alignment horizontal="center" vertical="top" wrapText="1"/>
    </xf>
    <xf numFmtId="3" fontId="2" fillId="6" borderId="5" xfId="1" applyNumberFormat="1" applyFont="1" applyFill="1" applyBorder="1" applyAlignment="1">
      <alignment horizontal="center" vertical="top"/>
    </xf>
    <xf numFmtId="165" fontId="2" fillId="6" borderId="74" xfId="0" applyNumberFormat="1" applyFont="1" applyFill="1" applyBorder="1" applyAlignment="1">
      <alignment horizontal="center" vertical="top" wrapText="1"/>
    </xf>
    <xf numFmtId="0" fontId="2" fillId="0" borderId="61"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4" fillId="0" borderId="52" xfId="0" applyFont="1" applyBorder="1" applyAlignment="1">
      <alignment horizontal="center" vertical="center" textRotation="90" wrapText="1"/>
    </xf>
    <xf numFmtId="0" fontId="2" fillId="0" borderId="48" xfId="0" applyFont="1" applyBorder="1" applyAlignment="1">
      <alignment horizontal="center" vertical="center" textRotation="90" wrapText="1"/>
    </xf>
    <xf numFmtId="0" fontId="2" fillId="0" borderId="117" xfId="0" applyFont="1" applyBorder="1" applyAlignment="1">
      <alignment horizontal="center" vertical="center" textRotation="90" wrapText="1"/>
    </xf>
    <xf numFmtId="165" fontId="4" fillId="4" borderId="52" xfId="0" applyNumberFormat="1" applyFont="1" applyFill="1" applyBorder="1" applyAlignment="1">
      <alignment horizontal="center" vertical="top"/>
    </xf>
    <xf numFmtId="165" fontId="4" fillId="8" borderId="36" xfId="0" applyNumberFormat="1" applyFont="1" applyFill="1" applyBorder="1" applyAlignment="1">
      <alignment horizontal="center" vertical="top" wrapText="1"/>
    </xf>
    <xf numFmtId="165" fontId="2" fillId="0" borderId="47" xfId="0" applyNumberFormat="1" applyFont="1" applyBorder="1" applyAlignment="1">
      <alignment horizontal="center" vertical="top"/>
    </xf>
    <xf numFmtId="165" fontId="2" fillId="8" borderId="47" xfId="0" applyNumberFormat="1" applyFont="1" applyFill="1" applyBorder="1" applyAlignment="1">
      <alignment horizontal="center" vertical="top"/>
    </xf>
    <xf numFmtId="165" fontId="2" fillId="8" borderId="36" xfId="0" applyNumberFormat="1" applyFont="1" applyFill="1" applyBorder="1" applyAlignment="1">
      <alignment horizontal="center" vertical="top" wrapText="1"/>
    </xf>
    <xf numFmtId="165" fontId="4" fillId="4" borderId="36" xfId="0" applyNumberFormat="1" applyFont="1" applyFill="1" applyBorder="1" applyAlignment="1">
      <alignment horizontal="center" vertical="top" wrapText="1"/>
    </xf>
    <xf numFmtId="165" fontId="2" fillId="0" borderId="36" xfId="0" applyNumberFormat="1" applyFont="1" applyBorder="1" applyAlignment="1">
      <alignment horizontal="center" vertical="top" wrapText="1"/>
    </xf>
    <xf numFmtId="165" fontId="4" fillId="5" borderId="28" xfId="0" applyNumberFormat="1" applyFont="1" applyFill="1" applyBorder="1" applyAlignment="1">
      <alignment horizontal="center" vertical="top"/>
    </xf>
    <xf numFmtId="165" fontId="4" fillId="4" borderId="89" xfId="0" applyNumberFormat="1" applyFont="1" applyFill="1" applyBorder="1" applyAlignment="1">
      <alignment horizontal="center" vertical="top"/>
    </xf>
    <xf numFmtId="165" fontId="4" fillId="8" borderId="12" xfId="0" applyNumberFormat="1" applyFont="1" applyFill="1" applyBorder="1" applyAlignment="1">
      <alignment horizontal="center" vertical="top" wrapText="1"/>
    </xf>
    <xf numFmtId="165" fontId="2" fillId="0" borderId="23" xfId="0" applyNumberFormat="1" applyFont="1" applyBorder="1" applyAlignment="1">
      <alignment horizontal="center" vertical="top"/>
    </xf>
    <xf numFmtId="165" fontId="2" fillId="8" borderId="23" xfId="0" applyNumberFormat="1" applyFont="1" applyFill="1" applyBorder="1" applyAlignment="1">
      <alignment horizontal="center" vertical="top"/>
    </xf>
    <xf numFmtId="165" fontId="2" fillId="8" borderId="12" xfId="0" applyNumberFormat="1" applyFont="1" applyFill="1" applyBorder="1" applyAlignment="1">
      <alignment horizontal="center" vertical="top" wrapText="1"/>
    </xf>
    <xf numFmtId="165" fontId="4" fillId="4" borderId="12" xfId="0" applyNumberFormat="1" applyFont="1" applyFill="1" applyBorder="1" applyAlignment="1">
      <alignment horizontal="center" vertical="top" wrapText="1"/>
    </xf>
    <xf numFmtId="165" fontId="2" fillId="0" borderId="12" xfId="0" applyNumberFormat="1" applyFont="1" applyBorder="1" applyAlignment="1">
      <alignment horizontal="center" vertical="top" wrapText="1"/>
    </xf>
    <xf numFmtId="165" fontId="4" fillId="5" borderId="10" xfId="0" applyNumberFormat="1" applyFont="1" applyFill="1" applyBorder="1" applyAlignment="1">
      <alignment horizontal="center" vertical="top"/>
    </xf>
    <xf numFmtId="165" fontId="4" fillId="8" borderId="2" xfId="0" applyNumberFormat="1" applyFont="1" applyFill="1" applyBorder="1" applyAlignment="1">
      <alignment horizontal="center" vertical="top" wrapText="1"/>
    </xf>
    <xf numFmtId="165" fontId="2" fillId="0" borderId="26" xfId="0" applyNumberFormat="1" applyFont="1" applyBorder="1" applyAlignment="1">
      <alignment horizontal="center" vertical="top"/>
    </xf>
    <xf numFmtId="165" fontId="2" fillId="8" borderId="26" xfId="0" applyNumberFormat="1" applyFont="1" applyFill="1" applyBorder="1" applyAlignment="1">
      <alignment horizontal="center" vertical="top"/>
    </xf>
    <xf numFmtId="165" fontId="2" fillId="8" borderId="2" xfId="0" applyNumberFormat="1" applyFont="1" applyFill="1" applyBorder="1" applyAlignment="1">
      <alignment horizontal="center" vertical="top" wrapText="1"/>
    </xf>
    <xf numFmtId="165" fontId="4" fillId="4" borderId="2" xfId="0" applyNumberFormat="1" applyFont="1" applyFill="1" applyBorder="1" applyAlignment="1">
      <alignment horizontal="center" vertical="top" wrapText="1"/>
    </xf>
    <xf numFmtId="165" fontId="2" fillId="0" borderId="2" xfId="0" applyNumberFormat="1" applyFont="1" applyBorder="1" applyAlignment="1">
      <alignment horizontal="center" vertical="top" wrapText="1"/>
    </xf>
    <xf numFmtId="165" fontId="4" fillId="5" borderId="19" xfId="0" applyNumberFormat="1" applyFont="1" applyFill="1" applyBorder="1" applyAlignment="1">
      <alignment horizontal="center" vertical="top"/>
    </xf>
    <xf numFmtId="49" fontId="4" fillId="3" borderId="42" xfId="0" applyNumberFormat="1" applyFont="1" applyFill="1" applyBorder="1" applyAlignment="1">
      <alignment horizontal="center" vertical="top"/>
    </xf>
    <xf numFmtId="0" fontId="2" fillId="6" borderId="13" xfId="0" applyFont="1" applyFill="1" applyBorder="1" applyAlignment="1">
      <alignment vertical="top" wrapText="1"/>
    </xf>
    <xf numFmtId="0" fontId="2" fillId="6" borderId="13" xfId="0" applyFont="1" applyFill="1" applyBorder="1" applyAlignment="1">
      <alignment horizontal="center" vertical="center" textRotation="90" wrapText="1"/>
    </xf>
    <xf numFmtId="3" fontId="2" fillId="6" borderId="2" xfId="0" applyNumberFormat="1" applyFont="1" applyFill="1" applyBorder="1" applyAlignment="1">
      <alignment horizontal="center" vertical="top" wrapText="1"/>
    </xf>
    <xf numFmtId="3" fontId="2" fillId="6" borderId="112" xfId="0" applyNumberFormat="1" applyFont="1" applyFill="1" applyBorder="1" applyAlignment="1">
      <alignment horizontal="center" vertical="top" wrapText="1"/>
    </xf>
    <xf numFmtId="49" fontId="4" fillId="8" borderId="13" xfId="0" applyNumberFormat="1" applyFont="1" applyFill="1" applyBorder="1" applyAlignment="1">
      <alignment horizontal="center" vertical="top" wrapText="1"/>
    </xf>
    <xf numFmtId="49" fontId="4" fillId="8" borderId="13" xfId="0" applyNumberFormat="1" applyFont="1" applyFill="1" applyBorder="1" applyAlignment="1">
      <alignment horizontal="center" vertical="top"/>
    </xf>
    <xf numFmtId="49" fontId="4" fillId="3" borderId="42" xfId="0" applyNumberFormat="1" applyFont="1" applyFill="1" applyBorder="1" applyAlignment="1">
      <alignment horizontal="center" vertical="top"/>
    </xf>
    <xf numFmtId="0" fontId="2" fillId="6" borderId="42" xfId="0" applyFont="1" applyFill="1" applyBorder="1" applyAlignment="1">
      <alignment horizontal="center" vertical="center" textRotation="90" wrapText="1"/>
    </xf>
    <xf numFmtId="3" fontId="2" fillId="6" borderId="76" xfId="0" applyNumberFormat="1" applyFont="1" applyFill="1" applyBorder="1" applyAlignment="1">
      <alignment horizontal="center" vertical="top"/>
    </xf>
    <xf numFmtId="1" fontId="2" fillId="6" borderId="1" xfId="0" applyNumberFormat="1" applyFont="1" applyFill="1" applyBorder="1" applyAlignment="1">
      <alignment horizontal="center" vertical="top" wrapText="1"/>
    </xf>
    <xf numFmtId="3" fontId="2" fillId="6" borderId="18" xfId="0" applyNumberFormat="1" applyFont="1" applyFill="1" applyBorder="1" applyAlignment="1">
      <alignment horizontal="center" vertical="top"/>
    </xf>
    <xf numFmtId="0" fontId="23" fillId="6" borderId="5" xfId="0" applyFont="1" applyFill="1" applyBorder="1" applyAlignment="1">
      <alignment horizontal="center" vertical="top" wrapText="1"/>
    </xf>
    <xf numFmtId="165" fontId="23" fillId="6" borderId="34" xfId="0" applyNumberFormat="1" applyFont="1" applyFill="1" applyBorder="1" applyAlignment="1">
      <alignment horizontal="center" vertical="top"/>
    </xf>
    <xf numFmtId="165" fontId="23" fillId="6" borderId="16" xfId="0" applyNumberFormat="1" applyFont="1" applyFill="1" applyBorder="1" applyAlignment="1">
      <alignment horizontal="center" vertical="top"/>
    </xf>
    <xf numFmtId="165" fontId="23" fillId="6" borderId="44" xfId="0" applyNumberFormat="1" applyFont="1" applyFill="1" applyBorder="1" applyAlignment="1">
      <alignment horizontal="center" vertical="top"/>
    </xf>
    <xf numFmtId="0" fontId="23" fillId="6" borderId="8" xfId="0" applyFont="1" applyFill="1" applyBorder="1" applyAlignment="1">
      <alignment horizontal="center" vertical="top" wrapText="1"/>
    </xf>
    <xf numFmtId="165" fontId="23" fillId="6" borderId="0" xfId="0" applyNumberFormat="1" applyFont="1" applyFill="1" applyBorder="1" applyAlignment="1">
      <alignment horizontal="center" vertical="top"/>
    </xf>
    <xf numFmtId="165" fontId="23" fillId="6" borderId="13" xfId="0" applyNumberFormat="1" applyFont="1" applyFill="1" applyBorder="1" applyAlignment="1">
      <alignment horizontal="center" vertical="top"/>
    </xf>
    <xf numFmtId="165" fontId="23" fillId="6" borderId="45" xfId="0" applyNumberFormat="1" applyFont="1" applyFill="1" applyBorder="1" applyAlignment="1">
      <alignment horizontal="center" vertical="top"/>
    </xf>
    <xf numFmtId="165" fontId="23" fillId="6" borderId="14" xfId="0" applyNumberFormat="1" applyFont="1" applyFill="1" applyBorder="1" applyAlignment="1">
      <alignment horizontal="center" vertical="top"/>
    </xf>
    <xf numFmtId="165" fontId="23" fillId="6" borderId="15" xfId="0" applyNumberFormat="1" applyFont="1" applyFill="1" applyBorder="1" applyAlignment="1">
      <alignment horizontal="center" vertical="top"/>
    </xf>
    <xf numFmtId="165" fontId="23" fillId="6" borderId="26" xfId="0" applyNumberFormat="1" applyFont="1" applyFill="1" applyBorder="1" applyAlignment="1">
      <alignment horizontal="center" vertical="top"/>
    </xf>
    <xf numFmtId="165" fontId="23" fillId="6" borderId="25" xfId="0" applyNumberFormat="1" applyFont="1" applyFill="1" applyBorder="1" applyAlignment="1">
      <alignment horizontal="center" vertical="top"/>
    </xf>
    <xf numFmtId="0" fontId="23" fillId="6" borderId="18" xfId="0" applyFont="1" applyFill="1" applyBorder="1" applyAlignment="1">
      <alignment horizontal="center" vertical="top" wrapText="1"/>
    </xf>
    <xf numFmtId="0" fontId="23" fillId="6" borderId="31" xfId="0" applyFont="1" applyFill="1" applyBorder="1" applyAlignment="1">
      <alignment horizontal="center" vertical="top"/>
    </xf>
    <xf numFmtId="165" fontId="23" fillId="6" borderId="47" xfId="0" applyNumberFormat="1" applyFont="1" applyFill="1" applyBorder="1" applyAlignment="1">
      <alignment horizontal="center" vertical="top"/>
    </xf>
    <xf numFmtId="165" fontId="23" fillId="6" borderId="8" xfId="0" applyNumberFormat="1" applyFont="1" applyFill="1" applyBorder="1" applyAlignment="1">
      <alignment horizontal="center" vertical="top" wrapText="1"/>
    </xf>
    <xf numFmtId="165" fontId="23" fillId="6" borderId="43" xfId="0" applyNumberFormat="1" applyFont="1" applyFill="1" applyBorder="1" applyAlignment="1">
      <alignment horizontal="center" vertical="top" wrapText="1"/>
    </xf>
    <xf numFmtId="165" fontId="23" fillId="6" borderId="13" xfId="0" applyNumberFormat="1" applyFont="1" applyFill="1" applyBorder="1" applyAlignment="1">
      <alignment horizontal="center" vertical="top" wrapText="1"/>
    </xf>
    <xf numFmtId="165" fontId="23" fillId="6" borderId="40" xfId="0" applyNumberFormat="1" applyFont="1" applyFill="1" applyBorder="1" applyAlignment="1">
      <alignment horizontal="center" vertical="top" wrapText="1"/>
    </xf>
    <xf numFmtId="165" fontId="23" fillId="6" borderId="0" xfId="0" applyNumberFormat="1" applyFont="1" applyFill="1" applyBorder="1" applyAlignment="1">
      <alignment horizontal="center" vertical="top" wrapText="1"/>
    </xf>
    <xf numFmtId="0" fontId="23" fillId="0" borderId="42" xfId="0" applyFont="1" applyBorder="1" applyAlignment="1">
      <alignment vertical="top"/>
    </xf>
    <xf numFmtId="165" fontId="23" fillId="6" borderId="42" xfId="0" applyNumberFormat="1" applyFont="1" applyFill="1" applyBorder="1" applyAlignment="1">
      <alignment horizontal="center" vertical="top" wrapText="1"/>
    </xf>
    <xf numFmtId="165" fontId="23" fillId="6" borderId="18" xfId="0" applyNumberFormat="1" applyFont="1" applyFill="1" applyBorder="1" applyAlignment="1">
      <alignment horizontal="center" vertical="top"/>
    </xf>
    <xf numFmtId="165" fontId="23" fillId="6" borderId="41" xfId="0" applyNumberFormat="1" applyFont="1" applyFill="1" applyBorder="1" applyAlignment="1">
      <alignment horizontal="center" vertical="top"/>
    </xf>
    <xf numFmtId="165" fontId="23" fillId="6" borderId="24" xfId="0" applyNumberFormat="1" applyFont="1" applyFill="1" applyBorder="1" applyAlignment="1">
      <alignment horizontal="center" vertical="top" wrapText="1"/>
    </xf>
    <xf numFmtId="165" fontId="23" fillId="6" borderId="45" xfId="0" applyNumberFormat="1" applyFont="1" applyFill="1" applyBorder="1" applyAlignment="1">
      <alignment horizontal="center" vertical="top" wrapText="1"/>
    </xf>
    <xf numFmtId="165" fontId="23" fillId="6" borderId="31" xfId="0" applyNumberFormat="1" applyFont="1" applyFill="1" applyBorder="1" applyAlignment="1">
      <alignment horizontal="center" vertical="top"/>
    </xf>
    <xf numFmtId="165" fontId="23" fillId="6" borderId="18" xfId="0" applyNumberFormat="1" applyFont="1" applyFill="1" applyBorder="1" applyAlignment="1">
      <alignment horizontal="center" vertical="top" wrapText="1"/>
    </xf>
    <xf numFmtId="0" fontId="23" fillId="6" borderId="5" xfId="0" applyFont="1" applyFill="1" applyBorder="1" applyAlignment="1">
      <alignment horizontal="center" vertical="top"/>
    </xf>
    <xf numFmtId="0" fontId="23" fillId="6" borderId="18" xfId="0" applyFont="1" applyFill="1" applyBorder="1" applyAlignment="1">
      <alignment horizontal="center" vertical="top"/>
    </xf>
    <xf numFmtId="0" fontId="23" fillId="6" borderId="8" xfId="0" applyFont="1" applyFill="1" applyBorder="1" applyAlignment="1">
      <alignment horizontal="center" vertical="top"/>
    </xf>
    <xf numFmtId="0" fontId="23" fillId="8" borderId="35" xfId="0" applyFont="1" applyFill="1" applyBorder="1" applyAlignment="1">
      <alignment horizontal="center" vertical="top"/>
    </xf>
    <xf numFmtId="165" fontId="23" fillId="8" borderId="35" xfId="0" applyNumberFormat="1" applyFont="1" applyFill="1" applyBorder="1" applyAlignment="1">
      <alignment horizontal="center" vertical="top"/>
    </xf>
    <xf numFmtId="165" fontId="23" fillId="6" borderId="23" xfId="0" applyNumberFormat="1" applyFont="1" applyFill="1" applyBorder="1" applyAlignment="1">
      <alignment horizontal="center" vertical="top"/>
    </xf>
    <xf numFmtId="165" fontId="23" fillId="6" borderId="1" xfId="0" applyNumberFormat="1" applyFont="1" applyFill="1" applyBorder="1" applyAlignment="1">
      <alignment horizontal="center" vertical="top"/>
    </xf>
    <xf numFmtId="165" fontId="23" fillId="6" borderId="42" xfId="0" applyNumberFormat="1" applyFont="1" applyFill="1" applyBorder="1" applyAlignment="1">
      <alignment horizontal="center" vertical="top"/>
    </xf>
    <xf numFmtId="0" fontId="23" fillId="0" borderId="41" xfId="0" applyFont="1" applyBorder="1" applyAlignment="1">
      <alignment vertical="top"/>
    </xf>
    <xf numFmtId="0" fontId="23" fillId="0" borderId="24" xfId="0" applyFont="1" applyBorder="1" applyAlignment="1">
      <alignment horizontal="center" vertical="center"/>
    </xf>
    <xf numFmtId="0" fontId="23" fillId="0" borderId="24" xfId="0" applyFont="1" applyBorder="1" applyAlignment="1">
      <alignment vertical="top"/>
    </xf>
    <xf numFmtId="0" fontId="23" fillId="0" borderId="5" xfId="0" applyFont="1" applyFill="1" applyBorder="1" applyAlignment="1">
      <alignment horizontal="center" vertical="top" wrapText="1"/>
    </xf>
    <xf numFmtId="165" fontId="23" fillId="6" borderId="112" xfId="0" applyNumberFormat="1" applyFont="1" applyFill="1" applyBorder="1" applyAlignment="1">
      <alignment horizontal="center" vertical="top"/>
    </xf>
    <xf numFmtId="0" fontId="23" fillId="6" borderId="17" xfId="0" applyFont="1" applyFill="1" applyBorder="1" applyAlignment="1">
      <alignment horizontal="center" vertical="top" wrapText="1"/>
    </xf>
    <xf numFmtId="165" fontId="23" fillId="6" borderId="2" xfId="0" applyNumberFormat="1" applyFont="1" applyFill="1" applyBorder="1" applyAlignment="1">
      <alignment horizontal="center" vertical="top"/>
    </xf>
    <xf numFmtId="165" fontId="23" fillId="6" borderId="80" xfId="0" applyNumberFormat="1" applyFont="1" applyFill="1" applyBorder="1" applyAlignment="1">
      <alignment horizontal="center" vertical="top"/>
    </xf>
    <xf numFmtId="0" fontId="23" fillId="0" borderId="18" xfId="0" applyFont="1" applyFill="1" applyBorder="1" applyAlignment="1">
      <alignment horizontal="center" vertical="top" wrapText="1"/>
    </xf>
    <xf numFmtId="0" fontId="23" fillId="6" borderId="78" xfId="0" applyFont="1" applyFill="1" applyBorder="1" applyAlignment="1">
      <alignment horizontal="center" vertical="top" wrapText="1"/>
    </xf>
    <xf numFmtId="165" fontId="23" fillId="6" borderId="74" xfId="0" applyNumberFormat="1" applyFont="1" applyFill="1" applyBorder="1" applyAlignment="1">
      <alignment horizontal="center" vertical="top"/>
    </xf>
    <xf numFmtId="165" fontId="23" fillId="6" borderId="63" xfId="0" applyNumberFormat="1" applyFont="1" applyFill="1" applyBorder="1" applyAlignment="1">
      <alignment horizontal="center" vertical="top"/>
    </xf>
    <xf numFmtId="165" fontId="23" fillId="6" borderId="104" xfId="0" applyNumberFormat="1" applyFont="1" applyFill="1" applyBorder="1" applyAlignment="1">
      <alignment horizontal="center" vertical="top"/>
    </xf>
    <xf numFmtId="165" fontId="23" fillId="6" borderId="65" xfId="0" applyNumberFormat="1" applyFont="1" applyFill="1" applyBorder="1" applyAlignment="1">
      <alignment horizontal="center" vertical="top"/>
    </xf>
    <xf numFmtId="165" fontId="23" fillId="6" borderId="67" xfId="0" applyNumberFormat="1" applyFont="1" applyFill="1" applyBorder="1" applyAlignment="1">
      <alignment horizontal="center" vertical="top"/>
    </xf>
    <xf numFmtId="0" fontId="23" fillId="6" borderId="45" xfId="0" applyFont="1" applyFill="1" applyBorder="1" applyAlignment="1">
      <alignment horizontal="center" vertical="top" wrapText="1"/>
    </xf>
    <xf numFmtId="0" fontId="23" fillId="6" borderId="77" xfId="0" applyFont="1" applyFill="1" applyBorder="1" applyAlignment="1">
      <alignment horizontal="center" vertical="top" wrapText="1"/>
    </xf>
    <xf numFmtId="165" fontId="23" fillId="6" borderId="93" xfId="0" applyNumberFormat="1" applyFont="1" applyFill="1" applyBorder="1" applyAlignment="1">
      <alignment horizontal="center" vertical="top"/>
    </xf>
    <xf numFmtId="165" fontId="23" fillId="6" borderId="75" xfId="0" applyNumberFormat="1" applyFont="1" applyFill="1" applyBorder="1" applyAlignment="1">
      <alignment horizontal="center" vertical="top"/>
    </xf>
    <xf numFmtId="165" fontId="23" fillId="6" borderId="81" xfId="0" applyNumberFormat="1" applyFont="1" applyFill="1" applyBorder="1" applyAlignment="1">
      <alignment horizontal="center" vertical="top"/>
    </xf>
    <xf numFmtId="0" fontId="23" fillId="0" borderId="8" xfId="0" applyFont="1" applyFill="1" applyBorder="1" applyAlignment="1">
      <alignment horizontal="center" vertical="top" wrapText="1"/>
    </xf>
    <xf numFmtId="0" fontId="24" fillId="6" borderId="8" xfId="0" applyFont="1" applyFill="1" applyBorder="1" applyAlignment="1">
      <alignment horizontal="center" vertical="top"/>
    </xf>
    <xf numFmtId="0" fontId="23" fillId="6" borderId="87" xfId="0" applyFont="1" applyFill="1" applyBorder="1" applyAlignment="1">
      <alignment horizontal="center" vertical="top" wrapText="1"/>
    </xf>
    <xf numFmtId="165" fontId="23" fillId="6" borderId="43" xfId="0" applyNumberFormat="1" applyFont="1" applyFill="1" applyBorder="1" applyAlignment="1">
      <alignment horizontal="center" vertical="top"/>
    </xf>
    <xf numFmtId="165" fontId="23" fillId="6" borderId="91" xfId="0" applyNumberFormat="1" applyFont="1" applyFill="1" applyBorder="1" applyAlignment="1">
      <alignment horizontal="center" vertical="top"/>
    </xf>
    <xf numFmtId="0" fontId="23" fillId="0" borderId="103" xfId="0" applyFont="1" applyFill="1" applyBorder="1" applyAlignment="1">
      <alignment horizontal="center" vertical="top" wrapText="1"/>
    </xf>
    <xf numFmtId="0" fontId="23" fillId="6" borderId="103" xfId="0" applyFont="1" applyFill="1" applyBorder="1" applyAlignment="1">
      <alignment horizontal="center" vertical="top" wrapText="1"/>
    </xf>
    <xf numFmtId="165" fontId="23" fillId="6" borderId="108" xfId="0" applyNumberFormat="1" applyFont="1" applyFill="1" applyBorder="1" applyAlignment="1">
      <alignment horizontal="center" vertical="top"/>
    </xf>
    <xf numFmtId="165" fontId="23" fillId="6" borderId="70" xfId="0" applyNumberFormat="1" applyFont="1" applyFill="1" applyBorder="1" applyAlignment="1">
      <alignment horizontal="center" vertical="top"/>
    </xf>
    <xf numFmtId="165" fontId="23" fillId="6" borderId="9" xfId="0" applyNumberFormat="1" applyFont="1" applyFill="1" applyBorder="1" applyAlignment="1">
      <alignment horizontal="center" vertical="top"/>
    </xf>
    <xf numFmtId="0" fontId="23" fillId="0" borderId="18" xfId="0" applyFont="1" applyBorder="1" applyAlignment="1">
      <alignment horizontal="center" vertical="top"/>
    </xf>
    <xf numFmtId="0" fontId="23" fillId="0" borderId="23" xfId="0" applyFont="1" applyBorder="1" applyAlignment="1">
      <alignment vertical="top"/>
    </xf>
    <xf numFmtId="0" fontId="23" fillId="0" borderId="26" xfId="0" applyFont="1" applyBorder="1" applyAlignment="1">
      <alignment vertical="top"/>
    </xf>
    <xf numFmtId="0" fontId="23" fillId="0" borderId="25" xfId="0" applyFont="1" applyBorder="1" applyAlignment="1">
      <alignment vertical="top"/>
    </xf>
    <xf numFmtId="165" fontId="23" fillId="6" borderId="37" xfId="0" applyNumberFormat="1" applyFont="1" applyFill="1" applyBorder="1" applyAlignment="1">
      <alignment horizontal="center" vertical="top"/>
    </xf>
    <xf numFmtId="165" fontId="23" fillId="0" borderId="34" xfId="0" applyNumberFormat="1" applyFont="1" applyFill="1" applyBorder="1" applyAlignment="1">
      <alignment horizontal="center" vertical="top"/>
    </xf>
    <xf numFmtId="165" fontId="23" fillId="0" borderId="16" xfId="0" applyNumberFormat="1" applyFont="1" applyFill="1" applyBorder="1" applyAlignment="1">
      <alignment horizontal="center" vertical="top"/>
    </xf>
    <xf numFmtId="165" fontId="23" fillId="0" borderId="44" xfId="0" applyNumberFormat="1" applyFont="1" applyFill="1" applyBorder="1" applyAlignment="1">
      <alignment horizontal="center" vertical="top"/>
    </xf>
    <xf numFmtId="0" fontId="23" fillId="6" borderId="8" xfId="0" applyFont="1" applyFill="1" applyBorder="1" applyAlignment="1">
      <alignment horizontal="center" vertical="center"/>
    </xf>
    <xf numFmtId="0" fontId="23" fillId="6" borderId="18" xfId="0" applyFont="1" applyFill="1" applyBorder="1" applyAlignment="1">
      <alignment horizontal="center" vertical="center"/>
    </xf>
    <xf numFmtId="0" fontId="23" fillId="6" borderId="5" xfId="0" applyFont="1" applyFill="1" applyBorder="1" applyAlignment="1">
      <alignment horizontal="center" vertical="center"/>
    </xf>
    <xf numFmtId="0" fontId="23" fillId="0" borderId="8" xfId="0" applyFont="1" applyBorder="1" applyAlignment="1">
      <alignment horizontal="center" vertical="top"/>
    </xf>
    <xf numFmtId="164" fontId="23" fillId="6" borderId="0" xfId="0" applyNumberFormat="1" applyFont="1" applyFill="1" applyAlignment="1">
      <alignment horizontal="center" vertical="top"/>
    </xf>
    <xf numFmtId="164" fontId="23" fillId="0" borderId="13" xfId="0" applyNumberFormat="1" applyFont="1" applyBorder="1" applyAlignment="1">
      <alignment horizontal="center" vertical="top"/>
    </xf>
    <xf numFmtId="164" fontId="23" fillId="0" borderId="0" xfId="0" applyNumberFormat="1" applyFont="1" applyAlignment="1">
      <alignment horizontal="center" vertical="top"/>
    </xf>
    <xf numFmtId="165" fontId="23" fillId="6" borderId="35" xfId="0" applyNumberFormat="1" applyFont="1" applyFill="1" applyBorder="1" applyAlignment="1">
      <alignment horizontal="center" vertical="top"/>
    </xf>
    <xf numFmtId="165" fontId="23" fillId="6" borderId="36" xfId="0" applyNumberFormat="1" applyFont="1" applyFill="1" applyBorder="1" applyAlignment="1">
      <alignment horizontal="center" vertical="top"/>
    </xf>
    <xf numFmtId="0" fontId="23" fillId="0" borderId="17" xfId="0" applyFont="1" applyFill="1" applyBorder="1" applyAlignment="1">
      <alignment horizontal="center" vertical="top" wrapText="1"/>
    </xf>
    <xf numFmtId="164" fontId="23" fillId="6" borderId="30" xfId="0" applyNumberFormat="1" applyFont="1" applyFill="1" applyBorder="1" applyAlignment="1">
      <alignment horizontal="center" vertical="top" wrapText="1"/>
    </xf>
    <xf numFmtId="164" fontId="23" fillId="6" borderId="36" xfId="0" applyNumberFormat="1" applyFont="1" applyFill="1" applyBorder="1" applyAlignment="1">
      <alignment horizontal="center" vertical="top" wrapText="1"/>
    </xf>
    <xf numFmtId="3" fontId="25" fillId="6" borderId="5" xfId="0" applyNumberFormat="1" applyFont="1" applyFill="1" applyBorder="1" applyAlignment="1">
      <alignment horizontal="center" vertical="top"/>
    </xf>
    <xf numFmtId="165" fontId="25" fillId="6" borderId="31" xfId="0" applyNumberFormat="1" applyFont="1" applyFill="1" applyBorder="1" applyAlignment="1">
      <alignment horizontal="center" vertical="top"/>
    </xf>
    <xf numFmtId="165" fontId="25" fillId="6" borderId="16" xfId="0" applyNumberFormat="1" applyFont="1" applyFill="1" applyBorder="1" applyAlignment="1">
      <alignment horizontal="center" vertical="top"/>
    </xf>
    <xf numFmtId="165" fontId="25" fillId="6" borderId="1" xfId="0" applyNumberFormat="1" applyFont="1" applyFill="1" applyBorder="1" applyAlignment="1">
      <alignment horizontal="center" vertical="top"/>
    </xf>
    <xf numFmtId="3" fontId="25" fillId="6" borderId="8" xfId="0" applyNumberFormat="1" applyFont="1" applyFill="1" applyBorder="1" applyAlignment="1">
      <alignment horizontal="center" vertical="top"/>
    </xf>
    <xf numFmtId="165" fontId="25" fillId="6" borderId="23" xfId="0" applyNumberFormat="1" applyFont="1" applyFill="1" applyBorder="1" applyAlignment="1">
      <alignment horizontal="center" vertical="top"/>
    </xf>
    <xf numFmtId="165" fontId="25" fillId="6" borderId="13" xfId="0" applyNumberFormat="1" applyFont="1" applyFill="1" applyBorder="1" applyAlignment="1">
      <alignment horizontal="center" vertical="top"/>
    </xf>
    <xf numFmtId="165" fontId="25" fillId="6" borderId="25" xfId="0" applyNumberFormat="1" applyFont="1" applyFill="1" applyBorder="1" applyAlignment="1">
      <alignment horizontal="center" vertical="top"/>
    </xf>
    <xf numFmtId="0" fontId="25" fillId="6" borderId="5" xfId="0" applyFont="1" applyFill="1" applyBorder="1" applyAlignment="1">
      <alignment horizontal="center" vertical="top" wrapText="1"/>
    </xf>
    <xf numFmtId="165" fontId="25" fillId="6" borderId="0" xfId="0" applyNumberFormat="1" applyFont="1" applyFill="1" applyBorder="1" applyAlignment="1">
      <alignment horizontal="center" vertical="top"/>
    </xf>
    <xf numFmtId="165" fontId="25" fillId="6" borderId="45" xfId="0" applyNumberFormat="1" applyFont="1" applyFill="1" applyBorder="1" applyAlignment="1">
      <alignment horizontal="center" vertical="top"/>
    </xf>
    <xf numFmtId="164" fontId="25" fillId="12" borderId="15" xfId="0" applyNumberFormat="1" applyFont="1" applyFill="1" applyBorder="1" applyAlignment="1">
      <alignment horizontal="center" vertical="top"/>
    </xf>
    <xf numFmtId="0" fontId="25" fillId="12" borderId="24" xfId="0" applyFont="1" applyFill="1" applyBorder="1" applyAlignment="1">
      <alignment horizontal="center" vertical="center"/>
    </xf>
    <xf numFmtId="0" fontId="25" fillId="12" borderId="14" xfId="0" applyFont="1" applyFill="1" applyBorder="1" applyAlignment="1">
      <alignment horizontal="center" vertical="center"/>
    </xf>
    <xf numFmtId="0" fontId="25" fillId="6" borderId="18" xfId="0" applyFont="1" applyFill="1" applyBorder="1" applyAlignment="1">
      <alignment horizontal="center" vertical="top" wrapText="1"/>
    </xf>
    <xf numFmtId="165" fontId="25" fillId="6" borderId="41" xfId="0" applyNumberFormat="1" applyFont="1" applyFill="1" applyBorder="1" applyAlignment="1">
      <alignment horizontal="center" vertical="top"/>
    </xf>
    <xf numFmtId="165" fontId="25" fillId="6" borderId="26" xfId="0" applyNumberFormat="1" applyFont="1" applyFill="1" applyBorder="1" applyAlignment="1">
      <alignment horizontal="center" vertical="top"/>
    </xf>
    <xf numFmtId="165" fontId="25" fillId="6" borderId="47" xfId="0" applyNumberFormat="1" applyFont="1" applyFill="1" applyBorder="1" applyAlignment="1">
      <alignment horizontal="center" vertical="top"/>
    </xf>
    <xf numFmtId="0" fontId="25" fillId="6" borderId="8" xfId="0" applyFont="1" applyFill="1" applyBorder="1" applyAlignment="1">
      <alignment horizontal="center" vertical="top" wrapText="1"/>
    </xf>
    <xf numFmtId="0" fontId="2" fillId="0" borderId="77" xfId="0" applyFont="1" applyBorder="1" applyAlignment="1">
      <alignment vertical="top"/>
    </xf>
    <xf numFmtId="0" fontId="2" fillId="0" borderId="71" xfId="0" applyFont="1" applyBorder="1" applyAlignment="1">
      <alignment vertical="top"/>
    </xf>
    <xf numFmtId="0" fontId="2" fillId="0" borderId="75" xfId="0" applyFont="1" applyBorder="1" applyAlignment="1">
      <alignment vertical="top"/>
    </xf>
    <xf numFmtId="3" fontId="2" fillId="6" borderId="75" xfId="0" applyNumberFormat="1" applyFont="1" applyFill="1" applyBorder="1" applyAlignment="1">
      <alignment vertical="top"/>
    </xf>
    <xf numFmtId="165" fontId="2" fillId="6" borderId="67" xfId="0" applyNumberFormat="1" applyFont="1" applyFill="1" applyBorder="1" applyAlignment="1">
      <alignment horizontal="center" vertical="top" wrapText="1"/>
    </xf>
    <xf numFmtId="165" fontId="27" fillId="6" borderId="65" xfId="0" applyNumberFormat="1" applyFont="1" applyFill="1" applyBorder="1" applyAlignment="1">
      <alignment horizontal="center" vertical="top" wrapText="1"/>
    </xf>
    <xf numFmtId="165" fontId="27" fillId="6" borderId="13" xfId="0" applyNumberFormat="1" applyFont="1" applyFill="1" applyBorder="1" applyAlignment="1">
      <alignment horizontal="center" vertical="top" wrapText="1"/>
    </xf>
    <xf numFmtId="165" fontId="27" fillId="6" borderId="67" xfId="0" applyNumberFormat="1" applyFont="1" applyFill="1" applyBorder="1" applyAlignment="1">
      <alignment horizontal="center" vertical="top" wrapText="1"/>
    </xf>
    <xf numFmtId="3" fontId="27" fillId="6" borderId="47" xfId="1" applyNumberFormat="1" applyFont="1" applyFill="1" applyBorder="1" applyAlignment="1">
      <alignment horizontal="center" vertical="top"/>
    </xf>
    <xf numFmtId="3" fontId="27" fillId="6" borderId="69" xfId="1" applyNumberFormat="1" applyFont="1" applyFill="1" applyBorder="1" applyAlignment="1">
      <alignment horizontal="center" vertical="top"/>
    </xf>
    <xf numFmtId="3" fontId="2" fillId="6" borderId="100" xfId="1" applyNumberFormat="1" applyFont="1" applyFill="1" applyBorder="1" applyAlignment="1">
      <alignment horizontal="center" vertical="top"/>
    </xf>
    <xf numFmtId="0" fontId="2" fillId="6" borderId="112" xfId="0" applyFont="1" applyFill="1" applyBorder="1" applyAlignment="1">
      <alignment horizontal="center" vertical="center" textRotation="90" wrapText="1"/>
    </xf>
    <xf numFmtId="165" fontId="4" fillId="8" borderId="31" xfId="0" applyNumberFormat="1" applyFont="1" applyFill="1" applyBorder="1" applyAlignment="1">
      <alignment horizontal="center" vertical="top"/>
    </xf>
    <xf numFmtId="165" fontId="4" fillId="8" borderId="0" xfId="0" applyNumberFormat="1" applyFont="1" applyFill="1" applyBorder="1" applyAlignment="1">
      <alignment horizontal="center" vertical="top"/>
    </xf>
    <xf numFmtId="165" fontId="4" fillId="8" borderId="32" xfId="0" applyNumberFormat="1" applyFont="1" applyFill="1" applyBorder="1" applyAlignment="1">
      <alignment horizontal="center" vertical="top"/>
    </xf>
    <xf numFmtId="3" fontId="2" fillId="6" borderId="42" xfId="0" applyNumberFormat="1" applyFont="1" applyFill="1" applyBorder="1" applyAlignment="1">
      <alignment horizontal="center" vertical="top" wrapText="1"/>
    </xf>
    <xf numFmtId="0" fontId="2" fillId="6" borderId="13" xfId="0" applyFont="1" applyFill="1" applyBorder="1" applyAlignment="1">
      <alignment horizontal="left" vertical="top" wrapText="1"/>
    </xf>
    <xf numFmtId="49" fontId="4" fillId="10" borderId="9"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0" fontId="2" fillId="6" borderId="8" xfId="0" applyFont="1" applyFill="1" applyBorder="1" applyAlignment="1">
      <alignment vertical="top" wrapText="1"/>
    </xf>
    <xf numFmtId="0" fontId="2" fillId="6" borderId="8" xfId="1" applyFont="1" applyFill="1" applyBorder="1" applyAlignment="1">
      <alignment vertical="top" wrapText="1"/>
    </xf>
    <xf numFmtId="0" fontId="2" fillId="6" borderId="8" xfId="1" applyFont="1" applyFill="1" applyBorder="1" applyAlignment="1">
      <alignment horizontal="left" vertical="top" wrapText="1"/>
    </xf>
    <xf numFmtId="0" fontId="2" fillId="0" borderId="42" xfId="0" applyFont="1" applyFill="1" applyBorder="1" applyAlignment="1">
      <alignment horizontal="center" vertical="center" textRotation="90" wrapText="1"/>
    </xf>
    <xf numFmtId="49" fontId="4" fillId="3" borderId="42" xfId="0" applyNumberFormat="1" applyFont="1" applyFill="1" applyBorder="1" applyAlignment="1">
      <alignment horizontal="center" vertical="top"/>
    </xf>
    <xf numFmtId="3" fontId="26" fillId="6" borderId="5" xfId="0" applyNumberFormat="1" applyFont="1" applyFill="1" applyBorder="1" applyAlignment="1">
      <alignment horizontal="left" vertical="top" wrapText="1"/>
    </xf>
    <xf numFmtId="165" fontId="26" fillId="6" borderId="84" xfId="1" applyNumberFormat="1" applyFont="1" applyFill="1" applyBorder="1" applyAlignment="1">
      <alignment horizontal="center" vertical="top" wrapText="1"/>
    </xf>
    <xf numFmtId="1" fontId="26" fillId="6" borderId="45" xfId="1" applyNumberFormat="1" applyFont="1" applyFill="1" applyBorder="1" applyAlignment="1">
      <alignment horizontal="center" vertical="top" wrapText="1"/>
    </xf>
    <xf numFmtId="3" fontId="26" fillId="6" borderId="69" xfId="1" applyNumberFormat="1" applyFont="1" applyFill="1" applyBorder="1" applyAlignment="1">
      <alignment horizontal="center" vertical="top"/>
    </xf>
    <xf numFmtId="3" fontId="26" fillId="6" borderId="65" xfId="0" applyNumberFormat="1" applyFont="1" applyFill="1" applyBorder="1" applyAlignment="1">
      <alignment horizontal="center" vertical="top" wrapText="1"/>
    </xf>
    <xf numFmtId="3" fontId="26" fillId="6" borderId="47" xfId="0" applyNumberFormat="1" applyFont="1" applyFill="1" applyBorder="1" applyAlignment="1">
      <alignment horizontal="center" vertical="top" wrapText="1"/>
    </xf>
    <xf numFmtId="3" fontId="2" fillId="6" borderId="47" xfId="0" applyNumberFormat="1" applyFont="1" applyFill="1" applyBorder="1" applyAlignment="1">
      <alignment horizontal="left" vertical="top" wrapText="1"/>
    </xf>
    <xf numFmtId="3" fontId="2" fillId="6" borderId="36" xfId="0" applyNumberFormat="1" applyFont="1" applyFill="1" applyBorder="1" applyAlignment="1">
      <alignment horizontal="center" vertical="top" wrapText="1"/>
    </xf>
    <xf numFmtId="0" fontId="2" fillId="0" borderId="14" xfId="0" applyFont="1" applyBorder="1" applyAlignment="1">
      <alignment vertical="top"/>
    </xf>
    <xf numFmtId="3" fontId="2" fillId="6" borderId="14" xfId="0" applyNumberFormat="1" applyFont="1" applyFill="1" applyBorder="1" applyAlignment="1">
      <alignment horizontal="center" vertical="top"/>
    </xf>
    <xf numFmtId="49" fontId="4" fillId="10" borderId="9"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49" fontId="4" fillId="3" borderId="42" xfId="0" applyNumberFormat="1" applyFont="1" applyFill="1" applyBorder="1" applyAlignment="1">
      <alignment horizontal="center" vertical="top"/>
    </xf>
    <xf numFmtId="3" fontId="2" fillId="6" borderId="36" xfId="0" applyNumberFormat="1" applyFont="1" applyFill="1" applyBorder="1" applyAlignment="1">
      <alignment horizontal="left" vertical="top" wrapText="1"/>
    </xf>
    <xf numFmtId="165" fontId="2" fillId="6" borderId="112" xfId="0" applyNumberFormat="1" applyFont="1" applyFill="1" applyBorder="1" applyAlignment="1">
      <alignment horizontal="center" vertical="top"/>
    </xf>
    <xf numFmtId="0" fontId="2" fillId="0" borderId="18" xfId="0" applyFont="1" applyFill="1" applyBorder="1" applyAlignment="1">
      <alignment horizontal="center" vertical="top" wrapText="1"/>
    </xf>
    <xf numFmtId="165" fontId="2" fillId="6" borderId="39" xfId="0" applyNumberFormat="1" applyFont="1" applyFill="1" applyBorder="1" applyAlignment="1">
      <alignment horizontal="center" vertical="top"/>
    </xf>
    <xf numFmtId="165" fontId="2" fillId="6" borderId="30" xfId="0" applyNumberFormat="1" applyFont="1" applyFill="1" applyBorder="1" applyAlignment="1">
      <alignment horizontal="center" vertical="top"/>
    </xf>
    <xf numFmtId="165" fontId="9" fillId="6" borderId="14" xfId="0" applyNumberFormat="1" applyFont="1" applyFill="1" applyBorder="1" applyAlignment="1">
      <alignment horizontal="center" vertical="top"/>
    </xf>
    <xf numFmtId="165" fontId="9" fillId="6" borderId="43" xfId="0" applyNumberFormat="1" applyFont="1" applyFill="1" applyBorder="1" applyAlignment="1">
      <alignment horizontal="center" vertical="top"/>
    </xf>
    <xf numFmtId="165" fontId="9" fillId="6" borderId="16" xfId="0" applyNumberFormat="1" applyFont="1" applyFill="1" applyBorder="1" applyAlignment="1">
      <alignment horizontal="center" vertical="top"/>
    </xf>
    <xf numFmtId="165" fontId="9" fillId="6" borderId="44" xfId="0" applyNumberFormat="1" applyFont="1" applyFill="1" applyBorder="1" applyAlignment="1">
      <alignment horizontal="center" vertical="top"/>
    </xf>
    <xf numFmtId="165" fontId="9" fillId="6" borderId="23" xfId="0" applyNumberFormat="1" applyFont="1" applyFill="1" applyBorder="1" applyAlignment="1">
      <alignment horizontal="center" vertical="top"/>
    </xf>
    <xf numFmtId="165" fontId="9" fillId="6" borderId="25" xfId="0" applyNumberFormat="1" applyFont="1" applyFill="1" applyBorder="1" applyAlignment="1">
      <alignment horizontal="center" vertical="top"/>
    </xf>
    <xf numFmtId="165" fontId="9" fillId="6" borderId="31" xfId="0" applyNumberFormat="1" applyFont="1" applyFill="1" applyBorder="1" applyAlignment="1">
      <alignment horizontal="center" vertical="top"/>
    </xf>
    <xf numFmtId="165" fontId="9" fillId="6" borderId="15" xfId="0" applyNumberFormat="1" applyFont="1" applyFill="1" applyBorder="1" applyAlignment="1">
      <alignment horizontal="center" vertical="top"/>
    </xf>
    <xf numFmtId="165" fontId="2" fillId="6" borderId="97" xfId="1" applyNumberFormat="1" applyFont="1" applyFill="1" applyBorder="1" applyAlignment="1">
      <alignment horizontal="center" vertical="top" wrapText="1"/>
    </xf>
    <xf numFmtId="1" fontId="2" fillId="6" borderId="13" xfId="1" applyNumberFormat="1" applyFont="1" applyFill="1" applyBorder="1" applyAlignment="1">
      <alignment horizontal="center" vertical="top" wrapText="1"/>
    </xf>
    <xf numFmtId="0" fontId="2" fillId="6" borderId="118" xfId="0" applyFont="1" applyFill="1" applyBorder="1" applyAlignment="1">
      <alignment horizontal="left" vertical="top" wrapText="1"/>
    </xf>
    <xf numFmtId="164" fontId="2" fillId="6" borderId="0" xfId="1" applyNumberFormat="1" applyFont="1" applyFill="1" applyBorder="1" applyAlignment="1">
      <alignment horizontal="center" vertical="top" wrapText="1"/>
    </xf>
    <xf numFmtId="164" fontId="2" fillId="6" borderId="75" xfId="1" applyNumberFormat="1" applyFont="1" applyFill="1" applyBorder="1" applyAlignment="1">
      <alignment horizontal="center" vertical="top" wrapText="1"/>
    </xf>
    <xf numFmtId="164" fontId="2" fillId="6" borderId="45" xfId="1" applyNumberFormat="1" applyFont="1" applyFill="1" applyBorder="1" applyAlignment="1">
      <alignment horizontal="center" vertical="top" wrapText="1"/>
    </xf>
    <xf numFmtId="0" fontId="2" fillId="6" borderId="59" xfId="0" applyFont="1" applyFill="1" applyBorder="1" applyAlignment="1">
      <alignment vertical="top" wrapText="1"/>
    </xf>
    <xf numFmtId="0" fontId="2" fillId="0" borderId="59" xfId="0" applyFont="1" applyBorder="1" applyAlignment="1">
      <alignment horizontal="center" vertical="top"/>
    </xf>
    <xf numFmtId="0" fontId="4" fillId="6" borderId="1" xfId="0" applyFont="1" applyFill="1" applyBorder="1" applyAlignment="1">
      <alignment horizontal="center" vertical="center" wrapText="1"/>
    </xf>
    <xf numFmtId="0" fontId="6" fillId="6" borderId="13" xfId="0" applyFont="1" applyFill="1" applyBorder="1" applyAlignment="1">
      <alignment vertical="top" wrapText="1"/>
    </xf>
    <xf numFmtId="0" fontId="6" fillId="6" borderId="56" xfId="0" applyFont="1" applyFill="1" applyBorder="1" applyAlignment="1">
      <alignment vertical="top" wrapText="1"/>
    </xf>
    <xf numFmtId="0" fontId="6" fillId="6" borderId="32" xfId="0" applyFont="1" applyFill="1" applyBorder="1" applyAlignment="1">
      <alignment vertical="top" wrapText="1"/>
    </xf>
    <xf numFmtId="0" fontId="2" fillId="6" borderId="32" xfId="1" applyFont="1" applyFill="1" applyBorder="1" applyAlignment="1">
      <alignment vertical="top" wrapText="1"/>
    </xf>
    <xf numFmtId="0" fontId="2" fillId="0" borderId="111" xfId="0" applyFont="1" applyBorder="1" applyAlignment="1">
      <alignment horizontal="center" vertical="center" textRotation="90"/>
    </xf>
    <xf numFmtId="0" fontId="2" fillId="0" borderId="22" xfId="0" applyFont="1" applyBorder="1" applyAlignment="1">
      <alignment horizontal="right"/>
    </xf>
    <xf numFmtId="0" fontId="2" fillId="6" borderId="118" xfId="0" applyFont="1" applyFill="1" applyBorder="1" applyAlignment="1">
      <alignment vertical="top" wrapText="1"/>
    </xf>
    <xf numFmtId="0" fontId="2" fillId="6" borderId="56" xfId="0" applyFont="1" applyFill="1" applyBorder="1" applyAlignment="1">
      <alignment vertical="top" wrapText="1"/>
    </xf>
    <xf numFmtId="0" fontId="14" fillId="6" borderId="56" xfId="1" applyFont="1" applyFill="1" applyBorder="1" applyAlignment="1">
      <alignment vertical="top" wrapText="1"/>
    </xf>
    <xf numFmtId="0" fontId="2" fillId="6" borderId="73" xfId="1" applyFont="1" applyFill="1" applyBorder="1" applyAlignment="1">
      <alignment vertical="top" wrapText="1"/>
    </xf>
    <xf numFmtId="0" fontId="2" fillId="6" borderId="118" xfId="1" applyFont="1" applyFill="1" applyBorder="1" applyAlignment="1">
      <alignment vertical="top" wrapText="1"/>
    </xf>
    <xf numFmtId="0" fontId="2" fillId="6" borderId="32" xfId="1" applyFont="1" applyFill="1" applyBorder="1" applyAlignment="1">
      <alignment horizontal="left" vertical="top" wrapText="1"/>
    </xf>
    <xf numFmtId="0" fontId="2" fillId="6" borderId="12" xfId="0" applyFont="1" applyFill="1" applyBorder="1" applyAlignment="1">
      <alignment horizontal="left" vertical="top" wrapText="1"/>
    </xf>
    <xf numFmtId="166" fontId="2" fillId="6" borderId="72" xfId="3" applyFont="1" applyFill="1" applyBorder="1" applyAlignment="1">
      <alignment vertical="top" wrapText="1"/>
    </xf>
    <xf numFmtId="166" fontId="2" fillId="6" borderId="68" xfId="3" applyFont="1" applyFill="1" applyBorder="1" applyAlignment="1">
      <alignment vertical="top" wrapText="1"/>
    </xf>
    <xf numFmtId="0" fontId="2" fillId="6" borderId="9" xfId="1" applyFont="1" applyFill="1" applyBorder="1" applyAlignment="1">
      <alignment vertical="top" wrapText="1"/>
    </xf>
    <xf numFmtId="0" fontId="2" fillId="6" borderId="23" xfId="1" applyFont="1" applyFill="1" applyBorder="1" applyAlignment="1">
      <alignment vertical="top" wrapText="1"/>
    </xf>
    <xf numFmtId="0" fontId="2" fillId="6" borderId="66" xfId="0" applyFont="1" applyFill="1" applyBorder="1" applyAlignment="1">
      <alignment horizontal="left" vertical="top" wrapText="1"/>
    </xf>
    <xf numFmtId="0" fontId="2" fillId="6" borderId="72" xfId="0" applyFont="1" applyFill="1" applyBorder="1" applyAlignment="1">
      <alignment horizontal="left" vertical="top" wrapText="1"/>
    </xf>
    <xf numFmtId="0" fontId="16" fillId="6" borderId="37" xfId="0" applyFont="1" applyFill="1" applyBorder="1" applyAlignment="1">
      <alignment horizontal="left" vertical="top" wrapText="1"/>
    </xf>
    <xf numFmtId="0" fontId="16" fillId="6" borderId="71" xfId="0" applyFont="1" applyFill="1" applyBorder="1" applyAlignment="1">
      <alignment vertical="top" wrapText="1"/>
    </xf>
    <xf numFmtId="0" fontId="2" fillId="6" borderId="71" xfId="0" applyFont="1" applyFill="1" applyBorder="1" applyAlignment="1">
      <alignment vertical="top" wrapText="1"/>
    </xf>
    <xf numFmtId="0" fontId="2" fillId="6" borderId="64" xfId="0" applyFont="1" applyFill="1" applyBorder="1" applyAlignment="1">
      <alignment vertical="top" wrapText="1"/>
    </xf>
    <xf numFmtId="0" fontId="2" fillId="6" borderId="9" xfId="0" applyFont="1" applyFill="1" applyBorder="1" applyAlignment="1">
      <alignment vertical="top" wrapText="1"/>
    </xf>
    <xf numFmtId="0" fontId="2" fillId="6" borderId="64" xfId="0" applyFont="1" applyFill="1" applyBorder="1" applyAlignment="1">
      <alignment horizontal="left" vertical="top" wrapText="1"/>
    </xf>
    <xf numFmtId="0" fontId="2" fillId="6" borderId="9" xfId="0" applyFont="1" applyFill="1" applyBorder="1" applyAlignment="1">
      <alignment horizontal="left" vertical="top" wrapText="1"/>
    </xf>
    <xf numFmtId="0" fontId="2" fillId="0" borderId="68" xfId="0" applyFont="1" applyBorder="1" applyAlignment="1">
      <alignment vertical="top"/>
    </xf>
    <xf numFmtId="0" fontId="2" fillId="6" borderId="66" xfId="1" applyFont="1" applyFill="1" applyBorder="1" applyAlignment="1">
      <alignment vertical="top" wrapText="1"/>
    </xf>
    <xf numFmtId="0" fontId="2" fillId="6" borderId="66" xfId="0" applyFont="1" applyFill="1" applyBorder="1" applyAlignment="1">
      <alignment vertical="top" wrapText="1"/>
    </xf>
    <xf numFmtId="0" fontId="2" fillId="6" borderId="12" xfId="0" applyFont="1" applyFill="1" applyBorder="1" applyAlignment="1">
      <alignment vertical="top" wrapText="1"/>
    </xf>
    <xf numFmtId="0" fontId="2" fillId="6" borderId="66" xfId="1" applyFont="1" applyFill="1" applyBorder="1" applyAlignment="1">
      <alignment horizontal="left" vertical="top" wrapText="1"/>
    </xf>
    <xf numFmtId="0" fontId="2" fillId="6" borderId="9" xfId="1" applyFont="1" applyFill="1" applyBorder="1" applyAlignment="1">
      <alignment horizontal="left" vertical="top" wrapText="1"/>
    </xf>
    <xf numFmtId="0" fontId="2" fillId="6" borderId="64" xfId="1" applyFont="1" applyFill="1" applyBorder="1" applyAlignment="1">
      <alignment vertical="top" wrapText="1"/>
    </xf>
    <xf numFmtId="3" fontId="2" fillId="6" borderId="105" xfId="1" applyNumberFormat="1" applyFont="1" applyFill="1" applyBorder="1" applyAlignment="1">
      <alignment horizontal="center" vertical="top"/>
    </xf>
    <xf numFmtId="0" fontId="2" fillId="6" borderId="37" xfId="0" applyFont="1" applyFill="1" applyBorder="1" applyAlignment="1">
      <alignment horizontal="left" vertical="top" wrapText="1"/>
    </xf>
    <xf numFmtId="0" fontId="2" fillId="6" borderId="68" xfId="0" applyFont="1" applyFill="1" applyBorder="1" applyAlignment="1">
      <alignment horizontal="left" vertical="top" wrapText="1"/>
    </xf>
    <xf numFmtId="0" fontId="2" fillId="6" borderId="23" xfId="0" applyFont="1" applyFill="1" applyBorder="1" applyAlignment="1">
      <alignment horizontal="left" vertical="top" wrapText="1"/>
    </xf>
    <xf numFmtId="0" fontId="2" fillId="6" borderId="72" xfId="0" applyFont="1" applyFill="1" applyBorder="1" applyAlignment="1">
      <alignment vertical="top" wrapText="1"/>
    </xf>
    <xf numFmtId="0" fontId="2" fillId="6" borderId="68" xfId="0" applyFont="1" applyFill="1" applyBorder="1" applyAlignment="1">
      <alignment vertical="top" wrapText="1"/>
    </xf>
    <xf numFmtId="0" fontId="2" fillId="6" borderId="23" xfId="0" applyFont="1" applyFill="1" applyBorder="1" applyAlignment="1">
      <alignment vertical="top" wrapText="1"/>
    </xf>
    <xf numFmtId="0" fontId="2" fillId="6" borderId="10" xfId="0" applyFont="1" applyFill="1" applyBorder="1" applyAlignment="1">
      <alignment horizontal="left" vertical="top" wrapText="1"/>
    </xf>
    <xf numFmtId="0" fontId="2" fillId="6" borderId="37" xfId="0" applyFont="1" applyFill="1" applyBorder="1" applyAlignment="1">
      <alignment vertical="top" wrapText="1"/>
    </xf>
    <xf numFmtId="0" fontId="2" fillId="6" borderId="9" xfId="0" applyFont="1" applyFill="1" applyBorder="1"/>
    <xf numFmtId="0" fontId="2" fillId="6" borderId="111" xfId="0" applyFont="1" applyFill="1" applyBorder="1" applyAlignment="1">
      <alignment horizontal="left" vertical="top" wrapText="1"/>
    </xf>
    <xf numFmtId="0" fontId="2" fillId="6" borderId="64" xfId="0" applyFont="1" applyFill="1" applyBorder="1" applyAlignment="1">
      <alignment vertical="center" wrapText="1"/>
    </xf>
    <xf numFmtId="3" fontId="2" fillId="6" borderId="9" xfId="0" applyNumberFormat="1" applyFont="1" applyFill="1" applyBorder="1" applyAlignment="1">
      <alignment horizontal="right" vertical="center"/>
    </xf>
    <xf numFmtId="0" fontId="2" fillId="6" borderId="7" xfId="0" applyFont="1" applyFill="1" applyBorder="1" applyAlignment="1">
      <alignment vertical="top" wrapText="1"/>
    </xf>
    <xf numFmtId="3" fontId="2" fillId="6" borderId="104" xfId="0" applyNumberFormat="1" applyFont="1" applyFill="1" applyBorder="1" applyAlignment="1">
      <alignment horizontal="center" vertical="top"/>
    </xf>
    <xf numFmtId="1" fontId="2" fillId="6" borderId="31" xfId="0" applyNumberFormat="1" applyFont="1" applyFill="1" applyBorder="1" applyAlignment="1">
      <alignment horizontal="center" vertical="top" wrapText="1"/>
    </xf>
    <xf numFmtId="0" fontId="2" fillId="6" borderId="7" xfId="0" applyFont="1" applyFill="1" applyBorder="1" applyAlignment="1">
      <alignment horizontal="left" vertical="top" wrapText="1"/>
    </xf>
    <xf numFmtId="0" fontId="2" fillId="6" borderId="8" xfId="0" applyFont="1" applyFill="1" applyBorder="1" applyAlignment="1">
      <alignment vertical="top" wrapText="1"/>
    </xf>
    <xf numFmtId="0" fontId="2" fillId="6" borderId="77" xfId="0" applyFont="1" applyFill="1" applyBorder="1" applyAlignment="1">
      <alignment vertical="top" wrapText="1"/>
    </xf>
    <xf numFmtId="0" fontId="2" fillId="6" borderId="5" xfId="0" applyFont="1" applyFill="1" applyBorder="1" applyAlignment="1">
      <alignment vertical="top" wrapText="1"/>
    </xf>
    <xf numFmtId="0" fontId="2" fillId="6" borderId="18"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6" borderId="8" xfId="0" applyFont="1" applyFill="1" applyBorder="1" applyAlignment="1">
      <alignment horizontal="center" vertical="top" wrapText="1"/>
    </xf>
    <xf numFmtId="0" fontId="2" fillId="6" borderId="18" xfId="0" applyFont="1" applyFill="1" applyBorder="1" applyAlignment="1">
      <alignment horizontal="center" vertical="top" wrapText="1"/>
    </xf>
    <xf numFmtId="0" fontId="2" fillId="6" borderId="13" xfId="0" applyFont="1" applyFill="1" applyBorder="1" applyAlignment="1">
      <alignment horizontal="left" vertical="top" wrapText="1"/>
    </xf>
    <xf numFmtId="49" fontId="4" fillId="10" borderId="9"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0" fontId="2" fillId="6" borderId="42" xfId="0" applyFont="1" applyFill="1" applyBorder="1" applyAlignment="1">
      <alignment horizontal="left" vertical="top" wrapText="1"/>
    </xf>
    <xf numFmtId="49" fontId="4" fillId="3" borderId="42" xfId="0" applyNumberFormat="1" applyFont="1" applyFill="1" applyBorder="1" applyAlignment="1">
      <alignment horizontal="center" vertical="top"/>
    </xf>
    <xf numFmtId="0" fontId="2" fillId="6" borderId="42" xfId="0" applyFont="1" applyFill="1" applyBorder="1" applyAlignment="1">
      <alignment horizontal="center" vertical="center" textRotation="90" wrapText="1"/>
    </xf>
    <xf numFmtId="0" fontId="2" fillId="6" borderId="5" xfId="0" applyFont="1" applyFill="1" applyBorder="1" applyAlignment="1">
      <alignment vertical="top" wrapText="1"/>
    </xf>
    <xf numFmtId="0" fontId="2" fillId="6" borderId="8" xfId="0" applyFont="1" applyFill="1" applyBorder="1" applyAlignment="1">
      <alignment vertical="top" wrapText="1"/>
    </xf>
    <xf numFmtId="0" fontId="2" fillId="6" borderId="8" xfId="0" applyFont="1" applyFill="1" applyBorder="1" applyAlignment="1">
      <alignment horizontal="center" vertical="top" wrapText="1"/>
    </xf>
    <xf numFmtId="0" fontId="2" fillId="6" borderId="65" xfId="0" applyNumberFormat="1" applyFont="1" applyFill="1" applyBorder="1" applyAlignment="1">
      <alignment horizontal="center" vertical="top" wrapText="1"/>
    </xf>
    <xf numFmtId="0" fontId="2" fillId="6" borderId="74" xfId="0" applyNumberFormat="1" applyFont="1" applyFill="1" applyBorder="1" applyAlignment="1">
      <alignment horizontal="center" vertical="top" wrapText="1"/>
    </xf>
    <xf numFmtId="0" fontId="2" fillId="6" borderId="64" xfId="0" applyNumberFormat="1" applyFont="1" applyFill="1" applyBorder="1" applyAlignment="1">
      <alignment horizontal="center" vertical="top" wrapText="1"/>
    </xf>
    <xf numFmtId="0" fontId="2" fillId="6" borderId="72" xfId="0" applyNumberFormat="1" applyFont="1" applyFill="1" applyBorder="1" applyAlignment="1">
      <alignment horizontal="center" vertical="top" wrapText="1"/>
    </xf>
    <xf numFmtId="0" fontId="2" fillId="0" borderId="18" xfId="0" applyFont="1" applyBorder="1" applyAlignment="1">
      <alignment horizontal="center" vertical="top"/>
    </xf>
    <xf numFmtId="0" fontId="2" fillId="6" borderId="64" xfId="1" applyNumberFormat="1" applyFont="1" applyFill="1" applyBorder="1" applyAlignment="1">
      <alignment horizontal="center" vertical="top" wrapText="1"/>
    </xf>
    <xf numFmtId="0" fontId="2" fillId="6" borderId="72" xfId="1" applyNumberFormat="1" applyFont="1" applyFill="1" applyBorder="1" applyAlignment="1">
      <alignment horizontal="center" vertical="top" wrapText="1"/>
    </xf>
    <xf numFmtId="0" fontId="2" fillId="6" borderId="104" xfId="0" applyNumberFormat="1" applyFont="1" applyFill="1" applyBorder="1" applyAlignment="1">
      <alignment horizontal="center" vertical="top" wrapText="1"/>
    </xf>
    <xf numFmtId="165" fontId="2" fillId="6" borderId="104" xfId="0" applyNumberFormat="1" applyFont="1" applyFill="1" applyBorder="1" applyAlignment="1">
      <alignment horizontal="center" vertical="top"/>
    </xf>
    <xf numFmtId="165" fontId="2" fillId="6" borderId="86" xfId="0" applyNumberFormat="1" applyFont="1" applyFill="1" applyBorder="1" applyAlignment="1">
      <alignment horizontal="center" vertical="top"/>
    </xf>
    <xf numFmtId="0" fontId="2" fillId="6" borderId="66" xfId="0" applyNumberFormat="1" applyFont="1" applyFill="1" applyBorder="1" applyAlignment="1">
      <alignment horizontal="center" vertical="top" wrapText="1"/>
    </xf>
    <xf numFmtId="0" fontId="2" fillId="6" borderId="97" xfId="0" applyNumberFormat="1" applyFont="1" applyFill="1" applyBorder="1" applyAlignment="1">
      <alignment horizontal="center" vertical="top" wrapText="1"/>
    </xf>
    <xf numFmtId="0" fontId="2" fillId="6" borderId="26" xfId="0" applyNumberFormat="1" applyFont="1" applyFill="1" applyBorder="1" applyAlignment="1">
      <alignment horizontal="center" vertical="top" wrapText="1"/>
    </xf>
    <xf numFmtId="164" fontId="2" fillId="6" borderId="71" xfId="0" applyNumberFormat="1" applyFont="1" applyFill="1" applyBorder="1" applyAlignment="1">
      <alignment horizontal="center" vertical="top"/>
    </xf>
    <xf numFmtId="165" fontId="9" fillId="6" borderId="58" xfId="0" applyNumberFormat="1" applyFont="1" applyFill="1" applyBorder="1" applyAlignment="1">
      <alignment horizontal="center" vertical="top"/>
    </xf>
    <xf numFmtId="165" fontId="9" fillId="6" borderId="21" xfId="0" applyNumberFormat="1" applyFont="1" applyFill="1" applyBorder="1" applyAlignment="1">
      <alignment horizontal="center" vertical="top"/>
    </xf>
    <xf numFmtId="165" fontId="9" fillId="6" borderId="46" xfId="0" applyNumberFormat="1" applyFont="1" applyFill="1" applyBorder="1" applyAlignment="1">
      <alignment horizontal="center" vertical="top"/>
    </xf>
    <xf numFmtId="0" fontId="9" fillId="6" borderId="38" xfId="0" applyFont="1" applyFill="1" applyBorder="1" applyAlignment="1">
      <alignment horizontal="left" vertical="top" wrapText="1"/>
    </xf>
    <xf numFmtId="3" fontId="9" fillId="6" borderId="7" xfId="0" applyNumberFormat="1" applyFont="1" applyFill="1" applyBorder="1" applyAlignment="1">
      <alignment horizontal="center" vertical="top"/>
    </xf>
    <xf numFmtId="3" fontId="9" fillId="6" borderId="33" xfId="0" applyNumberFormat="1" applyFont="1" applyFill="1" applyBorder="1" applyAlignment="1">
      <alignment horizontal="center" vertical="top"/>
    </xf>
    <xf numFmtId="3" fontId="9" fillId="6" borderId="20" xfId="0" applyNumberFormat="1" applyFont="1" applyFill="1" applyBorder="1" applyAlignment="1">
      <alignment horizontal="center" vertical="top"/>
    </xf>
    <xf numFmtId="3" fontId="9" fillId="6" borderId="46" xfId="0" applyNumberFormat="1" applyFont="1" applyFill="1" applyBorder="1" applyAlignment="1">
      <alignment horizontal="center" vertical="top"/>
    </xf>
    <xf numFmtId="165" fontId="9" fillId="6" borderId="9" xfId="0" applyNumberFormat="1" applyFont="1" applyFill="1" applyBorder="1" applyAlignment="1">
      <alignment horizontal="center" vertical="top"/>
    </xf>
    <xf numFmtId="0" fontId="9" fillId="6" borderId="8" xfId="0" applyFont="1" applyFill="1" applyBorder="1" applyAlignment="1">
      <alignment horizontal="left" vertical="top" wrapText="1"/>
    </xf>
    <xf numFmtId="3" fontId="9" fillId="6" borderId="9" xfId="0" applyNumberFormat="1" applyFont="1" applyFill="1" applyBorder="1" applyAlignment="1">
      <alignment horizontal="center" vertical="top"/>
    </xf>
    <xf numFmtId="3" fontId="9" fillId="6" borderId="0" xfId="0" applyNumberFormat="1" applyFont="1" applyFill="1" applyBorder="1" applyAlignment="1">
      <alignment horizontal="center" vertical="top"/>
    </xf>
    <xf numFmtId="3" fontId="9" fillId="6" borderId="13" xfId="0" applyNumberFormat="1" applyFont="1" applyFill="1" applyBorder="1" applyAlignment="1">
      <alignment horizontal="center" vertical="top"/>
    </xf>
    <xf numFmtId="3" fontId="9" fillId="6" borderId="45" xfId="0" applyNumberFormat="1" applyFont="1" applyFill="1" applyBorder="1" applyAlignment="1">
      <alignment horizontal="center" vertical="top"/>
    </xf>
    <xf numFmtId="0" fontId="9" fillId="6" borderId="8" xfId="0" applyFont="1" applyFill="1" applyBorder="1" applyAlignment="1">
      <alignment horizontal="center" vertical="top" wrapText="1"/>
    </xf>
    <xf numFmtId="0" fontId="9" fillId="6" borderId="37" xfId="0" applyNumberFormat="1" applyFont="1" applyFill="1" applyBorder="1" applyAlignment="1">
      <alignment horizontal="center" vertical="top" wrapText="1"/>
    </xf>
    <xf numFmtId="0" fontId="9" fillId="6" borderId="34" xfId="0" applyNumberFormat="1" applyFont="1" applyFill="1" applyBorder="1" applyAlignment="1">
      <alignment horizontal="center" vertical="top" wrapText="1"/>
    </xf>
    <xf numFmtId="0" fontId="9" fillId="6" borderId="16" xfId="0" applyNumberFormat="1" applyFont="1" applyFill="1" applyBorder="1" applyAlignment="1">
      <alignment horizontal="center" vertical="top" wrapText="1"/>
    </xf>
    <xf numFmtId="0" fontId="9" fillId="6" borderId="44" xfId="0" applyNumberFormat="1" applyFont="1" applyFill="1" applyBorder="1" applyAlignment="1">
      <alignment horizontal="center" vertical="top" wrapText="1"/>
    </xf>
    <xf numFmtId="0" fontId="9" fillId="6" borderId="23" xfId="0" applyNumberFormat="1" applyFont="1" applyFill="1" applyBorder="1" applyAlignment="1">
      <alignment horizontal="center" vertical="top" wrapText="1"/>
    </xf>
    <xf numFmtId="0" fontId="9" fillId="6" borderId="15" xfId="0" applyNumberFormat="1" applyFont="1" applyFill="1" applyBorder="1" applyAlignment="1">
      <alignment horizontal="center" vertical="top" wrapText="1"/>
    </xf>
    <xf numFmtId="0" fontId="9" fillId="6" borderId="13" xfId="0" applyNumberFormat="1" applyFont="1" applyFill="1" applyBorder="1" applyAlignment="1">
      <alignment horizontal="center" vertical="top" wrapText="1"/>
    </xf>
    <xf numFmtId="0" fontId="9" fillId="6" borderId="45" xfId="0" applyNumberFormat="1" applyFont="1" applyFill="1" applyBorder="1" applyAlignment="1">
      <alignment horizontal="center" vertical="top" wrapText="1"/>
    </xf>
    <xf numFmtId="0" fontId="9" fillId="6" borderId="9" xfId="0" applyNumberFormat="1" applyFont="1" applyFill="1" applyBorder="1" applyAlignment="1">
      <alignment horizontal="center" vertical="top" wrapText="1"/>
    </xf>
    <xf numFmtId="0" fontId="9" fillId="6" borderId="0" xfId="0" applyNumberFormat="1" applyFont="1" applyFill="1" applyBorder="1" applyAlignment="1">
      <alignment horizontal="center" vertical="top" wrapText="1"/>
    </xf>
    <xf numFmtId="0" fontId="9" fillId="6" borderId="5" xfId="0" applyFont="1" applyFill="1" applyBorder="1" applyAlignment="1">
      <alignment vertical="top" wrapText="1"/>
    </xf>
    <xf numFmtId="3" fontId="9" fillId="6" borderId="37" xfId="0" applyNumberFormat="1" applyFont="1" applyFill="1" applyBorder="1" applyAlignment="1">
      <alignment horizontal="center" vertical="top"/>
    </xf>
    <xf numFmtId="3" fontId="9" fillId="6" borderId="34" xfId="0" applyNumberFormat="1" applyFont="1" applyFill="1" applyBorder="1" applyAlignment="1">
      <alignment horizontal="center" vertical="top"/>
    </xf>
    <xf numFmtId="3" fontId="9" fillId="6" borderId="16" xfId="0" applyNumberFormat="1" applyFont="1" applyFill="1" applyBorder="1" applyAlignment="1">
      <alignment horizontal="center" vertical="top"/>
    </xf>
    <xf numFmtId="3" fontId="9" fillId="6" borderId="44" xfId="0" applyNumberFormat="1" applyFont="1" applyFill="1" applyBorder="1" applyAlignment="1">
      <alignment horizontal="center" vertical="top"/>
    </xf>
    <xf numFmtId="0" fontId="9" fillId="6" borderId="87" xfId="0" applyFont="1" applyFill="1" applyBorder="1" applyAlignment="1">
      <alignment vertical="top" wrapText="1"/>
    </xf>
    <xf numFmtId="3" fontId="9" fillId="6" borderId="68" xfId="0" applyNumberFormat="1" applyFont="1" applyFill="1" applyBorder="1" applyAlignment="1">
      <alignment horizontal="center" vertical="top"/>
    </xf>
    <xf numFmtId="3" fontId="9" fillId="6" borderId="108" xfId="0" applyNumberFormat="1" applyFont="1" applyFill="1" applyBorder="1" applyAlignment="1">
      <alignment horizontal="center" vertical="top"/>
    </xf>
    <xf numFmtId="3" fontId="9" fillId="6" borderId="69" xfId="0" applyNumberFormat="1" applyFont="1" applyFill="1" applyBorder="1" applyAlignment="1">
      <alignment horizontal="center" vertical="top"/>
    </xf>
    <xf numFmtId="3" fontId="9" fillId="6" borderId="88" xfId="0" applyNumberFormat="1" applyFont="1" applyFill="1" applyBorder="1" applyAlignment="1">
      <alignment horizontal="center" vertical="top"/>
    </xf>
    <xf numFmtId="0" fontId="9" fillId="6" borderId="8" xfId="0" applyFont="1" applyFill="1" applyBorder="1" applyAlignment="1">
      <alignment vertical="top" wrapText="1"/>
    </xf>
    <xf numFmtId="0" fontId="9" fillId="6" borderId="18" xfId="0" applyFont="1" applyFill="1" applyBorder="1" applyAlignment="1">
      <alignment vertical="top" wrapText="1"/>
    </xf>
    <xf numFmtId="3" fontId="9" fillId="6" borderId="10" xfId="0" applyNumberFormat="1" applyFont="1" applyFill="1" applyBorder="1" applyAlignment="1">
      <alignment horizontal="center" vertical="top"/>
    </xf>
    <xf numFmtId="3" fontId="9" fillId="6" borderId="41" xfId="0" applyNumberFormat="1" applyFont="1" applyFill="1" applyBorder="1" applyAlignment="1">
      <alignment horizontal="center" vertical="top"/>
    </xf>
    <xf numFmtId="3" fontId="9" fillId="6" borderId="26" xfId="0" applyNumberFormat="1" applyFont="1" applyFill="1" applyBorder="1" applyAlignment="1">
      <alignment horizontal="center" vertical="top"/>
    </xf>
    <xf numFmtId="3" fontId="9" fillId="6" borderId="19" xfId="0" applyNumberFormat="1" applyFont="1" applyFill="1" applyBorder="1" applyAlignment="1">
      <alignment horizontal="center" vertical="top"/>
    </xf>
    <xf numFmtId="3" fontId="9" fillId="6" borderId="47" xfId="0" applyNumberFormat="1" applyFont="1" applyFill="1" applyBorder="1" applyAlignment="1">
      <alignment horizontal="center" vertical="top"/>
    </xf>
    <xf numFmtId="0" fontId="2" fillId="6" borderId="65" xfId="1" applyNumberFormat="1" applyFont="1" applyFill="1" applyBorder="1" applyAlignment="1">
      <alignment horizontal="center" vertical="top" wrapText="1"/>
    </xf>
    <xf numFmtId="0" fontId="2" fillId="6" borderId="74" xfId="1" applyNumberFormat="1" applyFont="1" applyFill="1" applyBorder="1" applyAlignment="1">
      <alignment horizontal="center" vertical="top" wrapText="1"/>
    </xf>
    <xf numFmtId="0" fontId="26" fillId="6" borderId="5" xfId="0" applyFont="1" applyFill="1" applyBorder="1" applyAlignment="1">
      <alignment horizontal="center" vertical="top" wrapText="1"/>
    </xf>
    <xf numFmtId="165" fontId="26" fillId="6" borderId="37" xfId="0" applyNumberFormat="1" applyFont="1" applyFill="1" applyBorder="1" applyAlignment="1">
      <alignment horizontal="center" vertical="top"/>
    </xf>
    <xf numFmtId="165" fontId="26" fillId="6" borderId="16" xfId="0" applyNumberFormat="1" applyFont="1" applyFill="1" applyBorder="1" applyAlignment="1">
      <alignment horizontal="center" vertical="top"/>
    </xf>
    <xf numFmtId="165" fontId="26" fillId="6" borderId="34" xfId="0" applyNumberFormat="1" applyFont="1" applyFill="1" applyBorder="1" applyAlignment="1">
      <alignment horizontal="center" vertical="top"/>
    </xf>
    <xf numFmtId="0" fontId="26" fillId="6" borderId="8" xfId="0" applyFont="1" applyFill="1" applyBorder="1" applyAlignment="1">
      <alignment horizontal="center" vertical="top" wrapText="1"/>
    </xf>
    <xf numFmtId="165" fontId="26" fillId="6" borderId="9" xfId="0" applyNumberFormat="1" applyFont="1" applyFill="1" applyBorder="1" applyAlignment="1">
      <alignment horizontal="center" vertical="top"/>
    </xf>
    <xf numFmtId="165" fontId="26" fillId="6" borderId="13" xfId="0" applyNumberFormat="1" applyFont="1" applyFill="1" applyBorder="1" applyAlignment="1">
      <alignment horizontal="center" vertical="top"/>
    </xf>
    <xf numFmtId="165" fontId="26" fillId="6" borderId="14" xfId="0" applyNumberFormat="1" applyFont="1" applyFill="1" applyBorder="1" applyAlignment="1">
      <alignment horizontal="center" vertical="top"/>
    </xf>
    <xf numFmtId="0" fontId="26" fillId="6" borderId="5" xfId="0" applyFont="1" applyFill="1" applyBorder="1" applyAlignment="1">
      <alignment horizontal="center" vertical="top"/>
    </xf>
    <xf numFmtId="165" fontId="26" fillId="6" borderId="31" xfId="0" applyNumberFormat="1" applyFont="1" applyFill="1" applyBorder="1" applyAlignment="1">
      <alignment horizontal="center" vertical="top"/>
    </xf>
    <xf numFmtId="0" fontId="26" fillId="6" borderId="8" xfId="0" applyFont="1" applyFill="1" applyBorder="1" applyAlignment="1">
      <alignment horizontal="center" vertical="top"/>
    </xf>
    <xf numFmtId="3" fontId="26" fillId="6" borderId="9" xfId="0" applyNumberFormat="1" applyFont="1" applyFill="1" applyBorder="1" applyAlignment="1">
      <alignment horizontal="center" vertical="top"/>
    </xf>
    <xf numFmtId="3" fontId="26" fillId="6" borderId="0" xfId="0" applyNumberFormat="1" applyFont="1" applyFill="1" applyBorder="1" applyAlignment="1">
      <alignment horizontal="center" vertical="top"/>
    </xf>
    <xf numFmtId="165" fontId="26" fillId="6" borderId="0" xfId="0" applyNumberFormat="1" applyFont="1" applyFill="1" applyBorder="1" applyAlignment="1">
      <alignment horizontal="center" vertical="top"/>
    </xf>
    <xf numFmtId="165" fontId="26" fillId="6" borderId="21" xfId="0" applyNumberFormat="1" applyFont="1" applyFill="1" applyBorder="1" applyAlignment="1">
      <alignment horizontal="center" vertical="top"/>
    </xf>
    <xf numFmtId="165" fontId="26" fillId="6" borderId="58" xfId="0" applyNumberFormat="1" applyFont="1" applyFill="1" applyBorder="1" applyAlignment="1">
      <alignment horizontal="center" vertical="top"/>
    </xf>
    <xf numFmtId="165" fontId="26" fillId="6" borderId="45" xfId="0" applyNumberFormat="1" applyFont="1" applyFill="1" applyBorder="1" applyAlignment="1">
      <alignment horizontal="center" vertical="top"/>
    </xf>
    <xf numFmtId="0" fontId="26" fillId="6" borderId="9" xfId="0" applyNumberFormat="1" applyFont="1" applyFill="1" applyBorder="1" applyAlignment="1">
      <alignment horizontal="center" vertical="top" wrapText="1"/>
    </xf>
    <xf numFmtId="0" fontId="26" fillId="6" borderId="64" xfId="0" applyNumberFormat="1" applyFont="1" applyFill="1" applyBorder="1" applyAlignment="1">
      <alignment horizontal="center" vertical="top" wrapText="1"/>
    </xf>
    <xf numFmtId="0" fontId="26" fillId="6" borderId="0" xfId="0" applyNumberFormat="1" applyFont="1" applyFill="1" applyBorder="1" applyAlignment="1">
      <alignment horizontal="center" vertical="top" wrapText="1"/>
    </xf>
    <xf numFmtId="0" fontId="26" fillId="6" borderId="104" xfId="0" applyNumberFormat="1" applyFont="1" applyFill="1" applyBorder="1" applyAlignment="1">
      <alignment horizontal="center" vertical="top" wrapText="1"/>
    </xf>
    <xf numFmtId="165" fontId="26" fillId="6" borderId="112" xfId="0" applyNumberFormat="1" applyFont="1" applyFill="1" applyBorder="1" applyAlignment="1">
      <alignment horizontal="center" vertical="top"/>
    </xf>
    <xf numFmtId="165" fontId="26" fillId="6" borderId="43" xfId="0" applyNumberFormat="1" applyFont="1" applyFill="1" applyBorder="1" applyAlignment="1">
      <alignment horizontal="center" vertical="top"/>
    </xf>
    <xf numFmtId="3" fontId="26" fillId="6" borderId="12" xfId="0" applyNumberFormat="1" applyFont="1" applyFill="1" applyBorder="1" applyAlignment="1">
      <alignment horizontal="center" vertical="top" wrapText="1"/>
    </xf>
    <xf numFmtId="3" fontId="26" fillId="6" borderId="43" xfId="0" applyNumberFormat="1" applyFont="1" applyFill="1" applyBorder="1" applyAlignment="1">
      <alignment horizontal="center" vertical="top" wrapText="1"/>
    </xf>
    <xf numFmtId="3" fontId="26" fillId="6" borderId="2" xfId="0" applyNumberFormat="1" applyFont="1" applyFill="1" applyBorder="1" applyAlignment="1">
      <alignment horizontal="center" vertical="top" wrapText="1"/>
    </xf>
    <xf numFmtId="3" fontId="26" fillId="6" borderId="16" xfId="0" applyNumberFormat="1" applyFont="1" applyFill="1" applyBorder="1" applyAlignment="1">
      <alignment horizontal="center" vertical="top" wrapText="1"/>
    </xf>
    <xf numFmtId="3" fontId="2" fillId="6" borderId="44" xfId="0" applyNumberFormat="1" applyFont="1" applyFill="1" applyBorder="1" applyAlignment="1">
      <alignment horizontal="left" vertical="top" wrapText="1"/>
    </xf>
    <xf numFmtId="49" fontId="22" fillId="6" borderId="13" xfId="0" applyNumberFormat="1" applyFont="1" applyFill="1" applyBorder="1" applyAlignment="1">
      <alignment horizontal="center" vertical="top" wrapText="1"/>
    </xf>
    <xf numFmtId="49" fontId="22" fillId="6" borderId="75" xfId="0" applyNumberFormat="1" applyFont="1" applyFill="1" applyBorder="1" applyAlignment="1">
      <alignment horizontal="center" vertical="top" wrapText="1"/>
    </xf>
    <xf numFmtId="0" fontId="26" fillId="6" borderId="77" xfId="0" applyFont="1" applyFill="1" applyBorder="1" applyAlignment="1">
      <alignment horizontal="left" vertical="top" wrapText="1"/>
    </xf>
    <xf numFmtId="0" fontId="2" fillId="6" borderId="0" xfId="0" applyFont="1" applyFill="1" applyAlignment="1">
      <alignment vertical="center"/>
    </xf>
    <xf numFmtId="0" fontId="2" fillId="6" borderId="14" xfId="0" applyFont="1" applyFill="1" applyBorder="1" applyAlignment="1">
      <alignment vertical="center"/>
    </xf>
    <xf numFmtId="0" fontId="29" fillId="6" borderId="8" xfId="0" applyFont="1" applyFill="1" applyBorder="1" applyAlignment="1">
      <alignment horizontal="center" vertical="top"/>
    </xf>
    <xf numFmtId="3" fontId="26" fillId="6" borderId="64" xfId="1" applyNumberFormat="1" applyFont="1" applyFill="1" applyBorder="1" applyAlignment="1">
      <alignment horizontal="center" vertical="top"/>
    </xf>
    <xf numFmtId="3" fontId="26" fillId="6" borderId="104" xfId="1" applyNumberFormat="1" applyFont="1" applyFill="1" applyBorder="1" applyAlignment="1">
      <alignment horizontal="center" vertical="top"/>
    </xf>
    <xf numFmtId="3" fontId="26" fillId="6" borderId="65" xfId="1" applyNumberFormat="1" applyFont="1" applyFill="1" applyBorder="1" applyAlignment="1">
      <alignment horizontal="center" vertical="top"/>
    </xf>
    <xf numFmtId="165" fontId="30" fillId="6" borderId="31" xfId="0" applyNumberFormat="1" applyFont="1" applyFill="1" applyBorder="1" applyAlignment="1">
      <alignment horizontal="center" vertical="top"/>
    </xf>
    <xf numFmtId="165" fontId="30" fillId="6" borderId="14" xfId="0" applyNumberFormat="1" applyFont="1" applyFill="1" applyBorder="1" applyAlignment="1">
      <alignment horizontal="center" vertical="top"/>
    </xf>
    <xf numFmtId="0" fontId="26" fillId="6" borderId="18" xfId="0" applyFont="1" applyFill="1" applyBorder="1" applyAlignment="1">
      <alignment horizontal="center" vertical="top"/>
    </xf>
    <xf numFmtId="165" fontId="26" fillId="6" borderId="23" xfId="0" applyNumberFormat="1" applyFont="1" applyFill="1" applyBorder="1" applyAlignment="1">
      <alignment horizontal="center" vertical="top"/>
    </xf>
    <xf numFmtId="165" fontId="26" fillId="6" borderId="15" xfId="0" applyNumberFormat="1" applyFont="1" applyFill="1" applyBorder="1" applyAlignment="1">
      <alignment horizontal="center" vertical="top"/>
    </xf>
    <xf numFmtId="165" fontId="26" fillId="6" borderId="25" xfId="0" applyNumberFormat="1" applyFont="1" applyFill="1" applyBorder="1" applyAlignment="1">
      <alignment horizontal="center" vertical="top"/>
    </xf>
    <xf numFmtId="165" fontId="26" fillId="6" borderId="26" xfId="0" applyNumberFormat="1" applyFont="1" applyFill="1" applyBorder="1" applyAlignment="1">
      <alignment horizontal="center" vertical="top"/>
    </xf>
    <xf numFmtId="3" fontId="26" fillId="6" borderId="68" xfId="1" applyNumberFormat="1" applyFont="1" applyFill="1" applyBorder="1" applyAlignment="1">
      <alignment horizontal="center" vertical="top"/>
    </xf>
    <xf numFmtId="3" fontId="26" fillId="6" borderId="82" xfId="1" applyNumberFormat="1" applyFont="1" applyFill="1" applyBorder="1" applyAlignment="1">
      <alignment horizontal="center" vertical="top"/>
    </xf>
    <xf numFmtId="165" fontId="26" fillId="6" borderId="1" xfId="0" applyNumberFormat="1" applyFont="1" applyFill="1" applyBorder="1" applyAlignment="1">
      <alignment horizontal="center" vertical="top"/>
    </xf>
    <xf numFmtId="3" fontId="26" fillId="6" borderId="66" xfId="1" applyNumberFormat="1" applyFont="1" applyFill="1" applyBorder="1" applyAlignment="1">
      <alignment horizontal="center" vertical="top"/>
    </xf>
    <xf numFmtId="3" fontId="26" fillId="6" borderId="0" xfId="1" applyNumberFormat="1" applyFont="1" applyFill="1" applyBorder="1" applyAlignment="1">
      <alignment horizontal="center" vertical="top"/>
    </xf>
    <xf numFmtId="3" fontId="2" fillId="6" borderId="119" xfId="1" applyNumberFormat="1" applyFont="1" applyFill="1" applyBorder="1" applyAlignment="1">
      <alignment horizontal="center" vertical="top"/>
    </xf>
    <xf numFmtId="3" fontId="26" fillId="6" borderId="97" xfId="1" applyNumberFormat="1" applyFont="1" applyFill="1" applyBorder="1" applyAlignment="1">
      <alignment horizontal="center" vertical="top"/>
    </xf>
    <xf numFmtId="165" fontId="26" fillId="6" borderId="41" xfId="0" applyNumberFormat="1" applyFont="1" applyFill="1" applyBorder="1" applyAlignment="1">
      <alignment horizontal="center" vertical="top"/>
    </xf>
    <xf numFmtId="3" fontId="27" fillId="6" borderId="24" xfId="1" applyNumberFormat="1" applyFont="1" applyFill="1" applyBorder="1" applyAlignment="1">
      <alignment horizontal="center" vertical="top"/>
    </xf>
    <xf numFmtId="0" fontId="26" fillId="6" borderId="77" xfId="0" applyFont="1" applyFill="1" applyBorder="1" applyAlignment="1">
      <alignment horizontal="center" vertical="top" wrapText="1"/>
    </xf>
    <xf numFmtId="0" fontId="26" fillId="6" borderId="78" xfId="0" applyFont="1" applyFill="1" applyBorder="1" applyAlignment="1">
      <alignment horizontal="center" vertical="top" wrapText="1"/>
    </xf>
    <xf numFmtId="0" fontId="26" fillId="0" borderId="103" xfId="0" applyFont="1" applyFill="1" applyBorder="1" applyAlignment="1">
      <alignment horizontal="center" vertical="top" wrapText="1"/>
    </xf>
    <xf numFmtId="165" fontId="26" fillId="6" borderId="64" xfId="0" applyNumberFormat="1" applyFont="1" applyFill="1" applyBorder="1" applyAlignment="1">
      <alignment horizontal="center" vertical="top"/>
    </xf>
    <xf numFmtId="165" fontId="26" fillId="6" borderId="65" xfId="0" applyNumberFormat="1" applyFont="1" applyFill="1" applyBorder="1" applyAlignment="1">
      <alignment horizontal="center" vertical="top"/>
    </xf>
    <xf numFmtId="165" fontId="26" fillId="6" borderId="67" xfId="0" applyNumberFormat="1" applyFont="1" applyFill="1" applyBorder="1" applyAlignment="1">
      <alignment horizontal="center" vertical="top"/>
    </xf>
    <xf numFmtId="0" fontId="26" fillId="6" borderId="103" xfId="0" applyFont="1" applyFill="1" applyBorder="1" applyAlignment="1">
      <alignment horizontal="center" vertical="top" wrapText="1"/>
    </xf>
    <xf numFmtId="165" fontId="26" fillId="6" borderId="71" xfId="0" applyNumberFormat="1" applyFont="1" applyFill="1" applyBorder="1" applyAlignment="1">
      <alignment horizontal="center" vertical="top"/>
    </xf>
    <xf numFmtId="165" fontId="26" fillId="6" borderId="76" xfId="0" applyNumberFormat="1" applyFont="1" applyFill="1" applyBorder="1" applyAlignment="1">
      <alignment horizontal="center" vertical="top"/>
    </xf>
    <xf numFmtId="1" fontId="26" fillId="6" borderId="101" xfId="0" applyNumberFormat="1" applyFont="1" applyFill="1" applyBorder="1" applyAlignment="1">
      <alignment horizontal="center" vertical="top" wrapText="1"/>
    </xf>
    <xf numFmtId="1" fontId="26" fillId="6" borderId="71" xfId="0" applyNumberFormat="1" applyFont="1" applyFill="1" applyBorder="1" applyAlignment="1">
      <alignment horizontal="center" vertical="top" wrapText="1"/>
    </xf>
    <xf numFmtId="1" fontId="26" fillId="6" borderId="72" xfId="0" applyNumberFormat="1" applyFont="1" applyFill="1" applyBorder="1" applyAlignment="1">
      <alignment horizontal="center" vertical="top" wrapText="1"/>
    </xf>
    <xf numFmtId="1" fontId="26" fillId="6" borderId="91" xfId="0" applyNumberFormat="1" applyFont="1" applyFill="1" applyBorder="1" applyAlignment="1">
      <alignment horizontal="center" vertical="top" wrapText="1"/>
    </xf>
    <xf numFmtId="1" fontId="26" fillId="6" borderId="75" xfId="0" applyNumberFormat="1" applyFont="1" applyFill="1" applyBorder="1" applyAlignment="1">
      <alignment horizontal="center" vertical="top" wrapText="1"/>
    </xf>
    <xf numFmtId="1" fontId="26" fillId="6" borderId="74" xfId="0" applyNumberFormat="1" applyFont="1" applyFill="1" applyBorder="1" applyAlignment="1">
      <alignment horizontal="center" vertical="top" wrapText="1"/>
    </xf>
    <xf numFmtId="1" fontId="26" fillId="6" borderId="93" xfId="0" applyNumberFormat="1" applyFont="1" applyFill="1" applyBorder="1" applyAlignment="1">
      <alignment horizontal="center" vertical="top" wrapText="1"/>
    </xf>
    <xf numFmtId="3" fontId="26" fillId="6" borderId="23" xfId="0" applyNumberFormat="1" applyFont="1" applyFill="1" applyBorder="1" applyAlignment="1">
      <alignment horizontal="center" vertical="top" wrapText="1"/>
    </xf>
    <xf numFmtId="3" fontId="26" fillId="6" borderId="0" xfId="0" applyNumberFormat="1" applyFont="1" applyFill="1" applyBorder="1" applyAlignment="1">
      <alignment horizontal="center" vertical="top" wrapText="1"/>
    </xf>
    <xf numFmtId="3" fontId="26" fillId="6" borderId="13" xfId="0" applyNumberFormat="1" applyFont="1" applyFill="1" applyBorder="1" applyAlignment="1">
      <alignment horizontal="center" vertical="top" wrapText="1"/>
    </xf>
    <xf numFmtId="3" fontId="2" fillId="0" borderId="8" xfId="0" applyNumberFormat="1" applyFont="1" applyFill="1" applyBorder="1" applyAlignment="1">
      <alignment vertical="top" wrapText="1"/>
    </xf>
    <xf numFmtId="3" fontId="2" fillId="0" borderId="18" xfId="0" applyNumberFormat="1" applyFont="1" applyFill="1" applyBorder="1" applyAlignment="1">
      <alignment vertical="top" wrapText="1"/>
    </xf>
    <xf numFmtId="3" fontId="2" fillId="0" borderId="5" xfId="0" applyNumberFormat="1" applyFont="1" applyFill="1" applyBorder="1" applyAlignment="1">
      <alignment vertical="top" wrapText="1"/>
    </xf>
    <xf numFmtId="3" fontId="2" fillId="0" borderId="17" xfId="0" applyNumberFormat="1" applyFont="1" applyFill="1" applyBorder="1" applyAlignment="1">
      <alignment vertical="top" wrapText="1"/>
    </xf>
    <xf numFmtId="0" fontId="26" fillId="6" borderId="5" xfId="0" applyFont="1" applyFill="1" applyBorder="1" applyAlignment="1">
      <alignment horizontal="center" vertical="center"/>
    </xf>
    <xf numFmtId="165" fontId="26" fillId="6" borderId="7" xfId="0" applyNumberFormat="1" applyFont="1" applyFill="1" applyBorder="1" applyAlignment="1">
      <alignment horizontal="center" vertical="center"/>
    </xf>
    <xf numFmtId="165" fontId="26" fillId="6" borderId="33" xfId="0" applyNumberFormat="1" applyFont="1" applyFill="1" applyBorder="1" applyAlignment="1">
      <alignment horizontal="center" vertical="center"/>
    </xf>
    <xf numFmtId="165" fontId="26" fillId="6" borderId="21" xfId="0" applyNumberFormat="1" applyFont="1" applyFill="1" applyBorder="1" applyAlignment="1">
      <alignment horizontal="center" vertical="center"/>
    </xf>
    <xf numFmtId="165" fontId="26" fillId="2" borderId="58" xfId="0" applyNumberFormat="1" applyFont="1" applyFill="1" applyBorder="1" applyAlignment="1">
      <alignment horizontal="center" vertical="top"/>
    </xf>
    <xf numFmtId="165" fontId="26" fillId="2" borderId="21" xfId="0" applyNumberFormat="1" applyFont="1" applyFill="1" applyBorder="1" applyAlignment="1">
      <alignment horizontal="center" vertical="top"/>
    </xf>
    <xf numFmtId="165" fontId="26" fillId="6" borderId="8" xfId="0" applyNumberFormat="1" applyFont="1" applyFill="1" applyBorder="1" applyAlignment="1">
      <alignment horizontal="center" vertical="top" wrapText="1"/>
    </xf>
    <xf numFmtId="165" fontId="26" fillId="2" borderId="9" xfId="0" applyNumberFormat="1" applyFont="1" applyFill="1" applyBorder="1" applyAlignment="1">
      <alignment horizontal="center" vertical="top"/>
    </xf>
    <xf numFmtId="165" fontId="26" fillId="2" borderId="31" xfId="0" applyNumberFormat="1" applyFont="1" applyFill="1" applyBorder="1" applyAlignment="1">
      <alignment horizontal="center" vertical="top"/>
    </xf>
    <xf numFmtId="165" fontId="26" fillId="2" borderId="14" xfId="0" applyNumberFormat="1" applyFont="1" applyFill="1" applyBorder="1" applyAlignment="1">
      <alignment horizontal="center" vertical="top"/>
    </xf>
    <xf numFmtId="165" fontId="26" fillId="6" borderId="32" xfId="0" applyNumberFormat="1" applyFont="1" applyFill="1" applyBorder="1" applyAlignment="1">
      <alignment horizontal="center" vertical="top"/>
    </xf>
    <xf numFmtId="3" fontId="26" fillId="6" borderId="37" xfId="0" applyNumberFormat="1" applyFont="1" applyFill="1" applyBorder="1" applyAlignment="1">
      <alignment horizontal="center" vertical="top" wrapText="1"/>
    </xf>
    <xf numFmtId="3" fontId="31" fillId="6" borderId="5" xfId="0" applyNumberFormat="1" applyFont="1" applyFill="1" applyBorder="1" applyAlignment="1">
      <alignment horizontal="center" vertical="top"/>
    </xf>
    <xf numFmtId="165" fontId="31" fillId="6" borderId="13" xfId="0" applyNumberFormat="1" applyFont="1" applyFill="1" applyBorder="1" applyAlignment="1">
      <alignment horizontal="center" vertical="top"/>
    </xf>
    <xf numFmtId="165" fontId="31" fillId="6" borderId="14" xfId="0" applyNumberFormat="1" applyFont="1" applyFill="1" applyBorder="1" applyAlignment="1">
      <alignment horizontal="center" vertical="top"/>
    </xf>
    <xf numFmtId="165" fontId="31" fillId="6" borderId="58" xfId="0" applyNumberFormat="1" applyFont="1" applyFill="1" applyBorder="1" applyAlignment="1">
      <alignment horizontal="center" vertical="top"/>
    </xf>
    <xf numFmtId="165" fontId="31" fillId="6" borderId="21" xfId="0" applyNumberFormat="1" applyFont="1" applyFill="1" applyBorder="1" applyAlignment="1">
      <alignment horizontal="center" vertical="top"/>
    </xf>
    <xf numFmtId="0" fontId="2" fillId="6" borderId="76" xfId="0" applyNumberFormat="1" applyFont="1" applyFill="1" applyBorder="1" applyAlignment="1">
      <alignment horizontal="center" vertical="top" wrapText="1"/>
    </xf>
    <xf numFmtId="0" fontId="2" fillId="6" borderId="67" xfId="0" applyNumberFormat="1" applyFont="1" applyFill="1" applyBorder="1" applyAlignment="1">
      <alignment horizontal="center" vertical="top" wrapText="1"/>
    </xf>
    <xf numFmtId="0" fontId="2" fillId="6" borderId="91" xfId="0" applyNumberFormat="1" applyFont="1" applyFill="1" applyBorder="1" applyAlignment="1">
      <alignment horizontal="center" vertical="top" wrapText="1"/>
    </xf>
    <xf numFmtId="0" fontId="2" fillId="6" borderId="80" xfId="0" applyNumberFormat="1" applyFont="1" applyFill="1" applyBorder="1" applyAlignment="1">
      <alignment horizontal="center" vertical="top" wrapText="1"/>
    </xf>
    <xf numFmtId="3" fontId="26" fillId="6" borderId="30" xfId="0" applyNumberFormat="1" applyFont="1" applyFill="1" applyBorder="1" applyAlignment="1">
      <alignment horizontal="center" vertical="top" wrapText="1"/>
    </xf>
    <xf numFmtId="3" fontId="26" fillId="6" borderId="15" xfId="0" applyNumberFormat="1" applyFont="1" applyFill="1" applyBorder="1" applyAlignment="1">
      <alignment horizontal="center" vertical="top" wrapText="1"/>
    </xf>
    <xf numFmtId="165" fontId="2" fillId="2" borderId="7" xfId="0" applyNumberFormat="1" applyFont="1" applyFill="1" applyBorder="1" applyAlignment="1">
      <alignment horizontal="center" vertical="top"/>
    </xf>
    <xf numFmtId="165" fontId="26" fillId="6" borderId="12" xfId="0" applyNumberFormat="1" applyFont="1" applyFill="1" applyBorder="1" applyAlignment="1">
      <alignment horizontal="center" vertical="top"/>
    </xf>
    <xf numFmtId="165" fontId="26" fillId="6" borderId="2" xfId="0" applyNumberFormat="1" applyFont="1" applyFill="1" applyBorder="1" applyAlignment="1">
      <alignment horizontal="center" vertical="top"/>
    </xf>
    <xf numFmtId="165" fontId="26" fillId="6" borderId="44" xfId="0" applyNumberFormat="1" applyFont="1" applyFill="1" applyBorder="1" applyAlignment="1">
      <alignment horizontal="center" vertical="top"/>
    </xf>
    <xf numFmtId="3" fontId="26" fillId="6" borderId="106" xfId="0" applyNumberFormat="1" applyFont="1" applyFill="1" applyBorder="1" applyAlignment="1">
      <alignment horizontal="center" vertical="top" wrapText="1"/>
    </xf>
    <xf numFmtId="0" fontId="23" fillId="0" borderId="41" xfId="0" applyFont="1" applyBorder="1" applyAlignment="1">
      <alignment horizontal="center" vertical="top"/>
    </xf>
    <xf numFmtId="0" fontId="23" fillId="0" borderId="24" xfId="0" applyFont="1" applyBorder="1" applyAlignment="1">
      <alignment horizontal="center" vertical="top"/>
    </xf>
    <xf numFmtId="164" fontId="23" fillId="0" borderId="25" xfId="0" applyNumberFormat="1" applyFont="1" applyBorder="1" applyAlignment="1">
      <alignment horizontal="center" vertical="top"/>
    </xf>
    <xf numFmtId="0" fontId="23" fillId="0" borderId="15" xfId="0" applyFont="1" applyBorder="1" applyAlignment="1">
      <alignment vertical="top"/>
    </xf>
    <xf numFmtId="165" fontId="23" fillId="6" borderId="72" xfId="0" applyNumberFormat="1" applyFont="1" applyFill="1" applyBorder="1" applyAlignment="1">
      <alignment horizontal="center" vertical="top"/>
    </xf>
    <xf numFmtId="165" fontId="23" fillId="6" borderId="106" xfId="0" applyNumberFormat="1" applyFont="1" applyFill="1" applyBorder="1" applyAlignment="1">
      <alignment horizontal="center" vertical="top"/>
    </xf>
    <xf numFmtId="165" fontId="23" fillId="6" borderId="64" xfId="0" applyNumberFormat="1" applyFont="1" applyFill="1" applyBorder="1" applyAlignment="1">
      <alignment horizontal="center" vertical="top"/>
    </xf>
    <xf numFmtId="165" fontId="23" fillId="6" borderId="76" xfId="0" applyNumberFormat="1" applyFont="1" applyFill="1" applyBorder="1" applyAlignment="1">
      <alignment horizontal="center" vertical="top"/>
    </xf>
    <xf numFmtId="0" fontId="23" fillId="6" borderId="86" xfId="0" applyFont="1" applyFill="1" applyBorder="1" applyAlignment="1">
      <alignment horizontal="center" vertical="top" wrapText="1"/>
    </xf>
    <xf numFmtId="165" fontId="23" fillId="6" borderId="86" xfId="0" applyNumberFormat="1" applyFont="1" applyFill="1" applyBorder="1" applyAlignment="1">
      <alignment horizontal="center" vertical="top"/>
    </xf>
    <xf numFmtId="165" fontId="23" fillId="6" borderId="71" xfId="0" applyNumberFormat="1" applyFont="1" applyFill="1" applyBorder="1" applyAlignment="1">
      <alignment horizontal="center" vertical="top"/>
    </xf>
    <xf numFmtId="165" fontId="23" fillId="6" borderId="107" xfId="0" applyNumberFormat="1" applyFont="1" applyFill="1" applyBorder="1" applyAlignment="1">
      <alignment horizontal="center" vertical="top"/>
    </xf>
    <xf numFmtId="165" fontId="23" fillId="6" borderId="68" xfId="0" applyNumberFormat="1" applyFont="1" applyFill="1" applyBorder="1" applyAlignment="1">
      <alignment horizontal="center" vertical="top"/>
    </xf>
    <xf numFmtId="165" fontId="23" fillId="6" borderId="69" xfId="0" applyNumberFormat="1" applyFont="1" applyFill="1" applyBorder="1" applyAlignment="1">
      <alignment horizontal="center" vertical="top"/>
    </xf>
    <xf numFmtId="165" fontId="23" fillId="6" borderId="88" xfId="0" applyNumberFormat="1" applyFont="1" applyFill="1" applyBorder="1" applyAlignment="1">
      <alignment horizontal="center" vertical="top"/>
    </xf>
    <xf numFmtId="0" fontId="23" fillId="0" borderId="15" xfId="0" applyFont="1" applyBorder="1" applyAlignment="1">
      <alignment horizontal="center" vertical="top"/>
    </xf>
    <xf numFmtId="164" fontId="23" fillId="0" borderId="26" xfId="0" applyNumberFormat="1" applyFont="1" applyBorder="1" applyAlignment="1">
      <alignment horizontal="center" vertical="top"/>
    </xf>
    <xf numFmtId="164" fontId="23" fillId="0" borderId="47" xfId="0" applyNumberFormat="1" applyFont="1" applyBorder="1" applyAlignment="1">
      <alignment horizontal="center" vertical="top"/>
    </xf>
    <xf numFmtId="165" fontId="23" fillId="0" borderId="37" xfId="0" applyNumberFormat="1" applyFont="1" applyFill="1" applyBorder="1" applyAlignment="1">
      <alignment horizontal="center" vertical="top"/>
    </xf>
    <xf numFmtId="165" fontId="23" fillId="0" borderId="43" xfId="0" applyNumberFormat="1" applyFont="1" applyFill="1" applyBorder="1" applyAlignment="1">
      <alignment horizontal="center" vertical="top"/>
    </xf>
    <xf numFmtId="165" fontId="23" fillId="0" borderId="1" xfId="0" applyNumberFormat="1" applyFont="1" applyFill="1" applyBorder="1" applyAlignment="1">
      <alignment horizontal="center" vertical="top"/>
    </xf>
    <xf numFmtId="164" fontId="23" fillId="6" borderId="9" xfId="0" applyNumberFormat="1" applyFont="1" applyFill="1" applyBorder="1" applyAlignment="1">
      <alignment horizontal="center" vertical="top"/>
    </xf>
    <xf numFmtId="164" fontId="23" fillId="6" borderId="13" xfId="0" applyNumberFormat="1" applyFont="1" applyFill="1" applyBorder="1" applyAlignment="1">
      <alignment horizontal="center" vertical="top"/>
    </xf>
    <xf numFmtId="164" fontId="23" fillId="0" borderId="31" xfId="0" applyNumberFormat="1" applyFont="1" applyBorder="1" applyAlignment="1">
      <alignment horizontal="center" vertical="top"/>
    </xf>
    <xf numFmtId="164" fontId="23" fillId="0" borderId="14" xfId="0" applyNumberFormat="1" applyFont="1" applyBorder="1" applyAlignment="1">
      <alignment horizontal="center" vertical="top"/>
    </xf>
    <xf numFmtId="165" fontId="23" fillId="6" borderId="30" xfId="0" applyNumberFormat="1" applyFont="1" applyFill="1" applyBorder="1" applyAlignment="1">
      <alignment horizontal="center" vertical="top"/>
    </xf>
    <xf numFmtId="164" fontId="23" fillId="6" borderId="2" xfId="0" applyNumberFormat="1" applyFont="1" applyFill="1" applyBorder="1" applyAlignment="1">
      <alignment horizontal="center" vertical="top" wrapText="1"/>
    </xf>
    <xf numFmtId="164" fontId="23" fillId="6" borderId="112" xfId="0" applyNumberFormat="1" applyFont="1" applyFill="1" applyBorder="1" applyAlignment="1">
      <alignment horizontal="center" vertical="top" wrapText="1"/>
    </xf>
    <xf numFmtId="165" fontId="25" fillId="6" borderId="9" xfId="0" applyNumberFormat="1" applyFont="1" applyFill="1" applyBorder="1" applyAlignment="1">
      <alignment horizontal="center" vertical="top"/>
    </xf>
    <xf numFmtId="165" fontId="25" fillId="6" borderId="14" xfId="0" applyNumberFormat="1" applyFont="1" applyFill="1" applyBorder="1" applyAlignment="1">
      <alignment horizontal="center" vertical="top"/>
    </xf>
    <xf numFmtId="165" fontId="25" fillId="6" borderId="43" xfId="0" applyNumberFormat="1" applyFont="1" applyFill="1" applyBorder="1" applyAlignment="1">
      <alignment horizontal="center" vertical="top"/>
    </xf>
    <xf numFmtId="164" fontId="25" fillId="12" borderId="23" xfId="0" applyNumberFormat="1" applyFont="1" applyFill="1" applyBorder="1" applyAlignment="1">
      <alignment horizontal="center" vertical="top"/>
    </xf>
    <xf numFmtId="164" fontId="25" fillId="12" borderId="26" xfId="0" applyNumberFormat="1" applyFont="1" applyFill="1" applyBorder="1" applyAlignment="1">
      <alignment horizontal="center" vertical="top"/>
    </xf>
    <xf numFmtId="164" fontId="25" fillId="12" borderId="25" xfId="0" applyNumberFormat="1" applyFont="1" applyFill="1" applyBorder="1" applyAlignment="1">
      <alignment horizontal="center" vertical="top"/>
    </xf>
    <xf numFmtId="0" fontId="25" fillId="12" borderId="41" xfId="0" applyFont="1" applyFill="1" applyBorder="1" applyAlignment="1">
      <alignment horizontal="center" vertical="center"/>
    </xf>
    <xf numFmtId="0" fontId="25" fillId="12" borderId="25" xfId="0" applyFont="1" applyFill="1" applyBorder="1" applyAlignment="1">
      <alignment horizontal="center" vertical="center"/>
    </xf>
    <xf numFmtId="0" fontId="25" fillId="12" borderId="31" xfId="0" applyFont="1" applyFill="1" applyBorder="1" applyAlignment="1">
      <alignment horizontal="center" vertical="center"/>
    </xf>
    <xf numFmtId="0" fontId="25" fillId="12" borderId="13" xfId="0" applyFont="1" applyFill="1" applyBorder="1" applyAlignment="1">
      <alignment horizontal="center" vertical="center"/>
    </xf>
    <xf numFmtId="0" fontId="25" fillId="12" borderId="45" xfId="0" applyFont="1" applyFill="1" applyBorder="1" applyAlignment="1">
      <alignment horizontal="center" vertical="center"/>
    </xf>
    <xf numFmtId="165" fontId="25" fillId="6" borderId="44" xfId="0" applyNumberFormat="1" applyFont="1" applyFill="1" applyBorder="1" applyAlignment="1">
      <alignment horizontal="center" vertical="top"/>
    </xf>
    <xf numFmtId="165" fontId="25" fillId="6" borderId="15" xfId="0" applyNumberFormat="1" applyFont="1" applyFill="1" applyBorder="1" applyAlignment="1">
      <alignment horizontal="center" vertical="top"/>
    </xf>
    <xf numFmtId="165" fontId="23" fillId="6" borderId="9" xfId="0" applyNumberFormat="1" applyFont="1" applyFill="1" applyBorder="1" applyAlignment="1">
      <alignment horizontal="center" vertical="top" wrapText="1"/>
    </xf>
    <xf numFmtId="165" fontId="23" fillId="6" borderId="31" xfId="0" applyNumberFormat="1" applyFont="1" applyFill="1" applyBorder="1" applyAlignment="1">
      <alignment horizontal="center" vertical="top" wrapText="1"/>
    </xf>
    <xf numFmtId="165" fontId="23" fillId="6" borderId="14" xfId="0" applyNumberFormat="1" applyFont="1" applyFill="1" applyBorder="1" applyAlignment="1">
      <alignment horizontal="center" vertical="top" wrapText="1"/>
    </xf>
    <xf numFmtId="165" fontId="23" fillId="6" borderId="16" xfId="0" applyNumberFormat="1" applyFont="1" applyFill="1" applyBorder="1" applyAlignment="1">
      <alignment horizontal="center" vertical="top" wrapText="1"/>
    </xf>
    <xf numFmtId="165" fontId="23" fillId="6" borderId="24" xfId="0" applyNumberFormat="1" applyFont="1" applyFill="1" applyBorder="1" applyAlignment="1">
      <alignment horizontal="center" vertical="top"/>
    </xf>
    <xf numFmtId="0" fontId="23" fillId="6" borderId="9" xfId="0" applyFont="1" applyFill="1" applyBorder="1" applyAlignment="1">
      <alignment horizontal="center" vertical="top"/>
    </xf>
    <xf numFmtId="2" fontId="23" fillId="6" borderId="14" xfId="0" applyNumberFormat="1" applyFont="1" applyFill="1" applyBorder="1" applyAlignment="1">
      <alignment horizontal="center" vertical="top"/>
    </xf>
    <xf numFmtId="165" fontId="23" fillId="6" borderId="37" xfId="0" applyNumberFormat="1" applyFont="1" applyFill="1" applyBorder="1" applyAlignment="1">
      <alignment horizontal="center" vertical="top" wrapText="1"/>
    </xf>
    <xf numFmtId="165" fontId="23" fillId="6" borderId="1" xfId="0" applyNumberFormat="1" applyFont="1" applyFill="1" applyBorder="1" applyAlignment="1">
      <alignment horizontal="center" vertical="top" wrapText="1"/>
    </xf>
    <xf numFmtId="165" fontId="23" fillId="6" borderId="34" xfId="0" applyNumberFormat="1" applyFont="1" applyFill="1" applyBorder="1" applyAlignment="1">
      <alignment horizontal="center" vertical="top" wrapText="1"/>
    </xf>
    <xf numFmtId="0" fontId="23" fillId="0" borderId="0" xfId="0" applyFont="1" applyBorder="1" applyAlignment="1">
      <alignment vertical="top"/>
    </xf>
    <xf numFmtId="165" fontId="23" fillId="6" borderId="41" xfId="0" applyNumberFormat="1" applyFont="1" applyFill="1" applyBorder="1" applyAlignment="1">
      <alignment horizontal="center" vertical="top" wrapText="1"/>
    </xf>
    <xf numFmtId="0" fontId="2" fillId="6" borderId="79" xfId="0" applyFont="1" applyFill="1" applyBorder="1" applyAlignment="1">
      <alignment horizontal="left" vertical="top" wrapText="1"/>
    </xf>
    <xf numFmtId="165" fontId="2" fillId="6" borderId="33" xfId="0" applyNumberFormat="1" applyFont="1" applyFill="1" applyBorder="1" applyAlignment="1">
      <alignment horizontal="center" vertical="center"/>
    </xf>
    <xf numFmtId="0" fontId="26" fillId="0" borderId="32" xfId="0" applyFont="1" applyBorder="1" applyAlignment="1">
      <alignment vertical="top" wrapText="1"/>
    </xf>
    <xf numFmtId="0" fontId="26" fillId="0" borderId="0" xfId="0" applyFont="1" applyBorder="1" applyAlignment="1">
      <alignment vertical="top" wrapText="1"/>
    </xf>
    <xf numFmtId="165" fontId="2" fillId="2" borderId="59" xfId="0" applyNumberFormat="1" applyFont="1" applyFill="1" applyBorder="1" applyAlignment="1">
      <alignment horizontal="left" vertical="top" wrapText="1"/>
    </xf>
    <xf numFmtId="165" fontId="2" fillId="2" borderId="35" xfId="0" applyNumberFormat="1" applyFont="1" applyFill="1" applyBorder="1" applyAlignment="1">
      <alignment horizontal="left" vertical="top" wrapText="1"/>
    </xf>
    <xf numFmtId="165" fontId="2" fillId="2" borderId="36" xfId="0" applyNumberFormat="1" applyFont="1" applyFill="1" applyBorder="1" applyAlignment="1">
      <alignment horizontal="left" vertical="top" wrapText="1"/>
    </xf>
    <xf numFmtId="0" fontId="2" fillId="0" borderId="59"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2" borderId="56"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47" xfId="0" applyFont="1" applyFill="1" applyBorder="1" applyAlignment="1">
      <alignment horizontal="left" vertical="top" wrapText="1"/>
    </xf>
    <xf numFmtId="0" fontId="4" fillId="5" borderId="27" xfId="0" applyFont="1" applyFill="1" applyBorder="1" applyAlignment="1">
      <alignment horizontal="right" vertical="top" wrapText="1"/>
    </xf>
    <xf numFmtId="0" fontId="4" fillId="5" borderId="22" xfId="0" applyFont="1" applyFill="1" applyBorder="1" applyAlignment="1">
      <alignment horizontal="right" vertical="top" wrapText="1"/>
    </xf>
    <xf numFmtId="0" fontId="4" fillId="5" borderId="28" xfId="0" applyFont="1" applyFill="1" applyBorder="1" applyAlignment="1">
      <alignment horizontal="right" vertical="top" wrapText="1"/>
    </xf>
    <xf numFmtId="0" fontId="2" fillId="8" borderId="59" xfId="0" applyFont="1" applyFill="1" applyBorder="1" applyAlignment="1">
      <alignment horizontal="left" vertical="top" wrapText="1"/>
    </xf>
    <xf numFmtId="0" fontId="2" fillId="8" borderId="35" xfId="0" applyFont="1" applyFill="1" applyBorder="1" applyAlignment="1">
      <alignment horizontal="left" vertical="top" wrapText="1"/>
    </xf>
    <xf numFmtId="0" fontId="2" fillId="8" borderId="36" xfId="0" applyFont="1" applyFill="1" applyBorder="1" applyAlignment="1">
      <alignment horizontal="left" vertical="top" wrapText="1"/>
    </xf>
    <xf numFmtId="0" fontId="4" fillId="4" borderId="59" xfId="0" applyFont="1" applyFill="1" applyBorder="1" applyAlignment="1">
      <alignment horizontal="right" vertical="top" wrapText="1"/>
    </xf>
    <xf numFmtId="0" fontId="4" fillId="4" borderId="35" xfId="0" applyFont="1" applyFill="1" applyBorder="1" applyAlignment="1">
      <alignment horizontal="right" vertical="top" wrapText="1"/>
    </xf>
    <xf numFmtId="0" fontId="4" fillId="4" borderId="36" xfId="0" applyFont="1" applyFill="1" applyBorder="1" applyAlignment="1">
      <alignment horizontal="right" vertical="top" wrapText="1"/>
    </xf>
    <xf numFmtId="0" fontId="2" fillId="6" borderId="59" xfId="0" applyFont="1" applyFill="1" applyBorder="1" applyAlignment="1">
      <alignment horizontal="left" vertical="top" wrapText="1"/>
    </xf>
    <xf numFmtId="0" fontId="2" fillId="6" borderId="35" xfId="0" applyFont="1" applyFill="1" applyBorder="1" applyAlignment="1">
      <alignment horizontal="left" vertical="top" wrapText="1"/>
    </xf>
    <xf numFmtId="0" fontId="2" fillId="6" borderId="36" xfId="0" applyFont="1" applyFill="1" applyBorder="1" applyAlignment="1">
      <alignment horizontal="left" vertical="top" wrapText="1"/>
    </xf>
    <xf numFmtId="0" fontId="4" fillId="4" borderId="61" xfId="0" applyFont="1" applyFill="1" applyBorder="1" applyAlignment="1">
      <alignment horizontal="right" vertical="top" wrapText="1"/>
    </xf>
    <xf numFmtId="0" fontId="4" fillId="4" borderId="57" xfId="0" applyFont="1" applyFill="1" applyBorder="1" applyAlignment="1">
      <alignment horizontal="right" vertical="top" wrapText="1"/>
    </xf>
    <xf numFmtId="0" fontId="4" fillId="4" borderId="52" xfId="0" applyFont="1" applyFill="1" applyBorder="1" applyAlignment="1">
      <alignment horizontal="right" vertical="top" wrapText="1"/>
    </xf>
    <xf numFmtId="0" fontId="4" fillId="8" borderId="59" xfId="0" applyFont="1" applyFill="1" applyBorder="1" applyAlignment="1">
      <alignment horizontal="right" vertical="top" wrapText="1"/>
    </xf>
    <xf numFmtId="0" fontId="6" fillId="8" borderId="35" xfId="0" applyFont="1" applyFill="1" applyBorder="1" applyAlignment="1">
      <alignment horizontal="right" vertical="top" wrapText="1"/>
    </xf>
    <xf numFmtId="0" fontId="6" fillId="8" borderId="36" xfId="0" applyFont="1" applyFill="1" applyBorder="1" applyAlignment="1">
      <alignment horizontal="right" vertical="top" wrapText="1"/>
    </xf>
    <xf numFmtId="0" fontId="2" fillId="6" borderId="56" xfId="0" applyFont="1" applyFill="1" applyBorder="1" applyAlignment="1">
      <alignment horizontal="left" vertical="top" wrapText="1"/>
    </xf>
    <xf numFmtId="0" fontId="2" fillId="6" borderId="41" xfId="0" applyFont="1" applyFill="1" applyBorder="1" applyAlignment="1">
      <alignment horizontal="left" vertical="top" wrapText="1"/>
    </xf>
    <xf numFmtId="0" fontId="2" fillId="6" borderId="47" xfId="0" applyFont="1" applyFill="1" applyBorder="1" applyAlignment="1">
      <alignment horizontal="left" vertical="top" wrapText="1"/>
    </xf>
    <xf numFmtId="0" fontId="2" fillId="10" borderId="54" xfId="0" applyFont="1" applyFill="1" applyBorder="1" applyAlignment="1">
      <alignment horizontal="center" vertical="top" wrapText="1"/>
    </xf>
    <xf numFmtId="0" fontId="2" fillId="10" borderId="55" xfId="0" applyFont="1" applyFill="1" applyBorder="1" applyAlignment="1">
      <alignment horizontal="center" vertical="top" wrapText="1"/>
    </xf>
    <xf numFmtId="49" fontId="4" fillId="4" borderId="62" xfId="0" applyNumberFormat="1" applyFont="1" applyFill="1" applyBorder="1" applyAlignment="1">
      <alignment horizontal="right" vertical="top"/>
    </xf>
    <xf numFmtId="49" fontId="4" fillId="4" borderId="54" xfId="0" applyNumberFormat="1" applyFont="1" applyFill="1" applyBorder="1" applyAlignment="1">
      <alignment horizontal="right" vertical="top"/>
    </xf>
    <xf numFmtId="49" fontId="4" fillId="4" borderId="55" xfId="0" applyNumberFormat="1" applyFont="1" applyFill="1" applyBorder="1" applyAlignment="1">
      <alignment horizontal="right" vertical="top"/>
    </xf>
    <xf numFmtId="0" fontId="2" fillId="4" borderId="54" xfId="0" applyFont="1" applyFill="1" applyBorder="1" applyAlignment="1">
      <alignment horizontal="center" vertical="top"/>
    </xf>
    <xf numFmtId="0" fontId="2" fillId="4" borderId="55" xfId="0" applyFont="1" applyFill="1" applyBorder="1" applyAlignment="1">
      <alignment horizontal="center" vertical="top"/>
    </xf>
    <xf numFmtId="3" fontId="2" fillId="0" borderId="33" xfId="0" applyNumberFormat="1" applyFont="1" applyFill="1" applyBorder="1" applyAlignment="1">
      <alignment horizontal="left" vertical="top"/>
    </xf>
    <xf numFmtId="49" fontId="4" fillId="0" borderId="22" xfId="0" applyNumberFormat="1" applyFont="1" applyFill="1" applyBorder="1" applyAlignment="1">
      <alignment horizontal="center" vertical="top" wrapText="1"/>
    </xf>
    <xf numFmtId="3" fontId="4" fillId="0" borderId="51" xfId="0" applyNumberFormat="1" applyFont="1" applyBorder="1" applyAlignment="1">
      <alignment horizontal="center" vertical="center" wrapText="1"/>
    </xf>
    <xf numFmtId="3" fontId="4" fillId="0" borderId="54" xfId="0" applyNumberFormat="1" applyFont="1" applyBorder="1" applyAlignment="1">
      <alignment horizontal="center" vertical="center" wrapText="1"/>
    </xf>
    <xf numFmtId="3" fontId="4" fillId="0" borderId="55" xfId="0" applyNumberFormat="1" applyFont="1" applyBorder="1" applyAlignment="1">
      <alignment horizontal="center" vertical="center" wrapText="1"/>
    </xf>
    <xf numFmtId="0" fontId="2" fillId="6" borderId="16" xfId="0" applyFont="1" applyFill="1" applyBorder="1" applyAlignment="1">
      <alignment vertical="top" wrapText="1"/>
    </xf>
    <xf numFmtId="0" fontId="2" fillId="6" borderId="13" xfId="0" applyFont="1" applyFill="1" applyBorder="1" applyAlignment="1">
      <alignment vertical="top" wrapText="1"/>
    </xf>
    <xf numFmtId="49" fontId="4" fillId="3" borderId="94" xfId="0" applyNumberFormat="1" applyFont="1" applyFill="1" applyBorder="1" applyAlignment="1">
      <alignment horizontal="right" vertical="top"/>
    </xf>
    <xf numFmtId="49" fontId="4" fillId="3" borderId="83" xfId="0" applyNumberFormat="1" applyFont="1" applyFill="1" applyBorder="1" applyAlignment="1">
      <alignment horizontal="right" vertical="top"/>
    </xf>
    <xf numFmtId="49" fontId="4" fillId="3" borderId="96" xfId="0" applyNumberFormat="1" applyFont="1" applyFill="1" applyBorder="1" applyAlignment="1">
      <alignment horizontal="right" vertical="top"/>
    </xf>
    <xf numFmtId="49" fontId="4" fillId="10" borderId="62" xfId="0" applyNumberFormat="1" applyFont="1" applyFill="1" applyBorder="1" applyAlignment="1">
      <alignment horizontal="right" vertical="top"/>
    </xf>
    <xf numFmtId="49" fontId="4" fillId="10" borderId="54" xfId="0" applyNumberFormat="1" applyFont="1" applyFill="1" applyBorder="1" applyAlignment="1">
      <alignment horizontal="right" vertical="top"/>
    </xf>
    <xf numFmtId="49" fontId="4" fillId="10" borderId="55" xfId="0" applyNumberFormat="1" applyFont="1" applyFill="1" applyBorder="1" applyAlignment="1">
      <alignment horizontal="right" vertical="top"/>
    </xf>
    <xf numFmtId="3" fontId="2" fillId="6" borderId="37" xfId="0" applyNumberFormat="1" applyFont="1" applyFill="1" applyBorder="1" applyAlignment="1">
      <alignment horizontal="left" vertical="top" wrapText="1"/>
    </xf>
    <xf numFmtId="3" fontId="2" fillId="6" borderId="9" xfId="0" applyNumberFormat="1" applyFont="1" applyFill="1" applyBorder="1" applyAlignment="1">
      <alignment horizontal="left" vertical="top" wrapText="1"/>
    </xf>
    <xf numFmtId="0" fontId="2" fillId="6" borderId="26" xfId="0" applyFont="1" applyFill="1" applyBorder="1" applyAlignment="1">
      <alignment vertical="top" wrapText="1"/>
    </xf>
    <xf numFmtId="3" fontId="2" fillId="6" borderId="23" xfId="0" applyNumberFormat="1"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13" xfId="0" applyFont="1" applyFill="1" applyBorder="1" applyAlignment="1">
      <alignment horizontal="left" vertical="top" wrapText="1"/>
    </xf>
    <xf numFmtId="49" fontId="12" fillId="10" borderId="56" xfId="0" applyNumberFormat="1" applyFont="1" applyFill="1" applyBorder="1" applyAlignment="1">
      <alignment horizontal="center" vertical="top"/>
    </xf>
    <xf numFmtId="49" fontId="12" fillId="10" borderId="32" xfId="0" applyNumberFormat="1" applyFont="1" applyFill="1" applyBorder="1" applyAlignment="1">
      <alignment horizontal="center" vertical="top"/>
    </xf>
    <xf numFmtId="49" fontId="12" fillId="9" borderId="26" xfId="0" applyNumberFormat="1" applyFont="1" applyFill="1" applyBorder="1" applyAlignment="1">
      <alignment horizontal="center" vertical="top"/>
    </xf>
    <xf numFmtId="49" fontId="12" fillId="9" borderId="13" xfId="0" applyNumberFormat="1" applyFont="1" applyFill="1" applyBorder="1" applyAlignment="1">
      <alignment horizontal="center" vertical="top"/>
    </xf>
    <xf numFmtId="49" fontId="12" fillId="8" borderId="41" xfId="0" applyNumberFormat="1" applyFont="1" applyFill="1" applyBorder="1" applyAlignment="1">
      <alignment horizontal="center" vertical="top"/>
    </xf>
    <xf numFmtId="49" fontId="12" fillId="8" borderId="0" xfId="0" applyNumberFormat="1" applyFont="1" applyFill="1" applyBorder="1" applyAlignment="1">
      <alignment horizontal="center" vertical="top"/>
    </xf>
    <xf numFmtId="3" fontId="2" fillId="6" borderId="2" xfId="0" applyNumberFormat="1" applyFont="1" applyFill="1" applyBorder="1" applyAlignment="1">
      <alignment horizontal="left" vertical="top" wrapText="1"/>
    </xf>
    <xf numFmtId="3" fontId="2" fillId="6" borderId="13" xfId="0" applyNumberFormat="1" applyFont="1" applyFill="1" applyBorder="1" applyAlignment="1">
      <alignment horizontal="left" vertical="top" wrapText="1"/>
    </xf>
    <xf numFmtId="3" fontId="4" fillId="6" borderId="40" xfId="0" applyNumberFormat="1" applyFont="1" applyFill="1" applyBorder="1" applyAlignment="1">
      <alignment horizontal="center" vertical="top" wrapText="1"/>
    </xf>
    <xf numFmtId="3" fontId="4" fillId="6" borderId="42" xfId="0" applyNumberFormat="1" applyFont="1" applyFill="1" applyBorder="1" applyAlignment="1">
      <alignment horizontal="center" vertical="top" wrapText="1"/>
    </xf>
    <xf numFmtId="0" fontId="2" fillId="6" borderId="9" xfId="0" applyFont="1" applyFill="1" applyBorder="1" applyAlignment="1">
      <alignment horizontal="left" vertical="top" wrapText="1"/>
    </xf>
    <xf numFmtId="0" fontId="2" fillId="6" borderId="72" xfId="0" applyFont="1" applyFill="1" applyBorder="1" applyAlignment="1">
      <alignment horizontal="left" vertical="top" wrapText="1"/>
    </xf>
    <xf numFmtId="49" fontId="4" fillId="3" borderId="62" xfId="0" applyNumberFormat="1" applyFont="1" applyFill="1" applyBorder="1" applyAlignment="1">
      <alignment horizontal="right" vertical="top"/>
    </xf>
    <xf numFmtId="49" fontId="4" fillId="3" borderId="54" xfId="0" applyNumberFormat="1" applyFont="1" applyFill="1" applyBorder="1" applyAlignment="1">
      <alignment horizontal="right" vertical="top"/>
    </xf>
    <xf numFmtId="49" fontId="4" fillId="3" borderId="55" xfId="0" applyNumberFormat="1" applyFont="1" applyFill="1" applyBorder="1" applyAlignment="1">
      <alignment horizontal="right" vertical="top"/>
    </xf>
    <xf numFmtId="0" fontId="4" fillId="9" borderId="62" xfId="0" applyFont="1" applyFill="1" applyBorder="1" applyAlignment="1">
      <alignment horizontal="left" vertical="top" wrapText="1"/>
    </xf>
    <xf numFmtId="0" fontId="6" fillId="9" borderId="54" xfId="0" applyFont="1" applyFill="1" applyBorder="1" applyAlignment="1">
      <alignment horizontal="left" vertical="top" wrapText="1"/>
    </xf>
    <xf numFmtId="49" fontId="4" fillId="10" borderId="9"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49" fontId="4" fillId="8" borderId="13" xfId="0" applyNumberFormat="1" applyFont="1" applyFill="1" applyBorder="1" applyAlignment="1">
      <alignment horizontal="center" vertical="top" wrapText="1"/>
    </xf>
    <xf numFmtId="0" fontId="2" fillId="2" borderId="16" xfId="0" applyFont="1" applyFill="1" applyBorder="1" applyAlignment="1">
      <alignment vertical="top" wrapText="1"/>
    </xf>
    <xf numFmtId="0" fontId="2" fillId="2" borderId="13" xfId="0" applyFont="1" applyFill="1" applyBorder="1" applyAlignment="1">
      <alignment vertical="top" wrapText="1"/>
    </xf>
    <xf numFmtId="0" fontId="4" fillId="6" borderId="16" xfId="0" applyFont="1" applyFill="1" applyBorder="1" applyAlignment="1">
      <alignment horizontal="center" vertical="top" wrapText="1"/>
    </xf>
    <xf numFmtId="0" fontId="4" fillId="6" borderId="13" xfId="0" applyFont="1" applyFill="1" applyBorder="1" applyAlignment="1">
      <alignment horizontal="center" vertical="top" wrapText="1"/>
    </xf>
    <xf numFmtId="0" fontId="2" fillId="6" borderId="16" xfId="0" applyFont="1" applyFill="1" applyBorder="1" applyAlignment="1">
      <alignment horizontal="left" vertical="top" wrapText="1"/>
    </xf>
    <xf numFmtId="0" fontId="2" fillId="6" borderId="13" xfId="0" applyFont="1" applyFill="1" applyBorder="1" applyAlignment="1">
      <alignment horizontal="left" vertical="top" wrapText="1"/>
    </xf>
    <xf numFmtId="0" fontId="6" fillId="6" borderId="13" xfId="0" applyFont="1" applyFill="1" applyBorder="1" applyAlignment="1">
      <alignment vertical="top" wrapText="1"/>
    </xf>
    <xf numFmtId="0" fontId="2" fillId="6" borderId="75" xfId="0" applyFont="1" applyFill="1" applyBorder="1" applyAlignment="1">
      <alignment vertical="top" wrapText="1"/>
    </xf>
    <xf numFmtId="0" fontId="6" fillId="6" borderId="74" xfId="0" applyFont="1" applyFill="1" applyBorder="1" applyAlignment="1">
      <alignment vertical="top" wrapText="1"/>
    </xf>
    <xf numFmtId="0" fontId="2" fillId="6" borderId="71" xfId="0" applyFont="1" applyFill="1" applyBorder="1" applyAlignment="1">
      <alignment vertical="top" wrapText="1"/>
    </xf>
    <xf numFmtId="0" fontId="6" fillId="6" borderId="72" xfId="0" applyFont="1" applyFill="1" applyBorder="1" applyAlignment="1">
      <alignment vertical="top" wrapText="1"/>
    </xf>
    <xf numFmtId="0" fontId="11" fillId="6" borderId="42" xfId="0" applyFont="1" applyFill="1" applyBorder="1" applyAlignment="1">
      <alignment horizontal="left" vertical="top" wrapText="1"/>
    </xf>
    <xf numFmtId="0" fontId="6" fillId="6" borderId="42" xfId="0" applyFont="1" applyFill="1" applyBorder="1" applyAlignment="1">
      <alignment horizontal="left" vertical="top" wrapText="1"/>
    </xf>
    <xf numFmtId="0" fontId="6" fillId="6" borderId="42" xfId="0" applyFont="1" applyFill="1" applyBorder="1" applyAlignment="1"/>
    <xf numFmtId="0" fontId="2" fillId="6" borderId="71" xfId="0" applyFont="1" applyFill="1" applyBorder="1" applyAlignment="1">
      <alignment horizontal="left" vertical="top" wrapText="1"/>
    </xf>
    <xf numFmtId="0" fontId="2" fillId="6" borderId="71" xfId="1" applyFont="1" applyFill="1" applyBorder="1" applyAlignment="1">
      <alignment vertical="top" wrapText="1"/>
    </xf>
    <xf numFmtId="0" fontId="2" fillId="0" borderId="71" xfId="0" applyFont="1" applyBorder="1" applyAlignment="1">
      <alignment horizontal="left" vertical="top" wrapText="1"/>
    </xf>
    <xf numFmtId="0" fontId="2" fillId="0" borderId="9" xfId="0" applyFont="1" applyBorder="1" applyAlignment="1">
      <alignment horizontal="left" vertical="top" wrapText="1"/>
    </xf>
    <xf numFmtId="0" fontId="6" fillId="0" borderId="54" xfId="0" applyFont="1" applyBorder="1" applyAlignment="1">
      <alignment horizontal="left" vertical="top" wrapText="1"/>
    </xf>
    <xf numFmtId="0" fontId="6" fillId="0" borderId="55" xfId="0" applyFont="1" applyBorder="1" applyAlignment="1">
      <alignment horizontal="left" vertical="top" wrapText="1"/>
    </xf>
    <xf numFmtId="0" fontId="4" fillId="2" borderId="20"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9" borderId="62" xfId="0" applyFont="1" applyFill="1" applyBorder="1" applyAlignment="1">
      <alignment vertical="center"/>
    </xf>
    <xf numFmtId="0" fontId="4" fillId="9" borderId="54" xfId="0" applyFont="1" applyFill="1" applyBorder="1" applyAlignment="1">
      <alignment vertical="center"/>
    </xf>
    <xf numFmtId="0" fontId="4" fillId="9" borderId="55" xfId="0" applyFont="1" applyFill="1" applyBorder="1" applyAlignment="1">
      <alignment vertical="center"/>
    </xf>
    <xf numFmtId="0" fontId="4" fillId="6" borderId="26" xfId="0" applyFont="1" applyFill="1" applyBorder="1" applyAlignment="1">
      <alignment horizontal="left" vertical="top" wrapText="1"/>
    </xf>
    <xf numFmtId="0" fontId="6" fillId="0" borderId="26" xfId="0" applyFont="1" applyBorder="1" applyAlignment="1">
      <alignment horizontal="left" vertical="top" wrapText="1"/>
    </xf>
    <xf numFmtId="0" fontId="2" fillId="6" borderId="7" xfId="0" applyFont="1" applyFill="1" applyBorder="1" applyAlignment="1">
      <alignment horizontal="left" vertical="top" wrapText="1"/>
    </xf>
    <xf numFmtId="0" fontId="2" fillId="6" borderId="23" xfId="0" applyFont="1" applyFill="1" applyBorder="1" applyAlignment="1">
      <alignment horizontal="left" vertical="top" wrapText="1"/>
    </xf>
    <xf numFmtId="3" fontId="2" fillId="0" borderId="58" xfId="0" applyNumberFormat="1" applyFont="1" applyFill="1" applyBorder="1" applyAlignment="1">
      <alignment horizontal="center" vertical="top" wrapText="1"/>
    </xf>
    <xf numFmtId="3" fontId="2" fillId="0" borderId="31" xfId="0" applyNumberFormat="1" applyFont="1" applyFill="1" applyBorder="1" applyAlignment="1">
      <alignment horizontal="center" vertical="top" wrapText="1"/>
    </xf>
    <xf numFmtId="0" fontId="2" fillId="6" borderId="37" xfId="0" applyFont="1" applyFill="1" applyBorder="1" applyAlignment="1">
      <alignment vertical="top" wrapText="1"/>
    </xf>
    <xf numFmtId="0" fontId="2" fillId="6" borderId="9" xfId="0" applyFont="1" applyFill="1" applyBorder="1" applyAlignment="1">
      <alignment vertical="top" wrapText="1"/>
    </xf>
    <xf numFmtId="3" fontId="2" fillId="0" borderId="20" xfId="0" applyNumberFormat="1" applyFont="1" applyFill="1" applyBorder="1" applyAlignment="1">
      <alignment horizontal="center" vertical="top" wrapText="1"/>
    </xf>
    <xf numFmtId="3" fontId="2" fillId="0" borderId="13" xfId="0" applyNumberFormat="1" applyFont="1" applyFill="1" applyBorder="1" applyAlignment="1">
      <alignment horizontal="center" vertical="top" wrapText="1"/>
    </xf>
    <xf numFmtId="3" fontId="2" fillId="0" borderId="21" xfId="0" applyNumberFormat="1" applyFont="1" applyFill="1" applyBorder="1" applyAlignment="1">
      <alignment horizontal="center" vertical="top" wrapText="1"/>
    </xf>
    <xf numFmtId="3" fontId="2" fillId="0" borderId="14" xfId="0" applyNumberFormat="1" applyFont="1" applyFill="1" applyBorder="1" applyAlignment="1">
      <alignment horizontal="center" vertical="top" wrapText="1"/>
    </xf>
    <xf numFmtId="49" fontId="4" fillId="8" borderId="13" xfId="0" applyNumberFormat="1" applyFont="1" applyFill="1" applyBorder="1" applyAlignment="1">
      <alignment horizontal="center" vertical="top"/>
    </xf>
    <xf numFmtId="0" fontId="2" fillId="6" borderId="26" xfId="0" applyFont="1" applyFill="1" applyBorder="1" applyAlignment="1">
      <alignment horizontal="left" vertical="top" wrapText="1"/>
    </xf>
    <xf numFmtId="49" fontId="4" fillId="10" borderId="7" xfId="0" applyNumberFormat="1" applyFont="1" applyFill="1" applyBorder="1" applyAlignment="1">
      <alignment horizontal="center" vertical="top"/>
    </xf>
    <xf numFmtId="49" fontId="4" fillId="3" borderId="39" xfId="0" applyNumberFormat="1" applyFont="1" applyFill="1" applyBorder="1" applyAlignment="1">
      <alignment horizontal="center" vertical="top"/>
    </xf>
    <xf numFmtId="49" fontId="4" fillId="3" borderId="42" xfId="0" applyNumberFormat="1" applyFont="1" applyFill="1" applyBorder="1" applyAlignment="1">
      <alignment horizontal="center" vertical="top"/>
    </xf>
    <xf numFmtId="49" fontId="4" fillId="8" borderId="20" xfId="0" applyNumberFormat="1" applyFont="1" applyFill="1" applyBorder="1" applyAlignment="1">
      <alignment horizontal="center" vertical="top"/>
    </xf>
    <xf numFmtId="0" fontId="10" fillId="6" borderId="20" xfId="0" applyFont="1" applyFill="1" applyBorder="1" applyAlignment="1">
      <alignment horizontal="left" vertical="top" wrapText="1"/>
    </xf>
    <xf numFmtId="0" fontId="10" fillId="6" borderId="26" xfId="0" applyFont="1" applyFill="1" applyBorder="1" applyAlignment="1">
      <alignment horizontal="left" vertical="top" wrapText="1"/>
    </xf>
    <xf numFmtId="0" fontId="2" fillId="6" borderId="33" xfId="0" applyFont="1" applyFill="1" applyBorder="1" applyAlignment="1">
      <alignment horizontal="center" vertical="top" wrapText="1"/>
    </xf>
    <xf numFmtId="0" fontId="2" fillId="6" borderId="0" xfId="0" applyFont="1" applyFill="1" applyBorder="1" applyAlignment="1">
      <alignment horizontal="center" vertical="top" wrapText="1"/>
    </xf>
    <xf numFmtId="0" fontId="2" fillId="6" borderId="34"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40" xfId="0" applyFont="1" applyFill="1" applyBorder="1" applyAlignment="1">
      <alignment horizontal="left" vertical="top" wrapText="1"/>
    </xf>
    <xf numFmtId="0" fontId="6" fillId="6" borderId="42" xfId="0" applyFont="1" applyFill="1" applyBorder="1" applyAlignment="1">
      <alignment vertical="top" wrapText="1"/>
    </xf>
    <xf numFmtId="0" fontId="2" fillId="6" borderId="34" xfId="0" applyFont="1" applyFill="1" applyBorder="1" applyAlignment="1">
      <alignment horizontal="left" vertical="top" wrapText="1"/>
    </xf>
    <xf numFmtId="0" fontId="2" fillId="6" borderId="42" xfId="0" applyFont="1" applyFill="1" applyBorder="1" applyAlignment="1">
      <alignment horizontal="left" vertical="top" wrapText="1"/>
    </xf>
    <xf numFmtId="0" fontId="6" fillId="0" borderId="13" xfId="0" applyFont="1" applyBorder="1" applyAlignment="1">
      <alignment horizontal="left" vertical="top" wrapText="1"/>
    </xf>
    <xf numFmtId="0" fontId="2" fillId="6" borderId="40" xfId="0" applyFont="1" applyFill="1" applyBorder="1" applyAlignment="1">
      <alignment horizontal="center" vertical="center" textRotation="90" wrapText="1"/>
    </xf>
    <xf numFmtId="0" fontId="2" fillId="6" borderId="42" xfId="0" applyFont="1" applyFill="1" applyBorder="1" applyAlignment="1">
      <alignment horizontal="center" vertical="center" textRotation="90" wrapText="1"/>
    </xf>
    <xf numFmtId="0" fontId="4" fillId="0" borderId="2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6" borderId="1" xfId="0" applyFont="1" applyFill="1" applyBorder="1" applyAlignment="1">
      <alignment horizontal="center" vertical="top" wrapText="1"/>
    </xf>
    <xf numFmtId="0" fontId="4" fillId="6" borderId="14" xfId="0" applyFont="1" applyFill="1" applyBorder="1" applyAlignment="1">
      <alignment horizontal="center" vertical="top" wrapText="1"/>
    </xf>
    <xf numFmtId="0" fontId="2" fillId="6" borderId="71" xfId="1" applyFont="1" applyFill="1" applyBorder="1" applyAlignment="1">
      <alignment horizontal="left" vertical="top" wrapText="1"/>
    </xf>
    <xf numFmtId="0" fontId="2" fillId="6" borderId="23" xfId="1" applyFont="1" applyFill="1" applyBorder="1" applyAlignment="1">
      <alignment horizontal="left" vertical="top" wrapText="1"/>
    </xf>
    <xf numFmtId="0" fontId="2" fillId="6" borderId="31" xfId="0" applyFont="1" applyFill="1" applyBorder="1" applyAlignment="1">
      <alignment horizontal="center" vertical="center" textRotation="90" wrapText="1"/>
    </xf>
    <xf numFmtId="49" fontId="2" fillId="8" borderId="35" xfId="0" applyNumberFormat="1" applyFont="1" applyFill="1" applyBorder="1" applyAlignment="1">
      <alignment horizontal="center" vertical="top"/>
    </xf>
    <xf numFmtId="0" fontId="2" fillId="6" borderId="37" xfId="1" applyFont="1" applyFill="1" applyBorder="1" applyAlignment="1">
      <alignment vertical="top" wrapText="1"/>
    </xf>
    <xf numFmtId="0" fontId="6" fillId="6" borderId="23" xfId="0" applyFont="1" applyFill="1" applyBorder="1" applyAlignment="1">
      <alignment vertical="top" wrapText="1"/>
    </xf>
    <xf numFmtId="0" fontId="2" fillId="0" borderId="42" xfId="0" applyFont="1" applyFill="1" applyBorder="1" applyAlignment="1">
      <alignment horizontal="center" vertical="center" textRotation="90" wrapText="1"/>
    </xf>
    <xf numFmtId="0" fontId="2" fillId="0" borderId="24" xfId="0" applyFont="1" applyFill="1" applyBorder="1" applyAlignment="1">
      <alignment horizontal="center" vertical="center" textRotation="90" wrapText="1"/>
    </xf>
    <xf numFmtId="0" fontId="2" fillId="6" borderId="75" xfId="0" applyFont="1" applyFill="1" applyBorder="1" applyAlignment="1">
      <alignment horizontal="left" vertical="top" wrapText="1"/>
    </xf>
    <xf numFmtId="0" fontId="2" fillId="6" borderId="74" xfId="0" applyFont="1" applyFill="1" applyBorder="1" applyAlignment="1">
      <alignment horizontal="left" vertical="top" wrapText="1"/>
    </xf>
    <xf numFmtId="0" fontId="2" fillId="6" borderId="14" xfId="0" applyFont="1" applyFill="1" applyBorder="1" applyAlignment="1">
      <alignment horizontal="center" vertical="center" textRotation="90" wrapText="1"/>
    </xf>
    <xf numFmtId="0" fontId="2" fillId="0" borderId="34" xfId="0" applyFont="1" applyFill="1" applyBorder="1" applyAlignment="1">
      <alignment horizontal="center" vertical="center" textRotation="90" wrapText="1"/>
    </xf>
    <xf numFmtId="0" fontId="2" fillId="0" borderId="0" xfId="0" applyFont="1" applyFill="1" applyBorder="1" applyAlignment="1">
      <alignment horizontal="center" vertical="center" textRotation="90" wrapText="1"/>
    </xf>
    <xf numFmtId="0" fontId="2" fillId="0" borderId="41" xfId="0" applyFont="1" applyFill="1" applyBorder="1" applyAlignment="1">
      <alignment horizontal="center" vertical="center" textRotation="90" wrapText="1"/>
    </xf>
    <xf numFmtId="0" fontId="2" fillId="6" borderId="32" xfId="0" applyFont="1" applyFill="1" applyBorder="1" applyAlignment="1">
      <alignment horizontal="left" vertical="top" wrapText="1"/>
    </xf>
    <xf numFmtId="49" fontId="4" fillId="8" borderId="29" xfId="0" applyNumberFormat="1" applyFont="1" applyFill="1" applyBorder="1" applyAlignment="1">
      <alignment horizontal="left" vertical="center"/>
    </xf>
    <xf numFmtId="49" fontId="4" fillId="8" borderId="35" xfId="0" applyNumberFormat="1" applyFont="1" applyFill="1" applyBorder="1" applyAlignment="1">
      <alignment horizontal="left" vertical="center"/>
    </xf>
    <xf numFmtId="0" fontId="2" fillId="6" borderId="32" xfId="0" applyFont="1" applyFill="1" applyBorder="1" applyAlignment="1">
      <alignment vertical="top" wrapText="1"/>
    </xf>
    <xf numFmtId="0" fontId="6" fillId="6" borderId="56" xfId="0" applyFont="1" applyFill="1" applyBorder="1" applyAlignment="1">
      <alignment vertical="top" wrapText="1"/>
    </xf>
    <xf numFmtId="0" fontId="2" fillId="6" borderId="9" xfId="1" applyFont="1" applyFill="1" applyBorder="1" applyAlignment="1">
      <alignment vertical="top" wrapText="1"/>
    </xf>
    <xf numFmtId="0" fontId="2" fillId="6" borderId="29" xfId="0" applyFont="1" applyFill="1" applyBorder="1" applyAlignment="1">
      <alignment horizontal="left" vertical="top" wrapText="1"/>
    </xf>
    <xf numFmtId="0" fontId="6" fillId="6" borderId="29" xfId="0" applyFont="1" applyFill="1" applyBorder="1" applyAlignment="1">
      <alignment horizontal="left" vertical="top" wrapText="1"/>
    </xf>
    <xf numFmtId="0" fontId="2" fillId="6" borderId="79" xfId="1" applyFont="1" applyFill="1" applyBorder="1" applyAlignment="1">
      <alignment horizontal="left" vertical="top" wrapText="1"/>
    </xf>
    <xf numFmtId="0" fontId="2" fillId="6" borderId="32" xfId="1" applyFont="1" applyFill="1" applyBorder="1" applyAlignment="1">
      <alignment horizontal="left" vertical="top" wrapText="1"/>
    </xf>
    <xf numFmtId="0" fontId="2" fillId="6" borderId="49" xfId="1" applyFont="1" applyFill="1" applyBorder="1" applyAlignment="1">
      <alignment horizontal="left" vertical="top" wrapText="1"/>
    </xf>
    <xf numFmtId="0" fontId="2" fillId="6" borderId="49" xfId="1" applyFont="1" applyFill="1" applyBorder="1" applyAlignment="1">
      <alignment vertical="top" wrapText="1"/>
    </xf>
    <xf numFmtId="0" fontId="6" fillId="6" borderId="32" xfId="0" applyFont="1" applyFill="1" applyBorder="1" applyAlignment="1">
      <alignment vertical="top" wrapText="1"/>
    </xf>
    <xf numFmtId="0" fontId="2" fillId="6" borderId="32" xfId="1" applyFont="1" applyFill="1" applyBorder="1" applyAlignment="1">
      <alignment vertical="top" wrapText="1"/>
    </xf>
    <xf numFmtId="0" fontId="4" fillId="10" borderId="29" xfId="0" applyFont="1" applyFill="1" applyBorder="1" applyAlignment="1">
      <alignment horizontal="left" vertical="top"/>
    </xf>
    <xf numFmtId="0" fontId="4" fillId="10" borderId="35" xfId="0" applyFont="1" applyFill="1" applyBorder="1" applyAlignment="1">
      <alignment horizontal="left" vertical="top"/>
    </xf>
    <xf numFmtId="0" fontId="4" fillId="10" borderId="36" xfId="0" applyFont="1" applyFill="1" applyBorder="1" applyAlignment="1">
      <alignment horizontal="left" vertical="top"/>
    </xf>
    <xf numFmtId="0" fontId="4" fillId="3" borderId="94" xfId="0" applyFont="1" applyFill="1" applyBorder="1" applyAlignment="1">
      <alignment horizontal="left" vertical="top" wrapText="1"/>
    </xf>
    <xf numFmtId="0" fontId="4" fillId="3" borderId="83" xfId="0" applyFont="1" applyFill="1" applyBorder="1" applyAlignment="1">
      <alignment horizontal="left" vertical="top" wrapText="1"/>
    </xf>
    <xf numFmtId="0" fontId="4" fillId="3" borderId="96" xfId="0" applyFont="1" applyFill="1" applyBorder="1" applyAlignment="1">
      <alignment horizontal="left" vertical="top" wrapText="1"/>
    </xf>
    <xf numFmtId="0" fontId="4" fillId="6" borderId="42" xfId="0" applyFont="1" applyFill="1" applyBorder="1" applyAlignment="1">
      <alignment horizontal="left" vertical="top" wrapText="1"/>
    </xf>
    <xf numFmtId="0" fontId="19" fillId="0" borderId="0" xfId="0" applyFont="1" applyAlignment="1">
      <alignment horizontal="left" vertical="top" wrapText="1"/>
    </xf>
    <xf numFmtId="0" fontId="2" fillId="0" borderId="33"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4" fillId="0" borderId="61" xfId="0" applyFont="1" applyBorder="1" applyAlignment="1">
      <alignment horizontal="center" vertical="center"/>
    </xf>
    <xf numFmtId="0" fontId="4" fillId="0" borderId="57" xfId="0" applyFont="1" applyBorder="1" applyAlignment="1">
      <alignment horizontal="center" vertical="center"/>
    </xf>
    <xf numFmtId="0" fontId="4" fillId="0" borderId="52" xfId="0" applyFont="1" applyBorder="1" applyAlignment="1">
      <alignment horizontal="center" vertical="center"/>
    </xf>
    <xf numFmtId="0" fontId="2" fillId="0" borderId="4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49" fontId="4" fillId="7" borderId="61" xfId="0" applyNumberFormat="1" applyFont="1" applyFill="1" applyBorder="1" applyAlignment="1">
      <alignment horizontal="left" vertical="top" wrapText="1"/>
    </xf>
    <xf numFmtId="49" fontId="4" fillId="7" borderId="57" xfId="0" applyNumberFormat="1" applyFont="1" applyFill="1" applyBorder="1" applyAlignment="1">
      <alignment horizontal="left" vertical="top" wrapText="1"/>
    </xf>
    <xf numFmtId="49" fontId="4" fillId="7" borderId="52" xfId="0" applyNumberFormat="1" applyFont="1" applyFill="1" applyBorder="1" applyAlignment="1">
      <alignment horizontal="left" vertical="top" wrapText="1"/>
    </xf>
    <xf numFmtId="0" fontId="4" fillId="4" borderId="59" xfId="0" applyFont="1" applyFill="1" applyBorder="1" applyAlignment="1">
      <alignment horizontal="left" vertical="top" wrapText="1"/>
    </xf>
    <xf numFmtId="0" fontId="4" fillId="4" borderId="35" xfId="0" applyFont="1" applyFill="1" applyBorder="1" applyAlignment="1">
      <alignment horizontal="left" vertical="top" wrapText="1"/>
    </xf>
    <xf numFmtId="0" fontId="4" fillId="4" borderId="36" xfId="0" applyFont="1" applyFill="1" applyBorder="1" applyAlignment="1">
      <alignment horizontal="left" vertical="top" wrapText="1"/>
    </xf>
    <xf numFmtId="3" fontId="2" fillId="0" borderId="39" xfId="0" applyNumberFormat="1" applyFont="1" applyBorder="1" applyAlignment="1">
      <alignment horizontal="center" vertical="center" textRotation="90" shrinkToFit="1"/>
    </xf>
    <xf numFmtId="3" fontId="2" fillId="0" borderId="42" xfId="0" applyNumberFormat="1" applyFont="1" applyBorder="1" applyAlignment="1">
      <alignment horizontal="center" vertical="center" textRotation="90" shrinkToFit="1"/>
    </xf>
    <xf numFmtId="3" fontId="2" fillId="0" borderId="50" xfId="0" applyNumberFormat="1" applyFont="1" applyBorder="1" applyAlignment="1">
      <alignment horizontal="center" vertical="center" textRotation="90" shrinkToFit="1"/>
    </xf>
    <xf numFmtId="3" fontId="2" fillId="0" borderId="38" xfId="0" applyNumberFormat="1" applyFont="1" applyBorder="1" applyAlignment="1">
      <alignment horizontal="center" vertical="center" textRotation="90" wrapText="1" shrinkToFit="1"/>
    </xf>
    <xf numFmtId="3" fontId="2" fillId="0" borderId="8" xfId="0" applyNumberFormat="1" applyFont="1" applyBorder="1" applyAlignment="1">
      <alignment horizontal="center" vertical="center" textRotation="90" wrapText="1" shrinkToFit="1"/>
    </xf>
    <xf numFmtId="3" fontId="2" fillId="0" borderId="53" xfId="0" applyNumberFormat="1" applyFont="1" applyBorder="1" applyAlignment="1">
      <alignment horizontal="center" vertical="center" textRotation="90" wrapText="1" shrinkToFit="1"/>
    </xf>
    <xf numFmtId="0" fontId="2" fillId="0" borderId="20"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3" fillId="0" borderId="0" xfId="0" applyFont="1" applyAlignment="1">
      <alignment horizontal="center" vertical="top" wrapText="1"/>
    </xf>
    <xf numFmtId="0" fontId="5" fillId="0" borderId="0" xfId="0" applyFont="1" applyAlignment="1">
      <alignment horizontal="center" vertical="top" wrapText="1"/>
    </xf>
    <xf numFmtId="0" fontId="3" fillId="0" borderId="0" xfId="0" applyFont="1" applyAlignment="1">
      <alignment horizontal="center" vertical="top"/>
    </xf>
    <xf numFmtId="0" fontId="2" fillId="0" borderId="22" xfId="0" applyFont="1" applyBorder="1" applyAlignment="1">
      <alignment horizontal="right" vertical="top"/>
    </xf>
    <xf numFmtId="3" fontId="2" fillId="0" borderId="7" xfId="0" applyNumberFormat="1" applyFont="1" applyBorder="1" applyAlignment="1">
      <alignment horizontal="center" vertical="center" textRotation="90" shrinkToFit="1"/>
    </xf>
    <xf numFmtId="3" fontId="2" fillId="0" borderId="9" xfId="0" applyNumberFormat="1" applyFont="1" applyBorder="1" applyAlignment="1">
      <alignment horizontal="center" vertical="center" textRotation="90" shrinkToFit="1"/>
    </xf>
    <xf numFmtId="3" fontId="2" fillId="0" borderId="10" xfId="0" applyNumberFormat="1" applyFont="1" applyBorder="1" applyAlignment="1">
      <alignment horizontal="center" vertical="center" textRotation="90" shrinkToFit="1"/>
    </xf>
    <xf numFmtId="3" fontId="2" fillId="0" borderId="20" xfId="0" applyNumberFormat="1" applyFont="1" applyBorder="1" applyAlignment="1">
      <alignment horizontal="center" vertical="center" textRotation="90" shrinkToFit="1"/>
    </xf>
    <xf numFmtId="3" fontId="2" fillId="0" borderId="13" xfId="0" applyNumberFormat="1" applyFont="1" applyBorder="1" applyAlignment="1">
      <alignment horizontal="center" vertical="center" textRotation="90" shrinkToFit="1"/>
    </xf>
    <xf numFmtId="3" fontId="2" fillId="0" borderId="19" xfId="0" applyNumberFormat="1" applyFont="1" applyBorder="1" applyAlignment="1">
      <alignment horizontal="center" vertical="center" textRotation="90" shrinkToFit="1"/>
    </xf>
    <xf numFmtId="3" fontId="2" fillId="0" borderId="39" xfId="0" applyNumberFormat="1" applyFont="1" applyBorder="1" applyAlignment="1">
      <alignment horizontal="center" vertical="center" shrinkToFit="1"/>
    </xf>
    <xf numFmtId="3" fontId="2" fillId="0" borderId="42" xfId="0" applyNumberFormat="1" applyFont="1" applyBorder="1" applyAlignment="1">
      <alignment horizontal="center" vertical="center" shrinkToFit="1"/>
    </xf>
    <xf numFmtId="3" fontId="2" fillId="0" borderId="50" xfId="0" applyNumberFormat="1" applyFont="1" applyBorder="1" applyAlignment="1">
      <alignment horizontal="center" vertical="center" shrinkToFit="1"/>
    </xf>
    <xf numFmtId="0" fontId="4" fillId="6" borderId="32" xfId="0" applyFont="1" applyFill="1" applyBorder="1" applyAlignment="1">
      <alignment vertical="top" wrapText="1"/>
    </xf>
    <xf numFmtId="0" fontId="4" fillId="0" borderId="21" xfId="0" applyFont="1" applyBorder="1" applyAlignment="1">
      <alignment horizontal="center" vertical="center" textRotation="90" shrinkToFit="1"/>
    </xf>
    <xf numFmtId="0" fontId="4" fillId="0" borderId="14" xfId="0" applyFont="1" applyBorder="1" applyAlignment="1">
      <alignment horizontal="center" vertical="center" textRotation="90" shrinkToFit="1"/>
    </xf>
    <xf numFmtId="0" fontId="2" fillId="0" borderId="39" xfId="0" applyFont="1" applyBorder="1" applyAlignment="1">
      <alignment horizontal="center" vertical="center" textRotation="90" wrapText="1"/>
    </xf>
    <xf numFmtId="0" fontId="2" fillId="0" borderId="42" xfId="0" applyFont="1" applyBorder="1" applyAlignment="1">
      <alignment horizontal="center" vertical="center" textRotation="90" wrapText="1"/>
    </xf>
    <xf numFmtId="0" fontId="2" fillId="0" borderId="32" xfId="0" applyFont="1" applyBorder="1" applyAlignment="1">
      <alignment horizontal="center" vertical="center" wrapText="1"/>
    </xf>
    <xf numFmtId="0" fontId="4" fillId="0" borderId="46" xfId="0" applyFont="1" applyBorder="1" applyAlignment="1">
      <alignment horizontal="center" vertical="center" textRotation="90" shrinkToFit="1"/>
    </xf>
    <xf numFmtId="0" fontId="4" fillId="0" borderId="45" xfId="0" applyFont="1" applyBorder="1" applyAlignment="1">
      <alignment horizontal="center" vertical="center" textRotation="90" shrinkToFit="1"/>
    </xf>
    <xf numFmtId="0" fontId="2" fillId="6" borderId="8" xfId="0" applyFont="1" applyFill="1" applyBorder="1" applyAlignment="1">
      <alignment horizontal="left" vertical="top" wrapText="1"/>
    </xf>
    <xf numFmtId="0" fontId="2" fillId="6" borderId="5" xfId="1" applyFont="1" applyFill="1" applyBorder="1" applyAlignment="1">
      <alignment vertical="top" wrapText="1"/>
    </xf>
    <xf numFmtId="0" fontId="6" fillId="6" borderId="8" xfId="0" applyFont="1" applyFill="1" applyBorder="1" applyAlignment="1">
      <alignment vertical="top" wrapText="1"/>
    </xf>
    <xf numFmtId="0" fontId="2" fillId="6" borderId="8" xfId="1" applyFont="1" applyFill="1" applyBorder="1" applyAlignment="1">
      <alignment vertical="top" wrapText="1"/>
    </xf>
    <xf numFmtId="0" fontId="4" fillId="6" borderId="8" xfId="0" applyFont="1" applyFill="1" applyBorder="1" applyAlignment="1">
      <alignment vertical="top" wrapText="1"/>
    </xf>
    <xf numFmtId="0" fontId="6" fillId="6" borderId="18" xfId="0" applyFont="1" applyFill="1" applyBorder="1" applyAlignment="1">
      <alignment vertical="top" wrapText="1"/>
    </xf>
    <xf numFmtId="0" fontId="2" fillId="6" borderId="77" xfId="1" applyFont="1" applyFill="1" applyBorder="1" applyAlignment="1">
      <alignment horizontal="left" vertical="top" wrapText="1"/>
    </xf>
    <xf numFmtId="0" fontId="2" fillId="6" borderId="8" xfId="1" applyFont="1" applyFill="1" applyBorder="1" applyAlignment="1">
      <alignment horizontal="left" vertical="top" wrapText="1"/>
    </xf>
    <xf numFmtId="0" fontId="2" fillId="6" borderId="5" xfId="1" applyFont="1" applyFill="1" applyBorder="1" applyAlignment="1">
      <alignment horizontal="left" vertical="top" wrapText="1"/>
    </xf>
    <xf numFmtId="0" fontId="2" fillId="6" borderId="8" xfId="0" applyFont="1" applyFill="1" applyBorder="1" applyAlignment="1">
      <alignment vertical="top" wrapText="1"/>
    </xf>
    <xf numFmtId="0" fontId="2" fillId="6" borderId="18" xfId="1" applyFont="1" applyFill="1" applyBorder="1" applyAlignment="1">
      <alignment horizontal="left" vertical="top" wrapText="1"/>
    </xf>
    <xf numFmtId="0" fontId="2" fillId="6" borderId="77" xfId="0" applyFont="1" applyFill="1" applyBorder="1" applyAlignment="1">
      <alignment vertical="top" wrapText="1"/>
    </xf>
    <xf numFmtId="0" fontId="6" fillId="6" borderId="78" xfId="0" applyFont="1" applyFill="1" applyBorder="1" applyAlignment="1">
      <alignment vertical="top" wrapText="1"/>
    </xf>
    <xf numFmtId="0" fontId="2" fillId="0" borderId="77" xfId="0" applyFont="1" applyBorder="1" applyAlignment="1">
      <alignment horizontal="left" vertical="top" wrapText="1"/>
    </xf>
    <xf numFmtId="0" fontId="2" fillId="0" borderId="8" xfId="0" applyFont="1" applyBorder="1" applyAlignment="1">
      <alignment horizontal="left" vertical="top" wrapText="1"/>
    </xf>
    <xf numFmtId="0" fontId="2" fillId="3" borderId="51" xfId="0" applyFont="1" applyFill="1" applyBorder="1" applyAlignment="1">
      <alignment horizontal="center" vertical="top" wrapText="1"/>
    </xf>
    <xf numFmtId="0" fontId="2" fillId="3" borderId="54" xfId="0" applyFont="1" applyFill="1" applyBorder="1" applyAlignment="1">
      <alignment horizontal="center" vertical="top" wrapText="1"/>
    </xf>
    <xf numFmtId="0" fontId="2" fillId="3" borderId="55" xfId="0" applyFont="1" applyFill="1" applyBorder="1" applyAlignment="1">
      <alignment horizontal="center" vertical="top" wrapText="1"/>
    </xf>
    <xf numFmtId="0" fontId="4" fillId="9" borderId="54" xfId="0" applyFont="1" applyFill="1" applyBorder="1" applyAlignment="1">
      <alignment horizontal="left" vertical="top" wrapText="1"/>
    </xf>
    <xf numFmtId="0" fontId="4" fillId="9" borderId="55" xfId="0" applyFont="1" applyFill="1" applyBorder="1" applyAlignment="1">
      <alignment horizontal="left" vertical="top" wrapText="1"/>
    </xf>
    <xf numFmtId="0" fontId="4" fillId="9" borderId="33" xfId="0" applyFont="1" applyFill="1" applyBorder="1" applyAlignment="1">
      <alignment vertical="center"/>
    </xf>
    <xf numFmtId="0" fontId="2" fillId="6" borderId="5" xfId="0" applyFont="1" applyFill="1" applyBorder="1" applyAlignment="1">
      <alignment vertical="top" wrapText="1"/>
    </xf>
    <xf numFmtId="0" fontId="2" fillId="6" borderId="77" xfId="0" applyFont="1" applyFill="1" applyBorder="1" applyAlignment="1">
      <alignment horizontal="left" vertical="top" wrapText="1"/>
    </xf>
    <xf numFmtId="0" fontId="2" fillId="6" borderId="78" xfId="0" applyFont="1" applyFill="1" applyBorder="1" applyAlignment="1">
      <alignment horizontal="left" vertical="top" wrapText="1"/>
    </xf>
    <xf numFmtId="3" fontId="2" fillId="6" borderId="5" xfId="0" applyNumberFormat="1" applyFont="1" applyFill="1" applyBorder="1" applyAlignment="1">
      <alignment horizontal="left" vertical="top" wrapText="1"/>
    </xf>
    <xf numFmtId="3" fontId="2" fillId="6" borderId="8" xfId="0" applyNumberFormat="1" applyFont="1" applyFill="1" applyBorder="1" applyAlignment="1">
      <alignment horizontal="left" vertical="top" wrapText="1"/>
    </xf>
    <xf numFmtId="3" fontId="2" fillId="6" borderId="18" xfId="0" applyNumberFormat="1" applyFont="1" applyFill="1" applyBorder="1" applyAlignment="1">
      <alignment horizontal="left" vertical="top" wrapText="1"/>
    </xf>
    <xf numFmtId="3" fontId="2" fillId="0" borderId="5" xfId="0" applyNumberFormat="1" applyFont="1" applyFill="1" applyBorder="1" applyAlignment="1">
      <alignment horizontal="left" vertical="top" wrapText="1"/>
    </xf>
    <xf numFmtId="3" fontId="2" fillId="0" borderId="18" xfId="0" applyNumberFormat="1" applyFont="1" applyFill="1" applyBorder="1" applyAlignment="1">
      <alignment horizontal="left" vertical="top" wrapText="1"/>
    </xf>
    <xf numFmtId="3" fontId="2" fillId="0" borderId="5" xfId="0" applyNumberFormat="1" applyFont="1" applyFill="1" applyBorder="1" applyAlignment="1">
      <alignment horizontal="center" vertical="top" wrapText="1"/>
    </xf>
    <xf numFmtId="3" fontId="2" fillId="0" borderId="8" xfId="0" applyNumberFormat="1" applyFont="1" applyFill="1" applyBorder="1" applyAlignment="1">
      <alignment horizontal="center" vertical="top" wrapText="1"/>
    </xf>
    <xf numFmtId="0" fontId="2" fillId="6" borderId="18" xfId="0" applyFont="1" applyFill="1" applyBorder="1" applyAlignment="1">
      <alignment horizontal="left" vertical="top" wrapText="1"/>
    </xf>
    <xf numFmtId="0" fontId="2" fillId="6" borderId="77" xfId="1" applyFont="1" applyFill="1" applyBorder="1" applyAlignment="1">
      <alignment vertical="top" wrapText="1"/>
    </xf>
    <xf numFmtId="0" fontId="2" fillId="10" borderId="51" xfId="0" applyFont="1" applyFill="1" applyBorder="1" applyAlignment="1">
      <alignment horizontal="center" vertical="top" wrapText="1"/>
    </xf>
    <xf numFmtId="3" fontId="9" fillId="6" borderId="5" xfId="0" applyNumberFormat="1" applyFont="1" applyFill="1" applyBorder="1" applyAlignment="1">
      <alignment horizontal="left" vertical="top" wrapText="1"/>
    </xf>
    <xf numFmtId="3" fontId="9" fillId="6" borderId="8" xfId="0" applyNumberFormat="1" applyFont="1" applyFill="1" applyBorder="1" applyAlignment="1">
      <alignment horizontal="left" vertical="top" wrapText="1"/>
    </xf>
    <xf numFmtId="3" fontId="9" fillId="6" borderId="18" xfId="0" applyNumberFormat="1" applyFont="1" applyFill="1" applyBorder="1" applyAlignment="1">
      <alignment horizontal="left" vertical="top" wrapText="1"/>
    </xf>
    <xf numFmtId="3" fontId="2" fillId="6" borderId="77" xfId="0" applyNumberFormat="1" applyFont="1" applyFill="1" applyBorder="1" applyAlignment="1">
      <alignment horizontal="left" vertical="top" wrapText="1"/>
    </xf>
    <xf numFmtId="0" fontId="2" fillId="6" borderId="38" xfId="0" applyNumberFormat="1" applyFont="1" applyFill="1" applyBorder="1" applyAlignment="1">
      <alignment horizontal="left" vertical="top" wrapText="1"/>
    </xf>
    <xf numFmtId="0" fontId="9" fillId="6" borderId="8" xfId="0" applyNumberFormat="1" applyFont="1" applyFill="1" applyBorder="1" applyAlignment="1">
      <alignment horizontal="left" vertical="top" wrapText="1"/>
    </xf>
    <xf numFmtId="0" fontId="9" fillId="6" borderId="53" xfId="0" applyNumberFormat="1" applyFont="1" applyFill="1" applyBorder="1" applyAlignment="1">
      <alignment horizontal="left" vertical="top" wrapText="1"/>
    </xf>
    <xf numFmtId="165" fontId="2" fillId="6" borderId="38" xfId="0" applyNumberFormat="1" applyFont="1" applyFill="1" applyBorder="1" applyAlignment="1">
      <alignment horizontal="left" vertical="top" wrapText="1"/>
    </xf>
    <xf numFmtId="165" fontId="2" fillId="6" borderId="8" xfId="0" applyNumberFormat="1" applyFont="1" applyFill="1" applyBorder="1" applyAlignment="1">
      <alignment horizontal="left" vertical="top" wrapText="1"/>
    </xf>
    <xf numFmtId="165" fontId="2" fillId="6" borderId="18" xfId="0" applyNumberFormat="1" applyFont="1" applyFill="1" applyBorder="1" applyAlignment="1">
      <alignment horizontal="left" vertical="top" wrapText="1"/>
    </xf>
    <xf numFmtId="3" fontId="2" fillId="0" borderId="46" xfId="0" applyNumberFormat="1" applyFont="1" applyFill="1" applyBorder="1" applyAlignment="1">
      <alignment horizontal="center" vertical="top" wrapText="1"/>
    </xf>
    <xf numFmtId="3" fontId="2" fillId="0" borderId="45" xfId="0" applyNumberFormat="1" applyFont="1" applyFill="1" applyBorder="1" applyAlignment="1">
      <alignment horizontal="center" vertical="top" wrapText="1"/>
    </xf>
    <xf numFmtId="0" fontId="2" fillId="0" borderId="59" xfId="0" applyFont="1" applyBorder="1" applyAlignment="1">
      <alignment horizontal="center" vertical="center"/>
    </xf>
    <xf numFmtId="0" fontId="4" fillId="0" borderId="38" xfId="0" applyFont="1" applyBorder="1" applyAlignment="1">
      <alignment horizontal="center" vertical="center"/>
    </xf>
    <xf numFmtId="0" fontId="4" fillId="0" borderId="8" xfId="0" applyFont="1" applyBorder="1" applyAlignment="1">
      <alignment horizontal="center" vertical="center"/>
    </xf>
    <xf numFmtId="0" fontId="4" fillId="0" borderId="53" xfId="0" applyFont="1" applyBorder="1" applyAlignment="1">
      <alignment horizontal="center" vertical="center"/>
    </xf>
    <xf numFmtId="0" fontId="2" fillId="6" borderId="38" xfId="0" applyFont="1" applyFill="1" applyBorder="1" applyAlignment="1">
      <alignment horizontal="left" vertical="top" wrapText="1"/>
    </xf>
    <xf numFmtId="3" fontId="2" fillId="6" borderId="38" xfId="0" applyNumberFormat="1" applyFont="1" applyFill="1" applyBorder="1" applyAlignment="1">
      <alignment horizontal="left" vertical="top" wrapText="1"/>
    </xf>
    <xf numFmtId="165" fontId="2" fillId="6" borderId="5" xfId="1" applyNumberFormat="1" applyFont="1" applyFill="1" applyBorder="1" applyAlignment="1">
      <alignment horizontal="left" vertical="top" wrapText="1"/>
    </xf>
    <xf numFmtId="165" fontId="2" fillId="6" borderId="8" xfId="1" applyNumberFormat="1" applyFont="1" applyFill="1" applyBorder="1" applyAlignment="1">
      <alignment horizontal="left" vertical="top" wrapText="1"/>
    </xf>
    <xf numFmtId="165" fontId="2" fillId="6" borderId="18" xfId="1" applyNumberFormat="1" applyFont="1" applyFill="1" applyBorder="1" applyAlignment="1">
      <alignment horizontal="left" vertical="top" wrapText="1"/>
    </xf>
    <xf numFmtId="3" fontId="2" fillId="6" borderId="5" xfId="1" applyNumberFormat="1" applyFont="1" applyFill="1" applyBorder="1" applyAlignment="1">
      <alignment horizontal="left" vertical="top" wrapText="1"/>
    </xf>
    <xf numFmtId="3" fontId="2" fillId="6" borderId="18" xfId="1" applyNumberFormat="1" applyFont="1" applyFill="1" applyBorder="1" applyAlignment="1">
      <alignment horizontal="left" vertical="top" wrapText="1"/>
    </xf>
    <xf numFmtId="3" fontId="2" fillId="0" borderId="38" xfId="0" applyNumberFormat="1" applyFont="1" applyFill="1" applyBorder="1" applyAlignment="1">
      <alignment horizontal="center" vertical="top" wrapText="1"/>
    </xf>
    <xf numFmtId="3" fontId="2" fillId="6" borderId="8" xfId="1" applyNumberFormat="1" applyFont="1" applyFill="1" applyBorder="1" applyAlignment="1">
      <alignment horizontal="left" vertical="top" wrapText="1"/>
    </xf>
    <xf numFmtId="165" fontId="2" fillId="6" borderId="5" xfId="0" applyNumberFormat="1" applyFont="1" applyFill="1" applyBorder="1" applyAlignment="1">
      <alignment horizontal="left" vertical="top" wrapText="1"/>
    </xf>
    <xf numFmtId="0" fontId="28" fillId="0" borderId="0" xfId="0" applyFont="1" applyAlignment="1">
      <alignment horizontal="right" vertical="top" wrapText="1"/>
    </xf>
    <xf numFmtId="3" fontId="27" fillId="6" borderId="8" xfId="0" applyNumberFormat="1" applyFont="1" applyFill="1" applyBorder="1" applyAlignment="1">
      <alignment horizontal="left" vertical="top" wrapText="1"/>
    </xf>
    <xf numFmtId="3" fontId="27" fillId="6" borderId="18" xfId="0" applyNumberFormat="1" applyFont="1" applyFill="1" applyBorder="1" applyAlignment="1">
      <alignment horizontal="left" vertical="top" wrapText="1"/>
    </xf>
    <xf numFmtId="49" fontId="2" fillId="6" borderId="5" xfId="0" applyNumberFormat="1" applyFont="1" applyFill="1" applyBorder="1" applyAlignment="1">
      <alignment horizontal="center" vertical="top" wrapText="1"/>
    </xf>
    <xf numFmtId="49" fontId="2" fillId="6" borderId="8" xfId="0" applyNumberFormat="1" applyFont="1" applyFill="1" applyBorder="1" applyAlignment="1">
      <alignment horizontal="center" vertical="top" wrapText="1"/>
    </xf>
    <xf numFmtId="0" fontId="6" fillId="0" borderId="8" xfId="0" applyFont="1" applyBorder="1" applyAlignment="1">
      <alignment horizontal="center" vertical="top" wrapText="1"/>
    </xf>
    <xf numFmtId="0" fontId="2" fillId="0" borderId="8" xfId="0" applyFont="1" applyFill="1" applyBorder="1" applyAlignment="1">
      <alignment horizontal="center" vertical="center" wrapText="1"/>
    </xf>
    <xf numFmtId="3" fontId="2" fillId="0" borderId="7" xfId="0" applyNumberFormat="1" applyFont="1" applyFill="1" applyBorder="1" applyAlignment="1">
      <alignment horizontal="center" vertical="top" wrapText="1"/>
    </xf>
    <xf numFmtId="3" fontId="2" fillId="0" borderId="9" xfId="0" applyNumberFormat="1" applyFont="1" applyFill="1" applyBorder="1" applyAlignment="1">
      <alignment horizontal="center" vertical="top" wrapText="1"/>
    </xf>
    <xf numFmtId="49" fontId="2" fillId="6" borderId="16" xfId="0" applyNumberFormat="1" applyFont="1" applyFill="1" applyBorder="1" applyAlignment="1">
      <alignment horizontal="center" vertical="center" textRotation="90"/>
    </xf>
    <xf numFmtId="49" fontId="2" fillId="6" borderId="26" xfId="0" applyNumberFormat="1" applyFont="1" applyFill="1" applyBorder="1" applyAlignment="1">
      <alignment horizontal="center" vertical="center" textRotation="90"/>
    </xf>
    <xf numFmtId="0" fontId="2" fillId="6" borderId="16" xfId="0" applyFont="1" applyFill="1" applyBorder="1" applyAlignment="1">
      <alignment horizontal="center" vertical="center" textRotation="90" wrapText="1"/>
    </xf>
    <xf numFmtId="0" fontId="2" fillId="6" borderId="13" xfId="0" applyFont="1" applyFill="1" applyBorder="1" applyAlignment="1">
      <alignment horizontal="center" vertical="center" textRotation="90" wrapText="1"/>
    </xf>
    <xf numFmtId="0" fontId="2" fillId="6" borderId="26" xfId="0" applyFont="1" applyFill="1" applyBorder="1" applyAlignment="1">
      <alignment horizontal="center" vertical="center" textRotation="90" wrapText="1"/>
    </xf>
    <xf numFmtId="0" fontId="2" fillId="6" borderId="5" xfId="0" applyFont="1" applyFill="1" applyBorder="1" applyAlignment="1">
      <alignment horizontal="left" vertical="top" wrapText="1"/>
    </xf>
    <xf numFmtId="3" fontId="2" fillId="0" borderId="26" xfId="0" applyNumberFormat="1" applyFont="1" applyFill="1" applyBorder="1" applyAlignment="1">
      <alignment horizontal="center" vertical="top" wrapText="1"/>
    </xf>
    <xf numFmtId="3" fontId="2" fillId="0" borderId="25" xfId="0" applyNumberFormat="1" applyFont="1" applyFill="1" applyBorder="1" applyAlignment="1">
      <alignment horizontal="center" vertical="top" wrapText="1"/>
    </xf>
    <xf numFmtId="49" fontId="2" fillId="6" borderId="13" xfId="0" applyNumberFormat="1" applyFont="1" applyFill="1" applyBorder="1" applyAlignment="1">
      <alignment horizontal="center" vertical="center" textRotation="90" wrapText="1"/>
    </xf>
    <xf numFmtId="49" fontId="2" fillId="6" borderId="26" xfId="0" applyNumberFormat="1" applyFont="1" applyFill="1" applyBorder="1" applyAlignment="1">
      <alignment horizontal="center" vertical="center" textRotation="90" wrapText="1"/>
    </xf>
    <xf numFmtId="49" fontId="4" fillId="6" borderId="16" xfId="0" applyNumberFormat="1" applyFont="1" applyFill="1" applyBorder="1" applyAlignment="1">
      <alignment horizontal="center" vertical="top"/>
    </xf>
    <xf numFmtId="49" fontId="4" fillId="6" borderId="26" xfId="0" applyNumberFormat="1" applyFont="1" applyFill="1" applyBorder="1" applyAlignment="1">
      <alignment horizontal="center" vertical="top"/>
    </xf>
    <xf numFmtId="0" fontId="6" fillId="6" borderId="18" xfId="0" applyFont="1" applyFill="1" applyBorder="1" applyAlignment="1">
      <alignment horizontal="left" vertical="top" wrapText="1"/>
    </xf>
    <xf numFmtId="49" fontId="2" fillId="6" borderId="18" xfId="0" applyNumberFormat="1" applyFont="1" applyFill="1" applyBorder="1" applyAlignment="1">
      <alignment horizontal="center" vertical="top" wrapText="1"/>
    </xf>
    <xf numFmtId="49" fontId="4" fillId="6" borderId="16" xfId="0" applyNumberFormat="1" applyFont="1" applyFill="1" applyBorder="1" applyAlignment="1">
      <alignment horizontal="center" vertical="top" wrapText="1"/>
    </xf>
    <xf numFmtId="49" fontId="4" fillId="6" borderId="13" xfId="0" applyNumberFormat="1" applyFont="1" applyFill="1" applyBorder="1" applyAlignment="1">
      <alignment horizontal="center" vertical="top" wrapText="1"/>
    </xf>
    <xf numFmtId="49" fontId="4" fillId="6" borderId="26" xfId="0" applyNumberFormat="1" applyFont="1" applyFill="1" applyBorder="1" applyAlignment="1">
      <alignment horizontal="center" vertical="top" wrapText="1"/>
    </xf>
    <xf numFmtId="49" fontId="2" fillId="0" borderId="5"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49" fontId="2" fillId="0" borderId="18" xfId="0" applyNumberFormat="1" applyFont="1" applyBorder="1" applyAlignment="1">
      <alignment horizontal="center" vertical="top" wrapText="1"/>
    </xf>
    <xf numFmtId="49" fontId="4" fillId="6" borderId="13" xfId="0" applyNumberFormat="1" applyFont="1" applyFill="1" applyBorder="1" applyAlignment="1">
      <alignment horizontal="center" vertical="top"/>
    </xf>
    <xf numFmtId="0" fontId="6" fillId="6" borderId="13" xfId="0" applyFont="1" applyFill="1" applyBorder="1" applyAlignment="1">
      <alignment horizontal="left" vertical="top" wrapText="1"/>
    </xf>
    <xf numFmtId="3" fontId="2" fillId="0" borderId="15" xfId="0" applyNumberFormat="1" applyFont="1" applyFill="1" applyBorder="1" applyAlignment="1">
      <alignment horizontal="center" vertical="top" wrapText="1"/>
    </xf>
    <xf numFmtId="0" fontId="2" fillId="6" borderId="8" xfId="0" applyFont="1" applyFill="1" applyBorder="1" applyAlignment="1">
      <alignment horizontal="center" vertical="top" wrapText="1"/>
    </xf>
    <xf numFmtId="49" fontId="2" fillId="6" borderId="38" xfId="0" applyNumberFormat="1" applyFont="1" applyFill="1" applyBorder="1" applyAlignment="1">
      <alignment horizontal="center" vertical="center" wrapText="1"/>
    </xf>
    <xf numFmtId="0" fontId="6" fillId="0" borderId="8" xfId="0" applyFont="1" applyBorder="1" applyAlignment="1">
      <alignment horizontal="center" vertical="center"/>
    </xf>
    <xf numFmtId="0" fontId="2" fillId="0" borderId="7"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49" fontId="4" fillId="0" borderId="34" xfId="0" applyNumberFormat="1" applyFont="1" applyBorder="1" applyAlignment="1">
      <alignment horizontal="center" vertical="top"/>
    </xf>
    <xf numFmtId="49" fontId="4" fillId="0" borderId="0" xfId="0" applyNumberFormat="1" applyFont="1" applyBorder="1" applyAlignment="1">
      <alignment horizontal="center" vertical="top"/>
    </xf>
    <xf numFmtId="49" fontId="4" fillId="0" borderId="41" xfId="0" applyNumberFormat="1" applyFont="1" applyBorder="1" applyAlignment="1">
      <alignment horizontal="center" vertical="top"/>
    </xf>
    <xf numFmtId="0" fontId="19" fillId="0" borderId="0" xfId="0" applyFont="1" applyAlignment="1">
      <alignment horizontal="right" vertical="top" wrapText="1"/>
    </xf>
    <xf numFmtId="3" fontId="2" fillId="6" borderId="26" xfId="0" applyNumberFormat="1" applyFont="1" applyFill="1" applyBorder="1" applyAlignment="1">
      <alignment horizontal="left" vertical="top" wrapText="1"/>
    </xf>
    <xf numFmtId="3" fontId="4" fillId="6" borderId="24" xfId="0" applyNumberFormat="1" applyFont="1" applyFill="1" applyBorder="1" applyAlignment="1">
      <alignment horizontal="center" vertical="top" wrapText="1"/>
    </xf>
    <xf numFmtId="49" fontId="4" fillId="0" borderId="16"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2" fillId="6" borderId="5"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0" borderId="21"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10" xfId="0" applyFont="1" applyBorder="1" applyAlignment="1">
      <alignment horizontal="center" vertical="center" textRotation="90" wrapText="1"/>
    </xf>
    <xf numFmtId="0" fontId="4" fillId="3" borderId="29" xfId="0" applyFont="1" applyFill="1" applyBorder="1" applyAlignment="1">
      <alignment horizontal="left" vertical="top" wrapText="1"/>
    </xf>
    <xf numFmtId="0" fontId="4" fillId="3" borderId="35"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44" xfId="0" applyFont="1" applyFill="1" applyBorder="1" applyAlignment="1">
      <alignment horizontal="left" vertical="top" wrapText="1"/>
    </xf>
    <xf numFmtId="0" fontId="2" fillId="6" borderId="5" xfId="0" applyFont="1" applyFill="1" applyBorder="1" applyAlignment="1">
      <alignment horizontal="center" wrapText="1"/>
    </xf>
    <xf numFmtId="0" fontId="2" fillId="6" borderId="8" xfId="0" applyFont="1" applyFill="1" applyBorder="1" applyAlignment="1">
      <alignment horizontal="center" wrapText="1"/>
    </xf>
    <xf numFmtId="0" fontId="2" fillId="6" borderId="18" xfId="0" applyFont="1" applyFill="1" applyBorder="1" applyAlignment="1">
      <alignment horizontal="center" wrapText="1"/>
    </xf>
    <xf numFmtId="0" fontId="2" fillId="0" borderId="22" xfId="0" applyFont="1" applyBorder="1" applyAlignment="1">
      <alignment horizontal="center" vertical="center" textRotation="90" wrapText="1"/>
    </xf>
    <xf numFmtId="3" fontId="2" fillId="0" borderId="38" xfId="0" applyNumberFormat="1" applyFont="1" applyFill="1" applyBorder="1" applyAlignment="1">
      <alignment horizontal="center" vertical="center" wrapText="1" shrinkToFit="1"/>
    </xf>
    <xf numFmtId="3" fontId="2" fillId="0" borderId="8" xfId="0" applyNumberFormat="1" applyFont="1" applyFill="1" applyBorder="1" applyAlignment="1">
      <alignment horizontal="center" vertical="center" wrapText="1" shrinkToFit="1"/>
    </xf>
    <xf numFmtId="3" fontId="2" fillId="0" borderId="53" xfId="0" applyNumberFormat="1" applyFont="1" applyFill="1" applyBorder="1" applyAlignment="1">
      <alignment horizontal="center" vertical="center" wrapText="1" shrinkToFit="1"/>
    </xf>
    <xf numFmtId="49" fontId="2" fillId="6" borderId="77" xfId="0" applyNumberFormat="1" applyFont="1" applyFill="1" applyBorder="1" applyAlignment="1">
      <alignment horizontal="center" vertical="center" wrapText="1"/>
    </xf>
    <xf numFmtId="49" fontId="2" fillId="6" borderId="8" xfId="0" applyNumberFormat="1" applyFont="1" applyFill="1" applyBorder="1" applyAlignment="1">
      <alignment horizontal="center" vertical="center" wrapText="1"/>
    </xf>
    <xf numFmtId="49" fontId="4" fillId="3" borderId="50" xfId="0" applyNumberFormat="1" applyFont="1" applyFill="1" applyBorder="1" applyAlignment="1">
      <alignment horizontal="right" vertical="top"/>
    </xf>
    <xf numFmtId="49" fontId="4" fillId="3" borderId="22" xfId="0" applyNumberFormat="1" applyFont="1" applyFill="1" applyBorder="1" applyAlignment="1">
      <alignment horizontal="right" vertical="top"/>
    </xf>
    <xf numFmtId="0" fontId="6" fillId="6" borderId="8" xfId="0" applyFont="1" applyFill="1" applyBorder="1" applyAlignment="1">
      <alignment horizontal="center" vertical="top" wrapText="1"/>
    </xf>
    <xf numFmtId="0" fontId="2" fillId="6" borderId="77" xfId="0" applyFont="1" applyFill="1" applyBorder="1" applyAlignment="1">
      <alignment horizontal="center" vertical="top" wrapText="1"/>
    </xf>
    <xf numFmtId="0" fontId="2" fillId="6" borderId="18" xfId="0" applyFont="1" applyFill="1" applyBorder="1" applyAlignment="1">
      <alignment horizontal="center" vertical="top" wrapText="1"/>
    </xf>
    <xf numFmtId="0" fontId="6" fillId="6" borderId="8" xfId="0" applyFont="1" applyFill="1" applyBorder="1" applyAlignment="1">
      <alignment horizontal="center" vertical="center" wrapText="1"/>
    </xf>
    <xf numFmtId="49" fontId="2" fillId="6" borderId="49" xfId="0" applyNumberFormat="1" applyFont="1" applyFill="1" applyBorder="1" applyAlignment="1">
      <alignment horizontal="center" vertical="top" wrapText="1"/>
    </xf>
    <xf numFmtId="49" fontId="4" fillId="0" borderId="16" xfId="0" applyNumberFormat="1" applyFont="1" applyBorder="1" applyAlignment="1">
      <alignment horizontal="center" vertical="top"/>
    </xf>
    <xf numFmtId="49" fontId="4" fillId="0" borderId="26" xfId="0" applyNumberFormat="1" applyFont="1" applyBorder="1" applyAlignment="1">
      <alignment horizontal="center" vertical="top"/>
    </xf>
    <xf numFmtId="49" fontId="2" fillId="6" borderId="77" xfId="0" applyNumberFormat="1" applyFont="1" applyFill="1" applyBorder="1" applyAlignment="1">
      <alignment horizontal="center" vertical="top" wrapText="1"/>
    </xf>
    <xf numFmtId="49" fontId="4" fillId="6" borderId="0" xfId="0" applyNumberFormat="1" applyFont="1" applyFill="1" applyBorder="1" applyAlignment="1">
      <alignment horizontal="center" vertical="top"/>
    </xf>
    <xf numFmtId="0" fontId="2" fillId="6" borderId="24" xfId="0" applyFont="1" applyFill="1" applyBorder="1" applyAlignment="1">
      <alignment horizontal="center" vertical="center" textRotation="90" wrapText="1"/>
    </xf>
    <xf numFmtId="49" fontId="2" fillId="6" borderId="13" xfId="0" applyNumberFormat="1" applyFont="1" applyFill="1" applyBorder="1" applyAlignment="1">
      <alignment horizontal="center" vertical="center" textRotation="90"/>
    </xf>
    <xf numFmtId="49" fontId="2" fillId="8" borderId="29" xfId="0" applyNumberFormat="1" applyFont="1" applyFill="1" applyBorder="1" applyAlignment="1">
      <alignment horizontal="center" vertical="top"/>
    </xf>
    <xf numFmtId="49" fontId="2" fillId="6" borderId="16" xfId="0" applyNumberFormat="1" applyFont="1" applyFill="1" applyBorder="1" applyAlignment="1">
      <alignment horizontal="center" vertical="top"/>
    </xf>
    <xf numFmtId="49" fontId="2" fillId="6" borderId="26" xfId="0" applyNumberFormat="1" applyFont="1" applyFill="1" applyBorder="1" applyAlignment="1">
      <alignment horizontal="center" vertical="top"/>
    </xf>
    <xf numFmtId="49" fontId="4" fillId="0" borderId="20" xfId="0" applyNumberFormat="1" applyFont="1" applyBorder="1" applyAlignment="1">
      <alignment horizontal="center" vertical="top"/>
    </xf>
    <xf numFmtId="49" fontId="4" fillId="0" borderId="13" xfId="0" applyNumberFormat="1" applyFont="1" applyBorder="1" applyAlignment="1">
      <alignment horizontal="center" vertical="top"/>
    </xf>
  </cellXfs>
  <cellStyles count="4">
    <cellStyle name="Excel Built-in Normal" xfId="3"/>
    <cellStyle name="Įprastas" xfId="0" builtinId="0"/>
    <cellStyle name="Įprastas 2" xfId="1"/>
    <cellStyle name="Stilius 1" xfId="2"/>
  </cellStyles>
  <dxfs count="0"/>
  <tableStyles count="0" defaultTableStyle="TableStyleMedium2" defaultPivotStyle="PivotStyleLight16"/>
  <colors>
    <mruColors>
      <color rgb="FFCCFFCC"/>
      <color rgb="FFCCCCFF"/>
      <color rgb="FFFFCCFF"/>
      <color rgb="FFFFFFCC"/>
      <color rgb="FF99FF99"/>
      <color rgb="FFFF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03"/>
  <sheetViews>
    <sheetView tabSelected="1" zoomScaleNormal="100" zoomScaleSheetLayoutView="90" workbookViewId="0">
      <selection activeCell="L278" sqref="L278"/>
    </sheetView>
  </sheetViews>
  <sheetFormatPr defaultColWidth="9.1796875" defaultRowHeight="13" x14ac:dyDescent="0.25"/>
  <cols>
    <col min="1" max="3" width="2.81640625" style="4" customWidth="1"/>
    <col min="4" max="4" width="32" style="4" customWidth="1"/>
    <col min="5" max="5" width="4.54296875" style="10" customWidth="1"/>
    <col min="6" max="6" width="8.1796875" style="16" customWidth="1"/>
    <col min="7" max="9" width="10.1796875" style="4" customWidth="1"/>
    <col min="10" max="10" width="38.453125" style="4" customWidth="1"/>
    <col min="11" max="12" width="5.1796875" style="16" customWidth="1"/>
    <col min="13" max="13" width="5.1796875" style="4" customWidth="1"/>
    <col min="14" max="16384" width="9.1796875" style="3"/>
  </cols>
  <sheetData>
    <row r="1" spans="1:13" ht="32.25" customHeight="1" x14ac:dyDescent="0.25">
      <c r="G1" s="16"/>
      <c r="H1" s="16"/>
      <c r="I1" s="16"/>
      <c r="J1" s="1804" t="s">
        <v>388</v>
      </c>
      <c r="K1" s="1804"/>
      <c r="L1" s="1804"/>
      <c r="M1" s="1804"/>
    </row>
    <row r="2" spans="1:13" ht="14.25" customHeight="1" x14ac:dyDescent="0.25">
      <c r="G2" s="16"/>
      <c r="H2" s="16"/>
      <c r="I2" s="16"/>
      <c r="J2" s="1804" t="s">
        <v>365</v>
      </c>
      <c r="K2" s="1804"/>
      <c r="L2" s="1804"/>
      <c r="M2" s="1804"/>
    </row>
    <row r="3" spans="1:13" ht="15.75" customHeight="1" x14ac:dyDescent="0.25">
      <c r="G3" s="16"/>
      <c r="H3" s="16"/>
      <c r="I3" s="16"/>
      <c r="J3" s="830"/>
      <c r="K3" s="830"/>
      <c r="L3" s="830"/>
      <c r="M3" s="830"/>
    </row>
    <row r="4" spans="1:13" s="4" customFormat="1" ht="15" customHeight="1" x14ac:dyDescent="0.25">
      <c r="A4" s="1830" t="s">
        <v>364</v>
      </c>
      <c r="B4" s="1830"/>
      <c r="C4" s="1830"/>
      <c r="D4" s="1830"/>
      <c r="E4" s="1830"/>
      <c r="F4" s="1830"/>
      <c r="G4" s="1830"/>
      <c r="H4" s="1830"/>
      <c r="I4" s="1830"/>
      <c r="J4" s="1830"/>
      <c r="K4" s="1830"/>
      <c r="L4" s="1830"/>
      <c r="M4" s="1830"/>
    </row>
    <row r="5" spans="1:13" ht="15" x14ac:dyDescent="0.25">
      <c r="A5" s="1831" t="s">
        <v>24</v>
      </c>
      <c r="B5" s="1831"/>
      <c r="C5" s="1831"/>
      <c r="D5" s="1831"/>
      <c r="E5" s="1831"/>
      <c r="F5" s="1831"/>
      <c r="G5" s="1831"/>
      <c r="H5" s="1831"/>
      <c r="I5" s="1831"/>
      <c r="J5" s="1831"/>
      <c r="K5" s="1831"/>
      <c r="L5" s="1831"/>
      <c r="M5" s="1831"/>
    </row>
    <row r="6" spans="1:13" ht="15.5" x14ac:dyDescent="0.25">
      <c r="A6" s="1832" t="s">
        <v>81</v>
      </c>
      <c r="B6" s="1832"/>
      <c r="C6" s="1832"/>
      <c r="D6" s="1832"/>
      <c r="E6" s="1832"/>
      <c r="F6" s="1832"/>
      <c r="G6" s="1832"/>
      <c r="H6" s="1832"/>
      <c r="I6" s="1832"/>
      <c r="J6" s="1832"/>
      <c r="K6" s="1832"/>
      <c r="L6" s="1832"/>
      <c r="M6" s="1832"/>
    </row>
    <row r="7" spans="1:13" ht="13.5" thickBot="1" x14ac:dyDescent="0.3">
      <c r="J7" s="1833" t="s">
        <v>78</v>
      </c>
      <c r="K7" s="1833"/>
      <c r="L7" s="1833"/>
      <c r="M7" s="1833"/>
    </row>
    <row r="8" spans="1:13" s="31" customFormat="1" ht="24.75" customHeight="1" x14ac:dyDescent="0.25">
      <c r="A8" s="1834" t="s">
        <v>16</v>
      </c>
      <c r="B8" s="1837" t="s">
        <v>0</v>
      </c>
      <c r="C8" s="1837" t="s">
        <v>1</v>
      </c>
      <c r="D8" s="1840" t="s">
        <v>11</v>
      </c>
      <c r="E8" s="1821" t="s">
        <v>2</v>
      </c>
      <c r="F8" s="1824" t="s">
        <v>3</v>
      </c>
      <c r="G8" s="1805" t="s">
        <v>419</v>
      </c>
      <c r="H8" s="1827" t="s">
        <v>420</v>
      </c>
      <c r="I8" s="1805" t="s">
        <v>421</v>
      </c>
      <c r="J8" s="1807" t="s">
        <v>10</v>
      </c>
      <c r="K8" s="1808"/>
      <c r="L8" s="1808"/>
      <c r="M8" s="1809"/>
    </row>
    <row r="9" spans="1:13" s="31" customFormat="1" ht="24.65" customHeight="1" x14ac:dyDescent="0.25">
      <c r="A9" s="1835"/>
      <c r="B9" s="1838"/>
      <c r="C9" s="1838"/>
      <c r="D9" s="1841"/>
      <c r="E9" s="1822"/>
      <c r="F9" s="1825"/>
      <c r="G9" s="1806"/>
      <c r="H9" s="1828"/>
      <c r="I9" s="1806"/>
      <c r="J9" s="1810" t="s">
        <v>11</v>
      </c>
      <c r="K9" s="1812" t="s">
        <v>422</v>
      </c>
      <c r="L9" s="1813"/>
      <c r="M9" s="1814"/>
    </row>
    <row r="10" spans="1:13" s="31" customFormat="1" ht="98.15" customHeight="1" thickBot="1" x14ac:dyDescent="0.3">
      <c r="A10" s="1836"/>
      <c r="B10" s="1839"/>
      <c r="C10" s="1839"/>
      <c r="D10" s="1842"/>
      <c r="E10" s="1823"/>
      <c r="F10" s="1826"/>
      <c r="G10" s="1806"/>
      <c r="H10" s="1829"/>
      <c r="I10" s="1806"/>
      <c r="J10" s="1811"/>
      <c r="K10" s="205" t="s">
        <v>253</v>
      </c>
      <c r="L10" s="1017" t="s">
        <v>255</v>
      </c>
      <c r="M10" s="1023" t="s">
        <v>256</v>
      </c>
    </row>
    <row r="11" spans="1:13" s="9" customFormat="1" ht="15" customHeight="1" x14ac:dyDescent="0.25">
      <c r="A11" s="1815" t="s">
        <v>53</v>
      </c>
      <c r="B11" s="1816"/>
      <c r="C11" s="1816"/>
      <c r="D11" s="1816"/>
      <c r="E11" s="1816"/>
      <c r="F11" s="1816"/>
      <c r="G11" s="1816"/>
      <c r="H11" s="1816"/>
      <c r="I11" s="1816"/>
      <c r="J11" s="1816"/>
      <c r="K11" s="1816"/>
      <c r="L11" s="1816"/>
      <c r="M11" s="1817"/>
    </row>
    <row r="12" spans="1:13" s="9" customFormat="1" ht="14.25" customHeight="1" x14ac:dyDescent="0.25">
      <c r="A12" s="1818" t="s">
        <v>42</v>
      </c>
      <c r="B12" s="1819"/>
      <c r="C12" s="1819"/>
      <c r="D12" s="1819"/>
      <c r="E12" s="1819"/>
      <c r="F12" s="1819"/>
      <c r="G12" s="1819"/>
      <c r="H12" s="1819"/>
      <c r="I12" s="1819"/>
      <c r="J12" s="1819"/>
      <c r="K12" s="1819"/>
      <c r="L12" s="1819"/>
      <c r="M12" s="1820"/>
    </row>
    <row r="13" spans="1:13" ht="15" customHeight="1" x14ac:dyDescent="0.25">
      <c r="A13" s="20" t="s">
        <v>4</v>
      </c>
      <c r="B13" s="1797" t="s">
        <v>54</v>
      </c>
      <c r="C13" s="1798"/>
      <c r="D13" s="1798"/>
      <c r="E13" s="1798"/>
      <c r="F13" s="1798"/>
      <c r="G13" s="1798"/>
      <c r="H13" s="1798"/>
      <c r="I13" s="1798"/>
      <c r="J13" s="1798"/>
      <c r="K13" s="1798"/>
      <c r="L13" s="1798"/>
      <c r="M13" s="1799"/>
    </row>
    <row r="14" spans="1:13" ht="15.75" customHeight="1" thickBot="1" x14ac:dyDescent="0.3">
      <c r="A14" s="1018" t="s">
        <v>4</v>
      </c>
      <c r="B14" s="1019" t="s">
        <v>4</v>
      </c>
      <c r="C14" s="1800" t="s">
        <v>39</v>
      </c>
      <c r="D14" s="1801"/>
      <c r="E14" s="1801"/>
      <c r="F14" s="1801"/>
      <c r="G14" s="1801"/>
      <c r="H14" s="1801"/>
      <c r="I14" s="1801"/>
      <c r="J14" s="1801"/>
      <c r="K14" s="1801"/>
      <c r="L14" s="1801"/>
      <c r="M14" s="1802"/>
    </row>
    <row r="15" spans="1:13" ht="15" customHeight="1" x14ac:dyDescent="0.25">
      <c r="A15" s="997" t="s">
        <v>4</v>
      </c>
      <c r="B15" s="998" t="s">
        <v>4</v>
      </c>
      <c r="C15" s="995" t="s">
        <v>4</v>
      </c>
      <c r="D15" s="1687" t="s">
        <v>75</v>
      </c>
      <c r="E15" s="906"/>
      <c r="F15" s="1013" t="s">
        <v>23</v>
      </c>
      <c r="G15" s="505">
        <f>2524.4+5.4+6.3+16.3-10.9-153.4-60.4-100-50-92+188</f>
        <v>2273.6999999999998</v>
      </c>
      <c r="H15" s="505">
        <f>5576.5+12.4+140.7+50+8.4</f>
        <v>5788</v>
      </c>
      <c r="I15" s="880">
        <f>7606.8+12.4-265.7+50</f>
        <v>7403.5</v>
      </c>
      <c r="J15" s="1843"/>
      <c r="K15" s="1140"/>
      <c r="L15" s="238"/>
      <c r="M15" s="206"/>
    </row>
    <row r="16" spans="1:13" ht="15" customHeight="1" x14ac:dyDescent="0.25">
      <c r="A16" s="986"/>
      <c r="B16" s="999"/>
      <c r="C16" s="995"/>
      <c r="D16" s="1803"/>
      <c r="E16" s="194"/>
      <c r="F16" s="1013" t="s">
        <v>361</v>
      </c>
      <c r="G16" s="505">
        <f>300-188</f>
        <v>112</v>
      </c>
      <c r="H16" s="307"/>
      <c r="I16" s="113"/>
      <c r="J16" s="1843"/>
      <c r="K16" s="238"/>
      <c r="L16" s="238"/>
      <c r="M16" s="206"/>
    </row>
    <row r="17" spans="1:13" ht="15" customHeight="1" x14ac:dyDescent="0.25">
      <c r="A17" s="986"/>
      <c r="B17" s="999"/>
      <c r="C17" s="995"/>
      <c r="D17" s="1803"/>
      <c r="E17" s="194"/>
      <c r="F17" s="1013" t="s">
        <v>243</v>
      </c>
      <c r="G17" s="47">
        <f>1695-64.4</f>
        <v>1630.6</v>
      </c>
      <c r="H17" s="307">
        <v>2132.6</v>
      </c>
      <c r="I17" s="113">
        <v>2559</v>
      </c>
      <c r="J17" s="1843"/>
      <c r="K17" s="238"/>
      <c r="L17" s="238"/>
      <c r="M17" s="206"/>
    </row>
    <row r="18" spans="1:13" ht="15" customHeight="1" x14ac:dyDescent="0.25">
      <c r="A18" s="986"/>
      <c r="B18" s="999"/>
      <c r="C18" s="995"/>
      <c r="D18" s="1803"/>
      <c r="E18" s="194"/>
      <c r="F18" s="1013" t="s">
        <v>38</v>
      </c>
      <c r="G18" s="47">
        <v>33.700000000000003</v>
      </c>
      <c r="H18" s="307">
        <v>33.700000000000003</v>
      </c>
      <c r="I18" s="113">
        <v>33.700000000000003</v>
      </c>
      <c r="J18" s="1843"/>
      <c r="K18" s="238"/>
      <c r="L18" s="238"/>
      <c r="M18" s="206"/>
    </row>
    <row r="19" spans="1:13" ht="15" customHeight="1" x14ac:dyDescent="0.25">
      <c r="A19" s="986"/>
      <c r="B19" s="999"/>
      <c r="C19" s="995"/>
      <c r="D19" s="1803"/>
      <c r="E19" s="194"/>
      <c r="F19" s="1013" t="s">
        <v>159</v>
      </c>
      <c r="G19" s="47">
        <f>2035.7-147.6</f>
        <v>1888.1</v>
      </c>
      <c r="H19" s="307">
        <v>698.9</v>
      </c>
      <c r="I19" s="113"/>
      <c r="J19" s="1843"/>
      <c r="K19" s="238"/>
      <c r="L19" s="238"/>
      <c r="M19" s="206"/>
    </row>
    <row r="20" spans="1:13" ht="15" customHeight="1" x14ac:dyDescent="0.25">
      <c r="A20" s="986"/>
      <c r="B20" s="999"/>
      <c r="C20" s="995"/>
      <c r="D20" s="1803"/>
      <c r="E20" s="194"/>
      <c r="F20" s="1013" t="s">
        <v>158</v>
      </c>
      <c r="G20" s="47">
        <f>179.7-13</f>
        <v>166.7</v>
      </c>
      <c r="H20" s="307">
        <v>61.7</v>
      </c>
      <c r="I20" s="113"/>
      <c r="J20" s="1843"/>
      <c r="K20" s="238"/>
      <c r="L20" s="238"/>
      <c r="M20" s="206"/>
    </row>
    <row r="21" spans="1:13" ht="15" customHeight="1" x14ac:dyDescent="0.25">
      <c r="A21" s="986"/>
      <c r="B21" s="999"/>
      <c r="C21" s="995"/>
      <c r="D21" s="1803"/>
      <c r="E21" s="194"/>
      <c r="F21" s="1013" t="s">
        <v>130</v>
      </c>
      <c r="G21" s="47"/>
      <c r="H21" s="307"/>
      <c r="I21" s="113">
        <v>1500</v>
      </c>
      <c r="J21" s="1843"/>
      <c r="K21" s="238"/>
      <c r="L21" s="238"/>
      <c r="M21" s="206"/>
    </row>
    <row r="22" spans="1:13" ht="15" customHeight="1" x14ac:dyDescent="0.25">
      <c r="A22" s="986"/>
      <c r="B22" s="999"/>
      <c r="C22" s="995"/>
      <c r="D22" s="1803"/>
      <c r="E22" s="194"/>
      <c r="F22" s="1013" t="s">
        <v>337</v>
      </c>
      <c r="G22" s="47">
        <v>22.9</v>
      </c>
      <c r="H22" s="307"/>
      <c r="I22" s="113"/>
      <c r="J22" s="1843"/>
      <c r="K22" s="238"/>
      <c r="L22" s="238"/>
      <c r="M22" s="206"/>
    </row>
    <row r="23" spans="1:13" ht="15" customHeight="1" x14ac:dyDescent="0.25">
      <c r="A23" s="986"/>
      <c r="B23" s="999"/>
      <c r="C23" s="995"/>
      <c r="D23" s="1803"/>
      <c r="E23" s="194"/>
      <c r="F23" s="1013" t="s">
        <v>51</v>
      </c>
      <c r="G23" s="505">
        <f>558-37.5-35.6-67.5-9.3</f>
        <v>408.1</v>
      </c>
      <c r="H23" s="505">
        <f>117.5+102</f>
        <v>219.5</v>
      </c>
      <c r="I23" s="113"/>
      <c r="J23" s="1843"/>
      <c r="K23" s="238"/>
      <c r="L23" s="238"/>
      <c r="M23" s="206"/>
    </row>
    <row r="24" spans="1:13" ht="15" customHeight="1" x14ac:dyDescent="0.25">
      <c r="A24" s="986"/>
      <c r="B24" s="999"/>
      <c r="C24" s="995"/>
      <c r="D24" s="1803"/>
      <c r="E24" s="194"/>
      <c r="F24" s="1013" t="s">
        <v>69</v>
      </c>
      <c r="G24" s="47">
        <v>2.7</v>
      </c>
      <c r="H24" s="307"/>
      <c r="I24" s="113"/>
      <c r="J24" s="1843"/>
      <c r="K24" s="238"/>
      <c r="L24" s="238"/>
      <c r="M24" s="206"/>
    </row>
    <row r="25" spans="1:13" ht="15" customHeight="1" x14ac:dyDescent="0.25">
      <c r="A25" s="986"/>
      <c r="B25" s="999"/>
      <c r="C25" s="995"/>
      <c r="D25" s="1803"/>
      <c r="E25" s="194"/>
      <c r="F25" s="1013" t="s">
        <v>347</v>
      </c>
      <c r="G25" s="47">
        <v>1103.9000000000001</v>
      </c>
      <c r="H25" s="307"/>
      <c r="I25" s="113"/>
      <c r="J25" s="1843"/>
      <c r="K25" s="238"/>
      <c r="L25" s="238"/>
      <c r="M25" s="206"/>
    </row>
    <row r="26" spans="1:13" ht="18.75" customHeight="1" x14ac:dyDescent="0.25">
      <c r="A26" s="986"/>
      <c r="B26" s="999"/>
      <c r="C26" s="995"/>
      <c r="D26" s="1687"/>
      <c r="E26" s="163"/>
      <c r="F26" s="58" t="s">
        <v>346</v>
      </c>
      <c r="G26" s="327">
        <v>79.5</v>
      </c>
      <c r="H26" s="324"/>
      <c r="I26" s="112"/>
      <c r="J26" s="1843"/>
      <c r="K26" s="238"/>
      <c r="L26" s="238"/>
      <c r="M26" s="206"/>
    </row>
    <row r="27" spans="1:13" ht="17.25" customHeight="1" x14ac:dyDescent="0.25">
      <c r="A27" s="986"/>
      <c r="B27" s="999"/>
      <c r="C27" s="995"/>
      <c r="D27" s="1712" t="s">
        <v>112</v>
      </c>
      <c r="E27" s="905" t="s">
        <v>225</v>
      </c>
      <c r="F27" s="1183" t="s">
        <v>366</v>
      </c>
      <c r="G27" s="1184"/>
      <c r="H27" s="1185">
        <v>440</v>
      </c>
      <c r="I27" s="1186">
        <f>1500+2047.9</f>
        <v>3547.9</v>
      </c>
      <c r="J27" s="409" t="s">
        <v>76</v>
      </c>
      <c r="K27" s="377">
        <v>1</v>
      </c>
      <c r="L27" s="377"/>
      <c r="M27" s="168"/>
    </row>
    <row r="28" spans="1:13" ht="12.75" customHeight="1" x14ac:dyDescent="0.25">
      <c r="A28" s="986"/>
      <c r="B28" s="999"/>
      <c r="C28" s="995"/>
      <c r="D28" s="1713"/>
      <c r="E28" s="194" t="s">
        <v>194</v>
      </c>
      <c r="F28" s="1187" t="s">
        <v>367</v>
      </c>
      <c r="G28" s="1188">
        <f>30.4+58.9</f>
        <v>89.3</v>
      </c>
      <c r="H28" s="1189"/>
      <c r="I28" s="1190"/>
      <c r="J28" s="1783" t="s">
        <v>257</v>
      </c>
      <c r="K28" s="240"/>
      <c r="L28" s="240"/>
      <c r="M28" s="104"/>
    </row>
    <row r="29" spans="1:13" ht="13.5" customHeight="1" x14ac:dyDescent="0.25">
      <c r="A29" s="986"/>
      <c r="B29" s="999"/>
      <c r="C29" s="995"/>
      <c r="D29" s="1713"/>
      <c r="E29" s="906" t="s">
        <v>164</v>
      </c>
      <c r="F29" s="1187" t="s">
        <v>368</v>
      </c>
      <c r="G29" s="1188"/>
      <c r="H29" s="1189">
        <v>2132.6</v>
      </c>
      <c r="I29" s="1191">
        <v>2559</v>
      </c>
      <c r="J29" s="1783"/>
      <c r="K29" s="240"/>
      <c r="L29" s="240"/>
      <c r="M29" s="149"/>
    </row>
    <row r="30" spans="1:13" ht="19.5" customHeight="1" x14ac:dyDescent="0.25">
      <c r="A30" s="986"/>
      <c r="B30" s="999"/>
      <c r="C30" s="995"/>
      <c r="D30" s="1713"/>
      <c r="E30" s="905" t="s">
        <v>43</v>
      </c>
      <c r="F30" s="1187"/>
      <c r="G30" s="1188"/>
      <c r="H30" s="1189"/>
      <c r="I30" s="1190"/>
      <c r="J30" s="1353" t="s">
        <v>389</v>
      </c>
      <c r="K30" s="265"/>
      <c r="L30" s="265">
        <v>30</v>
      </c>
      <c r="M30" s="379">
        <v>100</v>
      </c>
    </row>
    <row r="31" spans="1:13" ht="16.5" customHeight="1" x14ac:dyDescent="0.25">
      <c r="A31" s="986"/>
      <c r="B31" s="999"/>
      <c r="C31" s="995"/>
      <c r="D31" s="991"/>
      <c r="E31" s="102"/>
      <c r="F31" s="1187"/>
      <c r="G31" s="1192"/>
      <c r="H31" s="1193"/>
      <c r="I31" s="1194"/>
      <c r="J31" s="1354" t="s">
        <v>390</v>
      </c>
      <c r="K31" s="247"/>
      <c r="L31" s="247"/>
      <c r="M31" s="645">
        <v>30</v>
      </c>
    </row>
    <row r="32" spans="1:13" ht="14.25" customHeight="1" x14ac:dyDescent="0.25">
      <c r="A32" s="986"/>
      <c r="B32" s="999"/>
      <c r="C32" s="995"/>
      <c r="D32" s="1712" t="s">
        <v>131</v>
      </c>
      <c r="E32" s="140" t="s">
        <v>225</v>
      </c>
      <c r="F32" s="1183" t="s">
        <v>366</v>
      </c>
      <c r="G32" s="1184">
        <f>563.3-0.7-5+39.1-300</f>
        <v>296.7</v>
      </c>
      <c r="H32" s="1185">
        <f>392.4-55.1+0.7-0.2</f>
        <v>337.8</v>
      </c>
      <c r="I32" s="1186"/>
      <c r="J32" s="1794" t="s">
        <v>91</v>
      </c>
      <c r="K32" s="239">
        <v>90</v>
      </c>
      <c r="L32" s="239">
        <v>100</v>
      </c>
      <c r="M32" s="168"/>
    </row>
    <row r="33" spans="1:13" ht="13.5" customHeight="1" x14ac:dyDescent="0.25">
      <c r="A33" s="986"/>
      <c r="B33" s="999"/>
      <c r="C33" s="995"/>
      <c r="D33" s="1713"/>
      <c r="E33" s="194" t="s">
        <v>194</v>
      </c>
      <c r="F33" s="1187" t="s">
        <v>369</v>
      </c>
      <c r="G33" s="1188">
        <v>300</v>
      </c>
      <c r="H33" s="1189"/>
      <c r="I33" s="1190"/>
      <c r="J33" s="1795"/>
      <c r="K33" s="240"/>
      <c r="L33" s="240"/>
      <c r="M33" s="149"/>
    </row>
    <row r="34" spans="1:13" ht="13.5" customHeight="1" x14ac:dyDescent="0.25">
      <c r="A34" s="986"/>
      <c r="B34" s="999"/>
      <c r="C34" s="995"/>
      <c r="D34" s="1713"/>
      <c r="E34" s="906" t="s">
        <v>164</v>
      </c>
      <c r="F34" s="1187" t="s">
        <v>370</v>
      </c>
      <c r="G34" s="1188">
        <f>204.6+5.8-66.2</f>
        <v>144.19999999999999</v>
      </c>
      <c r="H34" s="1189">
        <f>61.6+0.1</f>
        <v>61.7</v>
      </c>
      <c r="I34" s="1190"/>
      <c r="J34" s="1795"/>
      <c r="K34" s="240"/>
      <c r="L34" s="240"/>
      <c r="M34" s="149"/>
    </row>
    <row r="35" spans="1:13" ht="13.5" customHeight="1" x14ac:dyDescent="0.25">
      <c r="A35" s="986"/>
      <c r="B35" s="999"/>
      <c r="C35" s="995"/>
      <c r="D35" s="1713"/>
      <c r="E35" s="905" t="s">
        <v>43</v>
      </c>
      <c r="F35" s="1187" t="s">
        <v>371</v>
      </c>
      <c r="G35" s="1188">
        <v>66.2</v>
      </c>
      <c r="H35" s="1189"/>
      <c r="I35" s="1190"/>
      <c r="J35" s="1795"/>
      <c r="K35" s="240"/>
      <c r="L35" s="240"/>
      <c r="M35" s="149"/>
    </row>
    <row r="36" spans="1:13" ht="13.5" customHeight="1" x14ac:dyDescent="0.25">
      <c r="A36" s="986"/>
      <c r="B36" s="999"/>
      <c r="C36" s="995"/>
      <c r="D36" s="1713"/>
      <c r="E36" s="154"/>
      <c r="F36" s="1187" t="s">
        <v>368</v>
      </c>
      <c r="G36" s="1188">
        <v>1500</v>
      </c>
      <c r="H36" s="1189"/>
      <c r="I36" s="1190"/>
      <c r="J36" s="1795"/>
      <c r="K36" s="240"/>
      <c r="L36" s="240"/>
      <c r="M36" s="149"/>
    </row>
    <row r="37" spans="1:13" ht="15.75" customHeight="1" x14ac:dyDescent="0.25">
      <c r="A37" s="986"/>
      <c r="B37" s="999"/>
      <c r="C37" s="995"/>
      <c r="D37" s="1713"/>
      <c r="E37" s="790"/>
      <c r="F37" s="1187" t="s">
        <v>372</v>
      </c>
      <c r="G37" s="1188">
        <f>2522.7-0.6+65.3-952.9</f>
        <v>1634.5</v>
      </c>
      <c r="H37" s="1189">
        <f>698.1+0.6+0.2</f>
        <v>698.9</v>
      </c>
      <c r="I37" s="1190"/>
      <c r="J37" s="1795"/>
      <c r="K37" s="240"/>
      <c r="L37" s="240"/>
      <c r="M37" s="149"/>
    </row>
    <row r="38" spans="1:13" ht="15.75" customHeight="1" x14ac:dyDescent="0.25">
      <c r="A38" s="986"/>
      <c r="B38" s="999"/>
      <c r="C38" s="995"/>
      <c r="D38" s="991"/>
      <c r="E38" s="150"/>
      <c r="F38" s="1187" t="s">
        <v>373</v>
      </c>
      <c r="G38" s="1188">
        <v>952.9</v>
      </c>
      <c r="H38" s="1189"/>
      <c r="I38" s="1190"/>
      <c r="J38" s="1348"/>
      <c r="K38" s="242"/>
      <c r="L38" s="240"/>
      <c r="M38" s="149"/>
    </row>
    <row r="39" spans="1:13" ht="15" customHeight="1" x14ac:dyDescent="0.25">
      <c r="A39" s="986"/>
      <c r="B39" s="999"/>
      <c r="C39" s="995"/>
      <c r="D39" s="1712" t="s">
        <v>166</v>
      </c>
      <c r="E39" s="905" t="s">
        <v>225</v>
      </c>
      <c r="F39" s="1183" t="s">
        <v>366</v>
      </c>
      <c r="G39" s="1184"/>
      <c r="H39" s="1185"/>
      <c r="I39" s="1186"/>
      <c r="J39" s="409" t="s">
        <v>76</v>
      </c>
      <c r="K39" s="377"/>
      <c r="L39" s="239"/>
      <c r="M39" s="376"/>
    </row>
    <row r="40" spans="1:13" ht="13.5" customHeight="1" x14ac:dyDescent="0.25">
      <c r="A40" s="986"/>
      <c r="B40" s="999"/>
      <c r="C40" s="995"/>
      <c r="D40" s="1713"/>
      <c r="E40" s="907" t="s">
        <v>164</v>
      </c>
      <c r="F40" s="1187" t="s">
        <v>372</v>
      </c>
      <c r="G40" s="1188">
        <f>220.2+197-16</f>
        <v>401.2</v>
      </c>
      <c r="H40" s="1189"/>
      <c r="I40" s="1190"/>
      <c r="J40" s="1796" t="s">
        <v>206</v>
      </c>
      <c r="K40" s="240">
        <v>100</v>
      </c>
      <c r="L40" s="255"/>
      <c r="M40" s="149"/>
    </row>
    <row r="41" spans="1:13" ht="13.5" customHeight="1" x14ac:dyDescent="0.25">
      <c r="A41" s="986"/>
      <c r="B41" s="999"/>
      <c r="C41" s="995"/>
      <c r="D41" s="1713"/>
      <c r="E41" s="905" t="s">
        <v>43</v>
      </c>
      <c r="F41" s="1187" t="s">
        <v>373</v>
      </c>
      <c r="G41" s="1188">
        <v>16</v>
      </c>
      <c r="H41" s="1189"/>
      <c r="I41" s="1190"/>
      <c r="J41" s="1796"/>
      <c r="K41" s="240"/>
      <c r="L41" s="240"/>
      <c r="M41" s="149"/>
    </row>
    <row r="42" spans="1:13" ht="15" customHeight="1" x14ac:dyDescent="0.25">
      <c r="A42" s="986"/>
      <c r="B42" s="999"/>
      <c r="C42" s="995"/>
      <c r="D42" s="1713"/>
      <c r="E42" s="164"/>
      <c r="F42" s="1187" t="s">
        <v>367</v>
      </c>
      <c r="G42" s="1188">
        <f>69.4+67.5</f>
        <v>136.9</v>
      </c>
      <c r="H42" s="1189"/>
      <c r="I42" s="1190"/>
      <c r="J42" s="1795"/>
      <c r="K42" s="240"/>
      <c r="L42" s="240"/>
      <c r="M42" s="149"/>
    </row>
    <row r="43" spans="1:13" ht="14.25" customHeight="1" x14ac:dyDescent="0.25">
      <c r="A43" s="986"/>
      <c r="B43" s="999"/>
      <c r="C43" s="995"/>
      <c r="D43" s="1713"/>
      <c r="E43" s="164"/>
      <c r="F43" s="1187" t="s">
        <v>368</v>
      </c>
      <c r="G43" s="1188"/>
      <c r="H43" s="1189"/>
      <c r="I43" s="1190"/>
      <c r="J43" s="1349"/>
      <c r="K43" s="240"/>
      <c r="L43" s="240"/>
      <c r="M43" s="149"/>
    </row>
    <row r="44" spans="1:13" ht="14.25" customHeight="1" x14ac:dyDescent="0.25">
      <c r="A44" s="986"/>
      <c r="B44" s="999"/>
      <c r="C44" s="995"/>
      <c r="D44" s="1713"/>
      <c r="E44" s="164"/>
      <c r="F44" s="1187" t="s">
        <v>370</v>
      </c>
      <c r="G44" s="1188">
        <f>19.4+17.5-1.4</f>
        <v>35.5</v>
      </c>
      <c r="H44" s="1189"/>
      <c r="I44" s="1190"/>
      <c r="J44" s="1349"/>
      <c r="K44" s="240"/>
      <c r="L44" s="240"/>
      <c r="M44" s="149"/>
    </row>
    <row r="45" spans="1:13" ht="14.25" customHeight="1" x14ac:dyDescent="0.25">
      <c r="A45" s="986"/>
      <c r="B45" s="999"/>
      <c r="C45" s="995"/>
      <c r="D45" s="1713"/>
      <c r="E45" s="165"/>
      <c r="F45" s="1195" t="s">
        <v>371</v>
      </c>
      <c r="G45" s="1196">
        <v>1.4</v>
      </c>
      <c r="H45" s="1193"/>
      <c r="I45" s="1197"/>
      <c r="J45" s="1355"/>
      <c r="K45" s="242"/>
      <c r="L45" s="242"/>
      <c r="M45" s="170"/>
    </row>
    <row r="46" spans="1:13" ht="16.5" customHeight="1" x14ac:dyDescent="0.25">
      <c r="A46" s="986"/>
      <c r="B46" s="999"/>
      <c r="C46" s="995"/>
      <c r="D46" s="1789" t="s">
        <v>137</v>
      </c>
      <c r="E46" s="906" t="s">
        <v>225</v>
      </c>
      <c r="F46" s="1198" t="s">
        <v>367</v>
      </c>
      <c r="G46" s="1199">
        <v>60</v>
      </c>
      <c r="H46" s="1200"/>
      <c r="I46" s="1201"/>
      <c r="J46" s="1356" t="s">
        <v>76</v>
      </c>
      <c r="K46" s="377">
        <v>1</v>
      </c>
      <c r="L46" s="240"/>
      <c r="M46" s="376"/>
    </row>
    <row r="47" spans="1:13" ht="25.5" customHeight="1" x14ac:dyDescent="0.25">
      <c r="A47" s="986"/>
      <c r="B47" s="999"/>
      <c r="C47" s="995"/>
      <c r="D47" s="1789"/>
      <c r="E47" s="906" t="s">
        <v>194</v>
      </c>
      <c r="F47" s="1198" t="s">
        <v>366</v>
      </c>
      <c r="G47" s="1202"/>
      <c r="H47" s="1200"/>
      <c r="I47" s="1203"/>
      <c r="J47" s="1357" t="s">
        <v>321</v>
      </c>
      <c r="K47" s="240"/>
      <c r="L47" s="265"/>
      <c r="M47" s="379">
        <v>30</v>
      </c>
    </row>
    <row r="48" spans="1:13" ht="25.4" customHeight="1" x14ac:dyDescent="0.25">
      <c r="A48" s="986"/>
      <c r="B48" s="999"/>
      <c r="C48" s="995"/>
      <c r="D48" s="1790"/>
      <c r="E48" s="194" t="s">
        <v>164</v>
      </c>
      <c r="F48" s="1198" t="s">
        <v>374</v>
      </c>
      <c r="G48" s="1202"/>
      <c r="H48" s="1200"/>
      <c r="I48" s="1204"/>
      <c r="J48" s="1791" t="s">
        <v>391</v>
      </c>
      <c r="K48" s="255"/>
      <c r="L48" s="240"/>
      <c r="M48" s="149"/>
    </row>
    <row r="49" spans="1:13" ht="15" customHeight="1" x14ac:dyDescent="0.25">
      <c r="A49" s="986"/>
      <c r="B49" s="999"/>
      <c r="C49" s="995"/>
      <c r="D49" s="1790"/>
      <c r="E49" s="905" t="s">
        <v>43</v>
      </c>
      <c r="F49" s="1205" t="s">
        <v>375</v>
      </c>
      <c r="G49" s="1206"/>
      <c r="H49" s="1193"/>
      <c r="I49" s="1207">
        <v>1500</v>
      </c>
      <c r="J49" s="1792"/>
      <c r="K49" s="242"/>
      <c r="L49" s="242"/>
      <c r="M49" s="170"/>
    </row>
    <row r="50" spans="1:13" ht="14.25" customHeight="1" x14ac:dyDescent="0.25">
      <c r="A50" s="986"/>
      <c r="B50" s="999"/>
      <c r="C50" s="995"/>
      <c r="D50" s="1712" t="s">
        <v>111</v>
      </c>
      <c r="E50" s="922" t="s">
        <v>225</v>
      </c>
      <c r="F50" s="1198" t="s">
        <v>366</v>
      </c>
      <c r="G50" s="1202">
        <f>219-24-195</f>
        <v>0</v>
      </c>
      <c r="H50" s="1200"/>
      <c r="I50" s="1208"/>
      <c r="J50" s="1793" t="s">
        <v>204</v>
      </c>
      <c r="K50" s="240">
        <v>100</v>
      </c>
      <c r="L50" s="240"/>
      <c r="M50" s="149"/>
    </row>
    <row r="51" spans="1:13" ht="14.25" customHeight="1" x14ac:dyDescent="0.25">
      <c r="A51" s="986"/>
      <c r="B51" s="999"/>
      <c r="C51" s="995"/>
      <c r="D51" s="1713"/>
      <c r="E51" s="905"/>
      <c r="F51" s="1198" t="s">
        <v>368</v>
      </c>
      <c r="G51" s="1202">
        <v>195</v>
      </c>
      <c r="H51" s="1200"/>
      <c r="I51" s="1208"/>
      <c r="J51" s="1792"/>
      <c r="K51" s="240"/>
      <c r="L51" s="240"/>
      <c r="M51" s="149"/>
    </row>
    <row r="52" spans="1:13" ht="14.25" customHeight="1" x14ac:dyDescent="0.25">
      <c r="A52" s="986"/>
      <c r="B52" s="999"/>
      <c r="C52" s="995"/>
      <c r="D52" s="1713"/>
      <c r="E52" s="1006" t="s">
        <v>194</v>
      </c>
      <c r="F52" s="1198" t="s">
        <v>372</v>
      </c>
      <c r="G52" s="1202">
        <f>76.6-76.6</f>
        <v>0</v>
      </c>
      <c r="H52" s="1200"/>
      <c r="I52" s="1208"/>
      <c r="J52" s="1792"/>
      <c r="K52" s="240"/>
      <c r="L52" s="240"/>
      <c r="M52" s="149"/>
    </row>
    <row r="53" spans="1:13" ht="14.25" customHeight="1" x14ac:dyDescent="0.25">
      <c r="A53" s="986"/>
      <c r="B53" s="999"/>
      <c r="C53" s="995"/>
      <c r="D53" s="1713"/>
      <c r="E53" s="907"/>
      <c r="F53" s="1187" t="s">
        <v>373</v>
      </c>
      <c r="G53" s="1202">
        <v>135</v>
      </c>
      <c r="H53" s="1200"/>
      <c r="I53" s="1208"/>
      <c r="J53" s="1792"/>
      <c r="K53" s="240"/>
      <c r="L53" s="240"/>
      <c r="M53" s="149"/>
    </row>
    <row r="54" spans="1:13" ht="14.25" customHeight="1" x14ac:dyDescent="0.25">
      <c r="A54" s="986"/>
      <c r="B54" s="999"/>
      <c r="C54" s="995"/>
      <c r="D54" s="1713"/>
      <c r="E54" s="907" t="s">
        <v>164</v>
      </c>
      <c r="F54" s="1198" t="s">
        <v>367</v>
      </c>
      <c r="G54" s="1202">
        <v>40.200000000000003</v>
      </c>
      <c r="H54" s="1200"/>
      <c r="I54" s="1208"/>
      <c r="J54" s="1792"/>
      <c r="K54" s="240"/>
      <c r="L54" s="240"/>
      <c r="M54" s="149"/>
    </row>
    <row r="55" spans="1:13" ht="14.25" customHeight="1" x14ac:dyDescent="0.25">
      <c r="A55" s="986"/>
      <c r="B55" s="999"/>
      <c r="C55" s="995"/>
      <c r="D55" s="1713"/>
      <c r="E55" s="907"/>
      <c r="F55" s="1198" t="s">
        <v>370</v>
      </c>
      <c r="G55" s="1209">
        <f>6.8-6.8</f>
        <v>0</v>
      </c>
      <c r="H55" s="1200"/>
      <c r="I55" s="1208"/>
      <c r="J55" s="1358"/>
      <c r="K55" s="240"/>
      <c r="L55" s="240"/>
      <c r="M55" s="149"/>
    </row>
    <row r="56" spans="1:13" ht="15.75" customHeight="1" x14ac:dyDescent="0.25">
      <c r="A56" s="986"/>
      <c r="B56" s="999"/>
      <c r="C56" s="995"/>
      <c r="D56" s="1746"/>
      <c r="E56" s="905" t="s">
        <v>43</v>
      </c>
      <c r="F56" s="1210" t="s">
        <v>371</v>
      </c>
      <c r="G56" s="1206">
        <v>11.9</v>
      </c>
      <c r="H56" s="1193"/>
      <c r="I56" s="1197"/>
      <c r="J56" s="1348"/>
      <c r="K56" s="242"/>
      <c r="L56" s="242"/>
      <c r="M56" s="170"/>
    </row>
    <row r="57" spans="1:13" ht="19.5" customHeight="1" x14ac:dyDescent="0.25">
      <c r="A57" s="986"/>
      <c r="B57" s="987"/>
      <c r="C57" s="85"/>
      <c r="D57" s="1712" t="s">
        <v>193</v>
      </c>
      <c r="E57" s="910" t="s">
        <v>225</v>
      </c>
      <c r="F57" s="1211" t="s">
        <v>366</v>
      </c>
      <c r="G57" s="1184"/>
      <c r="H57" s="1185">
        <v>140.80000000000001</v>
      </c>
      <c r="I57" s="1184">
        <v>150</v>
      </c>
      <c r="J57" s="352" t="s">
        <v>228</v>
      </c>
      <c r="K57" s="378">
        <v>10</v>
      </c>
      <c r="L57" s="378">
        <v>100</v>
      </c>
      <c r="M57" s="151"/>
    </row>
    <row r="58" spans="1:13" ht="27.75" customHeight="1" x14ac:dyDescent="0.25">
      <c r="A58" s="986"/>
      <c r="B58" s="987"/>
      <c r="C58" s="85"/>
      <c r="D58" s="1746"/>
      <c r="E58" s="923" t="s">
        <v>384</v>
      </c>
      <c r="F58" s="1212" t="s">
        <v>367</v>
      </c>
      <c r="G58" s="1206">
        <v>24</v>
      </c>
      <c r="H58" s="1193"/>
      <c r="I58" s="1206"/>
      <c r="J58" s="130" t="s">
        <v>258</v>
      </c>
      <c r="K58" s="343"/>
      <c r="L58" s="343"/>
      <c r="M58" s="528">
        <v>100</v>
      </c>
    </row>
    <row r="59" spans="1:13" ht="13.5" customHeight="1" x14ac:dyDescent="0.25">
      <c r="A59" s="986"/>
      <c r="B59" s="987"/>
      <c r="C59" s="86"/>
      <c r="D59" s="1712" t="s">
        <v>95</v>
      </c>
      <c r="E59" s="912" t="s">
        <v>225</v>
      </c>
      <c r="F59" s="1211" t="s">
        <v>366</v>
      </c>
      <c r="G59" s="1188">
        <v>158.19999999999999</v>
      </c>
      <c r="H59" s="1189"/>
      <c r="I59" s="1190"/>
      <c r="J59" s="1786" t="s">
        <v>108</v>
      </c>
      <c r="K59" s="245">
        <v>100</v>
      </c>
      <c r="L59" s="245"/>
      <c r="M59" s="148"/>
    </row>
    <row r="60" spans="1:13" ht="13.5" customHeight="1" x14ac:dyDescent="0.25">
      <c r="A60" s="986"/>
      <c r="B60" s="987"/>
      <c r="C60" s="86"/>
      <c r="D60" s="1713"/>
      <c r="E60" s="911" t="s">
        <v>194</v>
      </c>
      <c r="F60" s="1213"/>
      <c r="G60" s="1188"/>
      <c r="H60" s="1189"/>
      <c r="I60" s="1188"/>
      <c r="J60" s="1786"/>
      <c r="K60" s="245"/>
      <c r="L60" s="245"/>
      <c r="M60" s="148"/>
    </row>
    <row r="61" spans="1:13" ht="11.25" customHeight="1" x14ac:dyDescent="0.25">
      <c r="A61" s="986"/>
      <c r="B61" s="987"/>
      <c r="C61" s="86"/>
      <c r="D61" s="1713"/>
      <c r="E61" s="1006" t="s">
        <v>164</v>
      </c>
      <c r="F61" s="1213"/>
      <c r="G61" s="1188"/>
      <c r="H61" s="1189"/>
      <c r="I61" s="1188"/>
      <c r="J61" s="1786"/>
      <c r="K61" s="245"/>
      <c r="L61" s="245"/>
      <c r="M61" s="148"/>
    </row>
    <row r="62" spans="1:13" ht="13.5" customHeight="1" x14ac:dyDescent="0.25">
      <c r="A62" s="986"/>
      <c r="B62" s="987"/>
      <c r="C62" s="995"/>
      <c r="D62" s="1746"/>
      <c r="E62" s="924" t="s">
        <v>43</v>
      </c>
      <c r="F62" s="1195" t="s">
        <v>376</v>
      </c>
      <c r="G62" s="1206">
        <v>22.9</v>
      </c>
      <c r="H62" s="1193"/>
      <c r="I62" s="1206"/>
      <c r="J62" s="1787"/>
      <c r="K62" s="244"/>
      <c r="L62" s="244"/>
      <c r="M62" s="167"/>
    </row>
    <row r="63" spans="1:13" ht="15.75" customHeight="1" x14ac:dyDescent="0.25">
      <c r="A63" s="986"/>
      <c r="B63" s="987"/>
      <c r="C63" s="86"/>
      <c r="D63" s="1760" t="s">
        <v>83</v>
      </c>
      <c r="E63" s="911" t="s">
        <v>225</v>
      </c>
      <c r="F63" s="1213" t="s">
        <v>366</v>
      </c>
      <c r="G63" s="1188"/>
      <c r="H63" s="1189">
        <v>512.70000000000005</v>
      </c>
      <c r="I63" s="1188">
        <v>591.5</v>
      </c>
      <c r="J63" s="1350" t="s">
        <v>86</v>
      </c>
      <c r="K63" s="245">
        <v>15</v>
      </c>
      <c r="L63" s="243">
        <v>70</v>
      </c>
      <c r="M63" s="61">
        <v>100</v>
      </c>
    </row>
    <row r="64" spans="1:13" ht="15.75" customHeight="1" x14ac:dyDescent="0.25">
      <c r="A64" s="986"/>
      <c r="B64" s="987"/>
      <c r="C64" s="86"/>
      <c r="D64" s="1760"/>
      <c r="E64" s="194" t="s">
        <v>164</v>
      </c>
      <c r="F64" s="1213"/>
      <c r="G64" s="1188"/>
      <c r="H64" s="1189"/>
      <c r="I64" s="1188"/>
      <c r="J64" s="1362"/>
      <c r="K64" s="227"/>
      <c r="L64" s="245"/>
      <c r="M64" s="148"/>
    </row>
    <row r="65" spans="1:13" ht="15.75" customHeight="1" x14ac:dyDescent="0.25">
      <c r="A65" s="986"/>
      <c r="B65" s="987"/>
      <c r="C65" s="995"/>
      <c r="D65" s="1760"/>
      <c r="E65" s="924" t="s">
        <v>43</v>
      </c>
      <c r="F65" s="1213"/>
      <c r="G65" s="1188"/>
      <c r="H65" s="1189"/>
      <c r="I65" s="1188"/>
      <c r="J65" s="1363"/>
      <c r="K65" s="227"/>
      <c r="L65" s="244"/>
      <c r="M65" s="167"/>
    </row>
    <row r="66" spans="1:13" ht="16.5" customHeight="1" x14ac:dyDescent="0.25">
      <c r="A66" s="986"/>
      <c r="B66" s="987"/>
      <c r="C66" s="85"/>
      <c r="D66" s="1712" t="s">
        <v>259</v>
      </c>
      <c r="E66" s="912" t="s">
        <v>225</v>
      </c>
      <c r="F66" s="1183" t="s">
        <v>366</v>
      </c>
      <c r="G66" s="1184">
        <f>200-100</f>
        <v>100</v>
      </c>
      <c r="H66" s="1185">
        <f>200+100</f>
        <v>300</v>
      </c>
      <c r="I66" s="1184"/>
      <c r="J66" s="1773" t="s">
        <v>260</v>
      </c>
      <c r="K66" s="232">
        <v>25</v>
      </c>
      <c r="L66" s="252">
        <v>100</v>
      </c>
      <c r="M66" s="148"/>
    </row>
    <row r="67" spans="1:13" ht="16.5" customHeight="1" x14ac:dyDescent="0.25">
      <c r="A67" s="986"/>
      <c r="B67" s="987"/>
      <c r="C67" s="85"/>
      <c r="D67" s="1713"/>
      <c r="E67" s="194" t="s">
        <v>164</v>
      </c>
      <c r="F67" s="1187"/>
      <c r="G67" s="1188"/>
      <c r="H67" s="1189"/>
      <c r="I67" s="1188"/>
      <c r="J67" s="1788"/>
      <c r="K67" s="572"/>
      <c r="L67" s="925"/>
      <c r="M67" s="148"/>
    </row>
    <row r="68" spans="1:13" ht="16.5" customHeight="1" x14ac:dyDescent="0.25">
      <c r="A68" s="986"/>
      <c r="B68" s="987"/>
      <c r="C68" s="85"/>
      <c r="D68" s="1746"/>
      <c r="E68" s="924" t="s">
        <v>43</v>
      </c>
      <c r="F68" s="1195"/>
      <c r="G68" s="1206"/>
      <c r="H68" s="1193"/>
      <c r="I68" s="1206"/>
      <c r="J68" s="1774"/>
      <c r="K68" s="448"/>
      <c r="L68" s="276"/>
      <c r="M68" s="148"/>
    </row>
    <row r="69" spans="1:13" ht="43.5" customHeight="1" x14ac:dyDescent="0.25">
      <c r="A69" s="986"/>
      <c r="B69" s="987"/>
      <c r="C69" s="85"/>
      <c r="D69" s="996" t="s">
        <v>261</v>
      </c>
      <c r="E69" s="926" t="s">
        <v>385</v>
      </c>
      <c r="F69" s="1195" t="s">
        <v>366</v>
      </c>
      <c r="G69" s="1206">
        <f>500-200</f>
        <v>300</v>
      </c>
      <c r="H69" s="1193">
        <f>1500+200</f>
        <v>1700</v>
      </c>
      <c r="I69" s="1206">
        <v>1178.3</v>
      </c>
      <c r="J69" s="1359" t="s">
        <v>262</v>
      </c>
      <c r="K69" s="448"/>
      <c r="L69" s="276">
        <v>60</v>
      </c>
      <c r="M69" s="289">
        <v>100</v>
      </c>
    </row>
    <row r="70" spans="1:13" ht="20.149999999999999" customHeight="1" x14ac:dyDescent="0.25">
      <c r="A70" s="986"/>
      <c r="B70" s="987"/>
      <c r="C70" s="85"/>
      <c r="D70" s="1713" t="s">
        <v>392</v>
      </c>
      <c r="E70" s="911" t="s">
        <v>194</v>
      </c>
      <c r="F70" s="1213" t="s">
        <v>366</v>
      </c>
      <c r="G70" s="1188"/>
      <c r="H70" s="1189"/>
      <c r="I70" s="1188"/>
      <c r="J70" s="1360" t="s">
        <v>323</v>
      </c>
      <c r="K70" s="227"/>
      <c r="L70" s="378"/>
      <c r="M70" s="643"/>
    </row>
    <row r="71" spans="1:13" ht="24.75" customHeight="1" x14ac:dyDescent="0.25">
      <c r="A71" s="986"/>
      <c r="B71" s="987"/>
      <c r="C71" s="85"/>
      <c r="D71" s="1746"/>
      <c r="E71" s="924" t="s">
        <v>43</v>
      </c>
      <c r="F71" s="1212" t="s">
        <v>375</v>
      </c>
      <c r="G71" s="1206"/>
      <c r="H71" s="1193"/>
      <c r="I71" s="1206"/>
      <c r="J71" s="1361" t="s">
        <v>76</v>
      </c>
      <c r="K71" s="833"/>
      <c r="L71" s="644"/>
      <c r="M71" s="167"/>
    </row>
    <row r="72" spans="1:13" ht="12.75" customHeight="1" x14ac:dyDescent="0.25">
      <c r="A72" s="986"/>
      <c r="B72" s="987"/>
      <c r="C72" s="85"/>
      <c r="D72" s="1784"/>
      <c r="E72" s="1785"/>
      <c r="F72" s="1214"/>
      <c r="G72" s="1215"/>
      <c r="H72" s="1215"/>
      <c r="I72" s="1215"/>
      <c r="J72" s="845"/>
      <c r="K72" s="844"/>
      <c r="L72" s="627"/>
      <c r="M72" s="628"/>
    </row>
    <row r="73" spans="1:13" ht="14.25" customHeight="1" x14ac:dyDescent="0.25">
      <c r="A73" s="986"/>
      <c r="B73" s="987"/>
      <c r="C73" s="995"/>
      <c r="D73" s="1713" t="s">
        <v>82</v>
      </c>
      <c r="E73" s="117"/>
      <c r="F73" s="1213" t="s">
        <v>366</v>
      </c>
      <c r="G73" s="1188">
        <v>146.80000000000001</v>
      </c>
      <c r="H73" s="1189">
        <v>146.80000000000001</v>
      </c>
      <c r="I73" s="1188">
        <v>146.80000000000001</v>
      </c>
      <c r="J73" s="1364" t="s">
        <v>136</v>
      </c>
      <c r="K73" s="496">
        <v>3.9</v>
      </c>
      <c r="L73" s="365">
        <v>3.9</v>
      </c>
      <c r="M73" s="207">
        <v>3.9</v>
      </c>
    </row>
    <row r="74" spans="1:13" ht="15" customHeight="1" x14ac:dyDescent="0.25">
      <c r="A74" s="986"/>
      <c r="B74" s="987"/>
      <c r="C74" s="995"/>
      <c r="D74" s="1713"/>
      <c r="E74" s="117"/>
      <c r="F74" s="1213"/>
      <c r="G74" s="1188"/>
      <c r="H74" s="1189"/>
      <c r="I74" s="1188"/>
      <c r="J74" s="630" t="s">
        <v>163</v>
      </c>
      <c r="K74" s="410">
        <v>357</v>
      </c>
      <c r="L74" s="246">
        <v>357</v>
      </c>
      <c r="M74" s="208">
        <v>357</v>
      </c>
    </row>
    <row r="75" spans="1:13" ht="15" customHeight="1" x14ac:dyDescent="0.25">
      <c r="A75" s="1705"/>
      <c r="B75" s="1706"/>
      <c r="C75" s="1745"/>
      <c r="D75" s="1712" t="s">
        <v>28</v>
      </c>
      <c r="E75" s="818" t="s">
        <v>225</v>
      </c>
      <c r="F75" s="1183" t="s">
        <v>366</v>
      </c>
      <c r="G75" s="1184">
        <v>49.4</v>
      </c>
      <c r="H75" s="1185">
        <v>49.4</v>
      </c>
      <c r="I75" s="1184">
        <v>49.4</v>
      </c>
      <c r="J75" s="1364" t="s">
        <v>30</v>
      </c>
      <c r="K75" s="495">
        <v>7</v>
      </c>
      <c r="L75" s="239">
        <v>7</v>
      </c>
      <c r="M75" s="168">
        <v>7</v>
      </c>
    </row>
    <row r="76" spans="1:13" ht="16.5" customHeight="1" x14ac:dyDescent="0.25">
      <c r="A76" s="1705"/>
      <c r="B76" s="1706"/>
      <c r="C76" s="1745"/>
      <c r="D76" s="1713"/>
      <c r="E76" s="186"/>
      <c r="F76" s="1187"/>
      <c r="G76" s="1188"/>
      <c r="H76" s="1189"/>
      <c r="I76" s="1188"/>
      <c r="J76" s="1365" t="s">
        <v>65</v>
      </c>
      <c r="K76" s="229">
        <v>3</v>
      </c>
      <c r="L76" s="265">
        <v>6</v>
      </c>
      <c r="M76" s="379"/>
    </row>
    <row r="77" spans="1:13" ht="15.75" customHeight="1" x14ac:dyDescent="0.25">
      <c r="A77" s="1705"/>
      <c r="B77" s="1706"/>
      <c r="C77" s="1745"/>
      <c r="D77" s="1713"/>
      <c r="E77" s="186"/>
      <c r="F77" s="1187" t="s">
        <v>366</v>
      </c>
      <c r="G77" s="1216"/>
      <c r="H77" s="1189">
        <v>42.2</v>
      </c>
      <c r="I77" s="1191"/>
      <c r="J77" s="630" t="s">
        <v>283</v>
      </c>
      <c r="K77" s="233"/>
      <c r="L77" s="255">
        <v>3</v>
      </c>
      <c r="M77" s="149"/>
    </row>
    <row r="78" spans="1:13" ht="18" customHeight="1" x14ac:dyDescent="0.25">
      <c r="A78" s="986"/>
      <c r="B78" s="987"/>
      <c r="C78" s="995"/>
      <c r="D78" s="1712" t="s">
        <v>29</v>
      </c>
      <c r="E78" s="184"/>
      <c r="F78" s="1183" t="s">
        <v>366</v>
      </c>
      <c r="G78" s="1188">
        <v>89.7</v>
      </c>
      <c r="H78" s="1185">
        <v>88.5</v>
      </c>
      <c r="I78" s="1217">
        <v>88.5</v>
      </c>
      <c r="J78" s="1366" t="s">
        <v>119</v>
      </c>
      <c r="K78" s="470"/>
      <c r="L78" s="239"/>
      <c r="M78" s="60"/>
    </row>
    <row r="79" spans="1:13" ht="26.25" customHeight="1" x14ac:dyDescent="0.25">
      <c r="A79" s="986"/>
      <c r="B79" s="987"/>
      <c r="C79" s="995"/>
      <c r="D79" s="1714"/>
      <c r="E79" s="185"/>
      <c r="F79" s="1187" t="s">
        <v>367</v>
      </c>
      <c r="G79" s="1188">
        <v>45.9</v>
      </c>
      <c r="H79" s="1189"/>
      <c r="I79" s="1188"/>
      <c r="J79" s="1365" t="s">
        <v>120</v>
      </c>
      <c r="K79" s="229">
        <v>20</v>
      </c>
      <c r="L79" s="241">
        <v>20</v>
      </c>
      <c r="M79" s="103">
        <v>20</v>
      </c>
    </row>
    <row r="80" spans="1:13" ht="25.5" customHeight="1" x14ac:dyDescent="0.25">
      <c r="A80" s="986"/>
      <c r="B80" s="987"/>
      <c r="C80" s="995"/>
      <c r="D80" s="1714"/>
      <c r="E80" s="1779"/>
      <c r="F80" s="1187"/>
      <c r="G80" s="1188"/>
      <c r="H80" s="1189"/>
      <c r="I80" s="1188"/>
      <c r="J80" s="1365" t="s">
        <v>104</v>
      </c>
      <c r="K80" s="229">
        <v>30</v>
      </c>
      <c r="L80" s="241">
        <v>30</v>
      </c>
      <c r="M80" s="169">
        <v>30</v>
      </c>
    </row>
    <row r="81" spans="1:13" ht="15" customHeight="1" x14ac:dyDescent="0.25">
      <c r="A81" s="986"/>
      <c r="B81" s="987"/>
      <c r="C81" s="995"/>
      <c r="D81" s="1714"/>
      <c r="E81" s="1779"/>
      <c r="F81" s="1187"/>
      <c r="G81" s="1188"/>
      <c r="H81" s="1189"/>
      <c r="I81" s="1188"/>
      <c r="J81" s="1367" t="s">
        <v>121</v>
      </c>
      <c r="K81" s="412"/>
      <c r="L81" s="248"/>
      <c r="M81" s="210"/>
    </row>
    <row r="82" spans="1:13" ht="13.5" customHeight="1" x14ac:dyDescent="0.25">
      <c r="A82" s="986"/>
      <c r="B82" s="987"/>
      <c r="C82" s="995"/>
      <c r="D82" s="59"/>
      <c r="E82" s="1779"/>
      <c r="F82" s="1187"/>
      <c r="G82" s="1188"/>
      <c r="H82" s="1189"/>
      <c r="I82" s="1188"/>
      <c r="J82" s="1365" t="s">
        <v>79</v>
      </c>
      <c r="K82" s="491">
        <v>10</v>
      </c>
      <c r="L82" s="241"/>
      <c r="M82" s="149">
        <v>20</v>
      </c>
    </row>
    <row r="83" spans="1:13" ht="13.5" customHeight="1" x14ac:dyDescent="0.25">
      <c r="A83" s="986"/>
      <c r="B83" s="987"/>
      <c r="C83" s="995"/>
      <c r="D83" s="59"/>
      <c r="E83" s="1779"/>
      <c r="F83" s="1187"/>
      <c r="G83" s="1188"/>
      <c r="H83" s="1189"/>
      <c r="I83" s="1188"/>
      <c r="J83" s="1368" t="s">
        <v>31</v>
      </c>
      <c r="K83" s="456">
        <v>10</v>
      </c>
      <c r="L83" s="299">
        <v>20</v>
      </c>
      <c r="M83" s="1564">
        <v>30</v>
      </c>
    </row>
    <row r="84" spans="1:13" ht="13.5" customHeight="1" x14ac:dyDescent="0.25">
      <c r="A84" s="986"/>
      <c r="B84" s="987"/>
      <c r="C84" s="995"/>
      <c r="D84" s="59"/>
      <c r="E84" s="1779"/>
      <c r="F84" s="1187"/>
      <c r="G84" s="1188"/>
      <c r="H84" s="1189"/>
      <c r="I84" s="1188"/>
      <c r="J84" s="1368" t="s">
        <v>64</v>
      </c>
      <c r="K84" s="1420">
        <v>20</v>
      </c>
      <c r="L84" s="1413">
        <v>20</v>
      </c>
      <c r="M84" s="1565">
        <v>40</v>
      </c>
    </row>
    <row r="85" spans="1:13" ht="13.5" customHeight="1" x14ac:dyDescent="0.25">
      <c r="A85" s="986"/>
      <c r="B85" s="987"/>
      <c r="C85" s="995"/>
      <c r="D85" s="59"/>
      <c r="E85" s="185"/>
      <c r="F85" s="1187"/>
      <c r="G85" s="1188"/>
      <c r="H85" s="1189"/>
      <c r="I85" s="1188"/>
      <c r="J85" s="1369" t="s">
        <v>145</v>
      </c>
      <c r="K85" s="492"/>
      <c r="L85" s="299">
        <v>20</v>
      </c>
      <c r="M85" s="211"/>
    </row>
    <row r="86" spans="1:13" ht="14.25" customHeight="1" x14ac:dyDescent="0.25">
      <c r="A86" s="986"/>
      <c r="B86" s="987"/>
      <c r="C86" s="995"/>
      <c r="D86" s="59"/>
      <c r="E86" s="185"/>
      <c r="F86" s="1187"/>
      <c r="G86" s="1188"/>
      <c r="H86" s="1189"/>
      <c r="I86" s="1188"/>
      <c r="J86" s="1367" t="s">
        <v>122</v>
      </c>
      <c r="K86" s="412"/>
      <c r="L86" s="248"/>
      <c r="M86" s="210"/>
    </row>
    <row r="87" spans="1:13" ht="13.5" customHeight="1" x14ac:dyDescent="0.25">
      <c r="A87" s="986"/>
      <c r="B87" s="987"/>
      <c r="C87" s="995"/>
      <c r="D87" s="59"/>
      <c r="E87" s="185"/>
      <c r="F87" s="1187"/>
      <c r="G87" s="1188"/>
      <c r="H87" s="1189"/>
      <c r="I87" s="1188"/>
      <c r="J87" s="1370" t="s">
        <v>106</v>
      </c>
      <c r="K87" s="494">
        <v>30</v>
      </c>
      <c r="L87" s="354">
        <v>30</v>
      </c>
      <c r="M87" s="387">
        <v>30</v>
      </c>
    </row>
    <row r="88" spans="1:13" ht="15" customHeight="1" x14ac:dyDescent="0.25">
      <c r="A88" s="986"/>
      <c r="B88" s="987"/>
      <c r="C88" s="995"/>
      <c r="D88" s="59"/>
      <c r="E88" s="185"/>
      <c r="F88" s="1187"/>
      <c r="G88" s="1188"/>
      <c r="H88" s="1189"/>
      <c r="I88" s="1188"/>
      <c r="J88" s="1369" t="s">
        <v>105</v>
      </c>
      <c r="K88" s="1566">
        <v>70</v>
      </c>
      <c r="L88" s="1414">
        <v>70</v>
      </c>
      <c r="M88" s="1567">
        <v>70</v>
      </c>
    </row>
    <row r="89" spans="1:13" ht="27" customHeight="1" x14ac:dyDescent="0.25">
      <c r="A89" s="986"/>
      <c r="B89" s="987"/>
      <c r="C89" s="995"/>
      <c r="D89" s="59"/>
      <c r="E89" s="185"/>
      <c r="F89" s="1187" t="s">
        <v>367</v>
      </c>
      <c r="G89" s="1188">
        <v>48.2</v>
      </c>
      <c r="H89" s="1189"/>
      <c r="I89" s="1188"/>
      <c r="J89" s="1368" t="s">
        <v>393</v>
      </c>
      <c r="K89" s="1420">
        <v>268</v>
      </c>
      <c r="L89" s="373"/>
      <c r="M89" s="211"/>
    </row>
    <row r="90" spans="1:13" ht="16.399999999999999" customHeight="1" x14ac:dyDescent="0.25">
      <c r="A90" s="986"/>
      <c r="B90" s="987"/>
      <c r="C90" s="995"/>
      <c r="D90" s="59"/>
      <c r="E90" s="185"/>
      <c r="F90" s="1187"/>
      <c r="G90" s="1188"/>
      <c r="H90" s="1189"/>
      <c r="I90" s="1188"/>
      <c r="J90" s="1367" t="s">
        <v>123</v>
      </c>
      <c r="K90" s="430"/>
      <c r="L90" s="249"/>
      <c r="M90" s="629"/>
    </row>
    <row r="91" spans="1:13" ht="28.5" customHeight="1" x14ac:dyDescent="0.25">
      <c r="A91" s="986"/>
      <c r="B91" s="987"/>
      <c r="C91" s="995"/>
      <c r="D91" s="59"/>
      <c r="E91" s="185"/>
      <c r="F91" s="1187"/>
      <c r="G91" s="1188"/>
      <c r="H91" s="1189"/>
      <c r="I91" s="1188"/>
      <c r="J91" s="1370" t="s">
        <v>168</v>
      </c>
      <c r="K91" s="743">
        <v>281</v>
      </c>
      <c r="L91" s="354"/>
      <c r="M91" s="212"/>
    </row>
    <row r="92" spans="1:13" ht="27.75" customHeight="1" x14ac:dyDescent="0.25">
      <c r="A92" s="986"/>
      <c r="B92" s="987"/>
      <c r="C92" s="995"/>
      <c r="D92" s="59"/>
      <c r="E92" s="185"/>
      <c r="F92" s="1187" t="s">
        <v>366</v>
      </c>
      <c r="G92" s="1188">
        <f>145-50.4</f>
        <v>94.6</v>
      </c>
      <c r="H92" s="1189"/>
      <c r="I92" s="1188">
        <v>15</v>
      </c>
      <c r="J92" s="1369" t="s">
        <v>169</v>
      </c>
      <c r="K92" s="419">
        <v>0.3</v>
      </c>
      <c r="L92" s="251"/>
      <c r="M92" s="214">
        <v>0.5</v>
      </c>
    </row>
    <row r="93" spans="1:13" ht="17.149999999999999" customHeight="1" x14ac:dyDescent="0.25">
      <c r="A93" s="1705"/>
      <c r="B93" s="1749"/>
      <c r="C93" s="1745"/>
      <c r="D93" s="1712" t="s">
        <v>172</v>
      </c>
      <c r="E93" s="1780"/>
      <c r="F93" s="1183" t="s">
        <v>366</v>
      </c>
      <c r="G93" s="1184">
        <f>161.1-2.4</f>
        <v>158.69999999999999</v>
      </c>
      <c r="H93" s="1185">
        <f>176.7-2.4</f>
        <v>174.3</v>
      </c>
      <c r="I93" s="1184">
        <f>176.7-2.4</f>
        <v>174.3</v>
      </c>
      <c r="J93" s="1364" t="s">
        <v>90</v>
      </c>
      <c r="K93" s="495">
        <v>185</v>
      </c>
      <c r="L93" s="377">
        <v>198</v>
      </c>
      <c r="M93" s="376">
        <v>198</v>
      </c>
    </row>
    <row r="94" spans="1:13" ht="17.149999999999999" customHeight="1" x14ac:dyDescent="0.25">
      <c r="A94" s="1705"/>
      <c r="B94" s="1749"/>
      <c r="C94" s="1745"/>
      <c r="D94" s="1713"/>
      <c r="E94" s="1781"/>
      <c r="F94" s="1187" t="s">
        <v>366</v>
      </c>
      <c r="G94" s="1188"/>
      <c r="H94" s="1189">
        <v>18.600000000000001</v>
      </c>
      <c r="I94" s="1188">
        <v>74.400000000000006</v>
      </c>
      <c r="J94" s="1365" t="s">
        <v>285</v>
      </c>
      <c r="K94" s="831"/>
      <c r="L94" s="265">
        <v>62</v>
      </c>
      <c r="M94" s="149">
        <v>62</v>
      </c>
    </row>
    <row r="95" spans="1:13" ht="28" customHeight="1" x14ac:dyDescent="0.25">
      <c r="A95" s="1705"/>
      <c r="B95" s="1749"/>
      <c r="C95" s="1745"/>
      <c r="D95" s="1713"/>
      <c r="E95" s="1781"/>
      <c r="F95" s="1187"/>
      <c r="G95" s="1188"/>
      <c r="H95" s="1189"/>
      <c r="I95" s="1188"/>
      <c r="J95" s="1365" t="s">
        <v>439</v>
      </c>
      <c r="K95" s="202">
        <v>4</v>
      </c>
      <c r="L95" s="255">
        <v>4</v>
      </c>
      <c r="M95" s="379">
        <v>4</v>
      </c>
    </row>
    <row r="96" spans="1:13" ht="17.149999999999999" customHeight="1" x14ac:dyDescent="0.25">
      <c r="A96" s="1705"/>
      <c r="B96" s="1749"/>
      <c r="C96" s="1745"/>
      <c r="D96" s="1713"/>
      <c r="E96" s="1781"/>
      <c r="F96" s="1187" t="s">
        <v>366</v>
      </c>
      <c r="G96" s="1188"/>
      <c r="H96" s="1189">
        <v>231.2</v>
      </c>
      <c r="I96" s="1191"/>
      <c r="J96" s="1371" t="s">
        <v>286</v>
      </c>
      <c r="K96" s="831"/>
      <c r="L96" s="255">
        <v>62</v>
      </c>
      <c r="M96" s="379"/>
    </row>
    <row r="97" spans="1:14" ht="17.149999999999999" customHeight="1" x14ac:dyDescent="0.25">
      <c r="A97" s="1705"/>
      <c r="B97" s="1749"/>
      <c r="C97" s="1745"/>
      <c r="D97" s="1713"/>
      <c r="E97" s="1781"/>
      <c r="F97" s="1187" t="s">
        <v>366</v>
      </c>
      <c r="G97" s="1188"/>
      <c r="H97" s="1218">
        <v>12.1</v>
      </c>
      <c r="I97" s="1218"/>
      <c r="J97" s="1371" t="s">
        <v>287</v>
      </c>
      <c r="K97" s="831"/>
      <c r="L97" s="255">
        <v>1</v>
      </c>
      <c r="M97" s="379"/>
    </row>
    <row r="98" spans="1:14" ht="17.149999999999999" customHeight="1" x14ac:dyDescent="0.25">
      <c r="A98" s="1705"/>
      <c r="B98" s="1749"/>
      <c r="C98" s="1745"/>
      <c r="D98" s="1713"/>
      <c r="E98" s="1781"/>
      <c r="F98" s="1187" t="s">
        <v>366</v>
      </c>
      <c r="G98" s="1209">
        <v>24.2</v>
      </c>
      <c r="H98" s="1218"/>
      <c r="I98" s="1218"/>
      <c r="J98" s="1372" t="s">
        <v>328</v>
      </c>
      <c r="K98" s="832">
        <v>1</v>
      </c>
      <c r="L98" s="255"/>
      <c r="M98" s="104"/>
    </row>
    <row r="99" spans="1:14" ht="17.149999999999999" customHeight="1" x14ac:dyDescent="0.25">
      <c r="A99" s="1705"/>
      <c r="B99" s="1749"/>
      <c r="C99" s="1745"/>
      <c r="D99" s="1746"/>
      <c r="E99" s="1782"/>
      <c r="F99" s="1187" t="s">
        <v>366</v>
      </c>
      <c r="G99" s="1219"/>
      <c r="H99" s="1220">
        <v>12.1</v>
      </c>
      <c r="I99" s="1221"/>
      <c r="J99" s="1373" t="s">
        <v>288</v>
      </c>
      <c r="K99" s="837"/>
      <c r="L99" s="636">
        <v>1</v>
      </c>
      <c r="M99" s="542"/>
    </row>
    <row r="100" spans="1:14" ht="27" customHeight="1" x14ac:dyDescent="0.25">
      <c r="A100" s="986"/>
      <c r="B100" s="999"/>
      <c r="C100" s="995"/>
      <c r="D100" s="1712" t="s">
        <v>143</v>
      </c>
      <c r="E100" s="1005" t="s">
        <v>164</v>
      </c>
      <c r="F100" s="1183" t="s">
        <v>367</v>
      </c>
      <c r="G100" s="1184">
        <v>10</v>
      </c>
      <c r="H100" s="1185"/>
      <c r="I100" s="1186"/>
      <c r="J100" s="1374" t="s">
        <v>76</v>
      </c>
      <c r="K100" s="201">
        <v>1</v>
      </c>
      <c r="L100" s="377"/>
      <c r="M100" s="168"/>
    </row>
    <row r="101" spans="1:14" ht="24.75" customHeight="1" x14ac:dyDescent="0.25">
      <c r="A101" s="986"/>
      <c r="B101" s="999"/>
      <c r="C101" s="995"/>
      <c r="D101" s="1746"/>
      <c r="E101" s="909" t="s">
        <v>386</v>
      </c>
      <c r="F101" s="1187" t="s">
        <v>366</v>
      </c>
      <c r="G101" s="1188"/>
      <c r="H101" s="1189">
        <v>84</v>
      </c>
      <c r="I101" s="1190"/>
      <c r="J101" s="1370" t="s">
        <v>263</v>
      </c>
      <c r="K101" s="485"/>
      <c r="L101" s="240">
        <v>1</v>
      </c>
      <c r="M101" s="645"/>
    </row>
    <row r="102" spans="1:14" ht="16.5" customHeight="1" x14ac:dyDescent="0.25">
      <c r="A102" s="1705"/>
      <c r="B102" s="1749"/>
      <c r="C102" s="1745"/>
      <c r="D102" s="1713" t="s">
        <v>394</v>
      </c>
      <c r="E102" s="1775"/>
      <c r="F102" s="1183" t="s">
        <v>367</v>
      </c>
      <c r="G102" s="1184">
        <v>10</v>
      </c>
      <c r="H102" s="1185"/>
      <c r="I102" s="1186"/>
      <c r="J102" s="1375" t="s">
        <v>76</v>
      </c>
      <c r="K102" s="495">
        <v>1</v>
      </c>
      <c r="L102" s="239"/>
      <c r="M102" s="168"/>
    </row>
    <row r="103" spans="1:14" ht="16.5" customHeight="1" x14ac:dyDescent="0.25">
      <c r="A103" s="1705"/>
      <c r="B103" s="1749"/>
      <c r="C103" s="1745"/>
      <c r="D103" s="1713"/>
      <c r="E103" s="1776"/>
      <c r="F103" s="1195"/>
      <c r="G103" s="1206"/>
      <c r="H103" s="1193"/>
      <c r="I103" s="1197"/>
      <c r="J103" s="1370" t="s">
        <v>430</v>
      </c>
      <c r="K103" s="230">
        <v>100</v>
      </c>
      <c r="L103" s="247"/>
      <c r="M103" s="645"/>
    </row>
    <row r="104" spans="1:14" ht="27" customHeight="1" x14ac:dyDescent="0.25">
      <c r="A104" s="1322"/>
      <c r="B104" s="1324"/>
      <c r="C104" s="1323"/>
      <c r="D104" s="982" t="s">
        <v>355</v>
      </c>
      <c r="E104" s="913" t="s">
        <v>194</v>
      </c>
      <c r="F104" s="1222" t="s">
        <v>366</v>
      </c>
      <c r="G104" s="1184">
        <v>100</v>
      </c>
      <c r="H104" s="1185">
        <v>100</v>
      </c>
      <c r="I104" s="1223">
        <v>100</v>
      </c>
      <c r="J104" s="1376" t="s">
        <v>356</v>
      </c>
      <c r="K104" s="1568"/>
      <c r="L104" s="1174">
        <v>3</v>
      </c>
      <c r="M104" s="1319">
        <v>5</v>
      </c>
      <c r="N104" s="859"/>
    </row>
    <row r="105" spans="1:14" ht="13.5" customHeight="1" x14ac:dyDescent="0.25">
      <c r="A105" s="986"/>
      <c r="B105" s="999"/>
      <c r="C105" s="995"/>
      <c r="D105" s="1772"/>
      <c r="E105" s="1772"/>
      <c r="F105" s="146"/>
      <c r="G105" s="146"/>
      <c r="H105" s="146"/>
      <c r="I105" s="146"/>
      <c r="J105" s="847"/>
      <c r="K105" s="231"/>
      <c r="L105" s="231"/>
      <c r="M105" s="171"/>
    </row>
    <row r="106" spans="1:14" ht="29.25" customHeight="1" x14ac:dyDescent="0.25">
      <c r="A106" s="986"/>
      <c r="B106" s="999"/>
      <c r="C106" s="995"/>
      <c r="D106" s="1712" t="s">
        <v>84</v>
      </c>
      <c r="E106" s="153"/>
      <c r="F106" s="1183" t="s">
        <v>366</v>
      </c>
      <c r="G106" s="1184">
        <v>10</v>
      </c>
      <c r="H106" s="1185">
        <v>10</v>
      </c>
      <c r="I106" s="1186">
        <v>10</v>
      </c>
      <c r="J106" s="1773" t="s">
        <v>231</v>
      </c>
      <c r="K106" s="232">
        <v>1</v>
      </c>
      <c r="L106" s="252">
        <v>1</v>
      </c>
      <c r="M106" s="172">
        <v>1</v>
      </c>
    </row>
    <row r="107" spans="1:14" ht="11.25" customHeight="1" x14ac:dyDescent="0.25">
      <c r="A107" s="986"/>
      <c r="B107" s="999"/>
      <c r="C107" s="85"/>
      <c r="D107" s="1746"/>
      <c r="E107" s="160"/>
      <c r="F107" s="1227"/>
      <c r="G107" s="1206"/>
      <c r="H107" s="1193"/>
      <c r="I107" s="1197"/>
      <c r="J107" s="1774"/>
      <c r="K107" s="230"/>
      <c r="L107" s="242"/>
      <c r="M107" s="170"/>
    </row>
    <row r="108" spans="1:14" ht="27" customHeight="1" x14ac:dyDescent="0.25">
      <c r="A108" s="986"/>
      <c r="B108" s="999"/>
      <c r="C108" s="85"/>
      <c r="D108" s="1712" t="s">
        <v>68</v>
      </c>
      <c r="E108" s="915" t="s">
        <v>225</v>
      </c>
      <c r="F108" s="1183" t="s">
        <v>366</v>
      </c>
      <c r="G108" s="1188">
        <f>935-100</f>
        <v>835</v>
      </c>
      <c r="H108" s="1189">
        <v>870.9</v>
      </c>
      <c r="I108" s="1190">
        <v>865.2</v>
      </c>
      <c r="J108" s="1377" t="s">
        <v>436</v>
      </c>
      <c r="K108" s="661">
        <v>21</v>
      </c>
      <c r="L108" s="662">
        <v>21</v>
      </c>
      <c r="M108" s="663">
        <v>21</v>
      </c>
    </row>
    <row r="109" spans="1:14" ht="15.75" customHeight="1" x14ac:dyDescent="0.25">
      <c r="A109" s="986"/>
      <c r="B109" s="999"/>
      <c r="C109" s="145"/>
      <c r="D109" s="1713"/>
      <c r="E109" s="194" t="s">
        <v>164</v>
      </c>
      <c r="F109" s="1187" t="s">
        <v>377</v>
      </c>
      <c r="G109" s="1188">
        <v>7.7</v>
      </c>
      <c r="H109" s="1189">
        <v>7.7</v>
      </c>
      <c r="I109" s="1190">
        <v>7.7</v>
      </c>
      <c r="J109" s="1378" t="s">
        <v>437</v>
      </c>
      <c r="K109" s="1341">
        <v>98</v>
      </c>
      <c r="L109" s="1342">
        <v>98</v>
      </c>
      <c r="M109" s="1343">
        <v>98</v>
      </c>
    </row>
    <row r="110" spans="1:14" ht="15.75" customHeight="1" x14ac:dyDescent="0.25">
      <c r="A110" s="986"/>
      <c r="B110" s="987"/>
      <c r="C110" s="145"/>
      <c r="D110" s="1713"/>
      <c r="E110" s="914"/>
      <c r="F110" s="1187" t="s">
        <v>367</v>
      </c>
      <c r="G110" s="1188"/>
      <c r="H110" s="1189"/>
      <c r="I110" s="1190"/>
      <c r="J110" s="1379" t="s">
        <v>87</v>
      </c>
      <c r="K110" s="488">
        <v>6</v>
      </c>
      <c r="L110" s="390">
        <v>6</v>
      </c>
      <c r="M110" s="389">
        <v>6</v>
      </c>
    </row>
    <row r="111" spans="1:14" ht="15.75" customHeight="1" x14ac:dyDescent="0.25">
      <c r="A111" s="986"/>
      <c r="B111" s="999"/>
      <c r="C111" s="145"/>
      <c r="D111" s="1713"/>
      <c r="E111" s="914"/>
      <c r="F111" s="1187"/>
      <c r="G111" s="1188"/>
      <c r="H111" s="1189"/>
      <c r="I111" s="1190"/>
      <c r="J111" s="1362" t="s">
        <v>125</v>
      </c>
      <c r="K111" s="488" t="s">
        <v>186</v>
      </c>
      <c r="L111" s="390" t="s">
        <v>186</v>
      </c>
      <c r="M111" s="389">
        <v>40</v>
      </c>
    </row>
    <row r="112" spans="1:14" ht="15.75" customHeight="1" x14ac:dyDescent="0.25">
      <c r="A112" s="986"/>
      <c r="B112" s="999"/>
      <c r="C112" s="145"/>
      <c r="D112" s="1713"/>
      <c r="E112" s="914"/>
      <c r="F112" s="1187"/>
      <c r="G112" s="1188"/>
      <c r="H112" s="1189"/>
      <c r="I112" s="1190"/>
      <c r="J112" s="1379" t="s">
        <v>395</v>
      </c>
      <c r="K112" s="429" t="s">
        <v>117</v>
      </c>
      <c r="L112" s="253" t="s">
        <v>117</v>
      </c>
      <c r="M112" s="216">
        <v>10</v>
      </c>
    </row>
    <row r="113" spans="1:13" ht="15" customHeight="1" x14ac:dyDescent="0.25">
      <c r="A113" s="986"/>
      <c r="B113" s="999"/>
      <c r="C113" s="145"/>
      <c r="D113" s="1713"/>
      <c r="E113" s="914"/>
      <c r="F113" s="1187"/>
      <c r="G113" s="1188"/>
      <c r="H113" s="1189"/>
      <c r="I113" s="1190"/>
      <c r="J113" s="1369" t="s">
        <v>396</v>
      </c>
      <c r="K113" s="492">
        <v>1</v>
      </c>
      <c r="L113" s="197">
        <v>1</v>
      </c>
      <c r="M113" s="291">
        <v>1</v>
      </c>
    </row>
    <row r="114" spans="1:13" ht="18" customHeight="1" x14ac:dyDescent="0.25">
      <c r="A114" s="986"/>
      <c r="B114" s="999"/>
      <c r="C114" s="145"/>
      <c r="D114" s="1010"/>
      <c r="E114" s="914"/>
      <c r="F114" s="1187"/>
      <c r="G114" s="1188"/>
      <c r="H114" s="1189"/>
      <c r="I114" s="1190"/>
      <c r="J114" s="1370" t="s">
        <v>431</v>
      </c>
      <c r="K114" s="202">
        <v>1</v>
      </c>
      <c r="L114" s="251"/>
      <c r="M114" s="1292"/>
    </row>
    <row r="115" spans="1:13" ht="15.65" customHeight="1" x14ac:dyDescent="0.25">
      <c r="A115" s="986"/>
      <c r="B115" s="999"/>
      <c r="C115" s="145"/>
      <c r="D115" s="991"/>
      <c r="E115" s="1502"/>
      <c r="F115" s="1187"/>
      <c r="G115" s="1209"/>
      <c r="H115" s="1189"/>
      <c r="I115" s="1191"/>
      <c r="J115" s="1371" t="s">
        <v>235</v>
      </c>
      <c r="K115" s="1420">
        <v>3</v>
      </c>
      <c r="L115" s="808"/>
      <c r="M115" s="809"/>
    </row>
    <row r="116" spans="1:13" ht="15.65" customHeight="1" x14ac:dyDescent="0.25">
      <c r="A116" s="1405"/>
      <c r="B116" s="1408"/>
      <c r="C116" s="145"/>
      <c r="D116" s="1404"/>
      <c r="E116" s="1502"/>
      <c r="F116" s="1187"/>
      <c r="G116" s="1248"/>
      <c r="H116" s="1189"/>
      <c r="I116" s="1191"/>
      <c r="J116" s="1628" t="s">
        <v>444</v>
      </c>
      <c r="K116" s="1413">
        <v>1</v>
      </c>
      <c r="L116" s="808"/>
      <c r="M116" s="809"/>
    </row>
    <row r="117" spans="1:13" ht="29.15" customHeight="1" x14ac:dyDescent="0.25">
      <c r="A117" s="1405"/>
      <c r="B117" s="1408"/>
      <c r="C117" s="145"/>
      <c r="D117" s="1404"/>
      <c r="E117" s="1502"/>
      <c r="F117" s="1187"/>
      <c r="G117" s="1248"/>
      <c r="H117" s="1189"/>
      <c r="I117" s="1190"/>
      <c r="J117" s="1628" t="s">
        <v>445</v>
      </c>
      <c r="K117" s="1413">
        <v>100</v>
      </c>
      <c r="L117" s="1499"/>
      <c r="M117" s="809"/>
    </row>
    <row r="118" spans="1:13" ht="26.15" customHeight="1" x14ac:dyDescent="0.25">
      <c r="A118" s="986"/>
      <c r="B118" s="999"/>
      <c r="C118" s="145"/>
      <c r="D118" s="991"/>
      <c r="E118" s="916"/>
      <c r="F118" s="1187" t="s">
        <v>366</v>
      </c>
      <c r="G118" s="1248"/>
      <c r="H118" s="1189"/>
      <c r="I118" s="1191">
        <v>5</v>
      </c>
      <c r="J118" s="630" t="s">
        <v>397</v>
      </c>
      <c r="K118" s="492"/>
      <c r="L118" s="373"/>
      <c r="M118" s="385">
        <v>5</v>
      </c>
    </row>
    <row r="119" spans="1:13" ht="26.9" customHeight="1" x14ac:dyDescent="0.25">
      <c r="A119" s="986"/>
      <c r="B119" s="999"/>
      <c r="C119" s="145"/>
      <c r="D119" s="991"/>
      <c r="E119" s="916"/>
      <c r="F119" s="1187" t="s">
        <v>366</v>
      </c>
      <c r="G119" s="1248"/>
      <c r="H119" s="1189"/>
      <c r="I119" s="1191">
        <v>5</v>
      </c>
      <c r="J119" s="1371" t="s">
        <v>294</v>
      </c>
      <c r="K119" s="492"/>
      <c r="L119" s="373"/>
      <c r="M119" s="383">
        <v>5</v>
      </c>
    </row>
    <row r="120" spans="1:13" ht="26.9" customHeight="1" x14ac:dyDescent="0.25">
      <c r="A120" s="986"/>
      <c r="B120" s="999"/>
      <c r="C120" s="145"/>
      <c r="D120" s="991"/>
      <c r="E120" s="916"/>
      <c r="F120" s="1187" t="s">
        <v>366</v>
      </c>
      <c r="G120" s="1248"/>
      <c r="H120" s="1189">
        <v>9</v>
      </c>
      <c r="I120" s="1191"/>
      <c r="J120" s="1372" t="s">
        <v>398</v>
      </c>
      <c r="K120" s="492"/>
      <c r="L120" s="373">
        <v>100</v>
      </c>
      <c r="M120" s="383"/>
    </row>
    <row r="121" spans="1:13" ht="25.5" customHeight="1" x14ac:dyDescent="0.25">
      <c r="A121" s="986"/>
      <c r="B121" s="999"/>
      <c r="C121" s="145"/>
      <c r="D121" s="991"/>
      <c r="E121" s="916"/>
      <c r="F121" s="1234" t="s">
        <v>366</v>
      </c>
      <c r="G121" s="1248"/>
      <c r="H121" s="1189">
        <v>55.1</v>
      </c>
      <c r="I121" s="1191"/>
      <c r="J121" s="1371" t="s">
        <v>399</v>
      </c>
      <c r="K121" s="427"/>
      <c r="L121" s="299">
        <v>100</v>
      </c>
      <c r="M121" s="548"/>
    </row>
    <row r="122" spans="1:13" ht="25.5" customHeight="1" x14ac:dyDescent="0.25">
      <c r="A122" s="986"/>
      <c r="B122" s="999"/>
      <c r="C122" s="145"/>
      <c r="D122" s="1002"/>
      <c r="E122" s="917"/>
      <c r="F122" s="1228" t="s">
        <v>366</v>
      </c>
      <c r="G122" s="1243"/>
      <c r="H122" s="1229"/>
      <c r="I122" s="1230">
        <v>59.8</v>
      </c>
      <c r="J122" s="630" t="s">
        <v>291</v>
      </c>
      <c r="K122" s="492"/>
      <c r="L122" s="373"/>
      <c r="M122" s="1565">
        <v>100</v>
      </c>
    </row>
    <row r="123" spans="1:13" ht="16.399999999999999" customHeight="1" x14ac:dyDescent="0.25">
      <c r="A123" s="986"/>
      <c r="B123" s="999"/>
      <c r="C123" s="145"/>
      <c r="D123" s="1777" t="s">
        <v>248</v>
      </c>
      <c r="E123" s="166" t="s">
        <v>194</v>
      </c>
      <c r="F123" s="1235"/>
      <c r="G123" s="1236"/>
      <c r="H123" s="1237"/>
      <c r="I123" s="1238"/>
      <c r="J123" s="1769"/>
      <c r="K123" s="835"/>
      <c r="L123" s="793"/>
      <c r="M123" s="218"/>
    </row>
    <row r="124" spans="1:13" ht="16.399999999999999" customHeight="1" x14ac:dyDescent="0.25">
      <c r="A124" s="986"/>
      <c r="B124" s="999"/>
      <c r="C124" s="145"/>
      <c r="D124" s="1778"/>
      <c r="E124" s="163" t="s">
        <v>164</v>
      </c>
      <c r="F124" s="1195"/>
      <c r="G124" s="1192"/>
      <c r="H124" s="1193"/>
      <c r="I124" s="1194"/>
      <c r="J124" s="1770"/>
      <c r="K124" s="836"/>
      <c r="L124" s="796"/>
      <c r="M124" s="797"/>
    </row>
    <row r="125" spans="1:13" ht="15.75" customHeight="1" x14ac:dyDescent="0.25">
      <c r="A125" s="1705"/>
      <c r="B125" s="1706"/>
      <c r="C125" s="145"/>
      <c r="D125" s="1712" t="s">
        <v>139</v>
      </c>
      <c r="E125" s="1771"/>
      <c r="F125" s="1187" t="s">
        <v>366</v>
      </c>
      <c r="G125" s="1188">
        <v>25.4</v>
      </c>
      <c r="H125" s="1189">
        <v>26</v>
      </c>
      <c r="I125" s="1190">
        <v>26.5</v>
      </c>
      <c r="J125" s="1381" t="s">
        <v>99</v>
      </c>
      <c r="K125" s="470">
        <v>2</v>
      </c>
      <c r="L125" s="240">
        <v>2</v>
      </c>
      <c r="M125" s="60">
        <v>2</v>
      </c>
    </row>
    <row r="126" spans="1:13" ht="15.75" customHeight="1" x14ac:dyDescent="0.25">
      <c r="A126" s="1705"/>
      <c r="B126" s="1706"/>
      <c r="C126" s="145"/>
      <c r="D126" s="1713"/>
      <c r="E126" s="1771"/>
      <c r="F126" s="1239" t="s">
        <v>378</v>
      </c>
      <c r="G126" s="1188">
        <v>1.4</v>
      </c>
      <c r="H126" s="1189"/>
      <c r="I126" s="1190"/>
      <c r="J126" s="1365"/>
      <c r="K126" s="491"/>
      <c r="L126" s="241"/>
      <c r="M126" s="103"/>
    </row>
    <row r="127" spans="1:13" ht="15.75" customHeight="1" x14ac:dyDescent="0.25">
      <c r="A127" s="1705"/>
      <c r="B127" s="1706"/>
      <c r="C127" s="145"/>
      <c r="D127" s="1746"/>
      <c r="E127" s="1771"/>
      <c r="F127" s="1187" t="s">
        <v>377</v>
      </c>
      <c r="G127" s="1188">
        <v>5</v>
      </c>
      <c r="H127" s="1189">
        <v>5</v>
      </c>
      <c r="I127" s="1190">
        <v>5</v>
      </c>
      <c r="J127" s="1382" t="s">
        <v>437</v>
      </c>
      <c r="K127" s="202">
        <v>5</v>
      </c>
      <c r="L127" s="247">
        <v>5</v>
      </c>
      <c r="M127" s="645">
        <v>5</v>
      </c>
    </row>
    <row r="128" spans="1:13" ht="15" customHeight="1" x14ac:dyDescent="0.25">
      <c r="A128" s="986"/>
      <c r="B128" s="999"/>
      <c r="C128" s="145"/>
      <c r="D128" s="1713" t="s">
        <v>55</v>
      </c>
      <c r="E128" s="829"/>
      <c r="F128" s="1183" t="s">
        <v>377</v>
      </c>
      <c r="G128" s="1184">
        <v>21</v>
      </c>
      <c r="H128" s="1185">
        <v>21</v>
      </c>
      <c r="I128" s="1186">
        <v>21</v>
      </c>
      <c r="J128" s="1372" t="s">
        <v>436</v>
      </c>
      <c r="K128" s="201">
        <v>2</v>
      </c>
      <c r="L128" s="239">
        <v>2</v>
      </c>
      <c r="M128" s="168">
        <v>2</v>
      </c>
    </row>
    <row r="129" spans="1:13" ht="15" customHeight="1" x14ac:dyDescent="0.25">
      <c r="A129" s="986"/>
      <c r="B129" s="999"/>
      <c r="C129" s="85"/>
      <c r="D129" s="1746"/>
      <c r="E129" s="160"/>
      <c r="F129" s="1227" t="s">
        <v>378</v>
      </c>
      <c r="G129" s="1206">
        <v>1.3</v>
      </c>
      <c r="H129" s="1193"/>
      <c r="I129" s="1197"/>
      <c r="J129" s="1383"/>
      <c r="K129" s="230"/>
      <c r="L129" s="242"/>
      <c r="M129" s="170"/>
    </row>
    <row r="130" spans="1:13" ht="28.4" customHeight="1" x14ac:dyDescent="0.25">
      <c r="A130" s="986"/>
      <c r="B130" s="999"/>
      <c r="C130" s="85"/>
      <c r="D130" s="991" t="s">
        <v>185</v>
      </c>
      <c r="E130" s="1767" t="s">
        <v>225</v>
      </c>
      <c r="F130" s="1240" t="s">
        <v>366</v>
      </c>
      <c r="G130" s="1188">
        <f>135-85</f>
        <v>50</v>
      </c>
      <c r="H130" s="1189">
        <f>155+60</f>
        <v>215</v>
      </c>
      <c r="I130" s="1190">
        <v>60</v>
      </c>
      <c r="J130" s="1384" t="s">
        <v>295</v>
      </c>
      <c r="K130" s="1506"/>
      <c r="L130" s="566">
        <v>3</v>
      </c>
      <c r="M130" s="761">
        <v>2</v>
      </c>
    </row>
    <row r="131" spans="1:13" ht="28.5" customHeight="1" x14ac:dyDescent="0.25">
      <c r="A131" s="986"/>
      <c r="B131" s="999"/>
      <c r="C131" s="995"/>
      <c r="D131" s="1001"/>
      <c r="E131" s="1768"/>
      <c r="F131" s="1187"/>
      <c r="G131" s="1209"/>
      <c r="H131" s="1189"/>
      <c r="I131" s="1190"/>
      <c r="J131" s="1371" t="s">
        <v>233</v>
      </c>
      <c r="K131" s="418"/>
      <c r="L131" s="257"/>
      <c r="M131" s="178"/>
    </row>
    <row r="132" spans="1:13" ht="51.75" customHeight="1" x14ac:dyDescent="0.25">
      <c r="A132" s="986"/>
      <c r="B132" s="999"/>
      <c r="C132" s="85"/>
      <c r="D132" s="991"/>
      <c r="E132" s="1011"/>
      <c r="F132" s="1212" t="s">
        <v>367</v>
      </c>
      <c r="G132" s="1206">
        <v>77.5</v>
      </c>
      <c r="H132" s="1193"/>
      <c r="I132" s="1194"/>
      <c r="J132" s="1385" t="s">
        <v>184</v>
      </c>
      <c r="K132" s="1516"/>
      <c r="L132" s="258">
        <v>1</v>
      </c>
      <c r="M132" s="175"/>
    </row>
    <row r="133" spans="1:13" ht="53.25" customHeight="1" x14ac:dyDescent="0.25">
      <c r="A133" s="986"/>
      <c r="B133" s="999"/>
      <c r="C133" s="85"/>
      <c r="D133" s="131" t="s">
        <v>264</v>
      </c>
      <c r="E133" s="918" t="s">
        <v>387</v>
      </c>
      <c r="F133" s="1241" t="s">
        <v>366</v>
      </c>
      <c r="G133" s="1206"/>
      <c r="H133" s="1193"/>
      <c r="I133" s="1197">
        <v>459.2</v>
      </c>
      <c r="J133" s="1376" t="s">
        <v>265</v>
      </c>
      <c r="K133" s="749"/>
      <c r="L133" s="750"/>
      <c r="M133" s="176">
        <v>100</v>
      </c>
    </row>
    <row r="134" spans="1:13" ht="26.15" customHeight="1" x14ac:dyDescent="0.25">
      <c r="A134" s="986"/>
      <c r="B134" s="999"/>
      <c r="C134" s="85"/>
      <c r="D134" s="990" t="s">
        <v>196</v>
      </c>
      <c r="E134" s="570"/>
      <c r="F134" s="1211" t="s">
        <v>366</v>
      </c>
      <c r="G134" s="1242">
        <v>85.7</v>
      </c>
      <c r="H134" s="1189"/>
      <c r="I134" s="1190"/>
      <c r="J134" s="1375" t="s">
        <v>400</v>
      </c>
      <c r="K134" s="1380"/>
      <c r="L134" s="256">
        <v>1</v>
      </c>
      <c r="M134" s="1298"/>
    </row>
    <row r="135" spans="1:13" ht="19.399999999999999" customHeight="1" x14ac:dyDescent="0.25">
      <c r="A135" s="986"/>
      <c r="B135" s="999"/>
      <c r="C135" s="85"/>
      <c r="D135" s="996"/>
      <c r="E135" s="571"/>
      <c r="F135" s="1212" t="s">
        <v>367</v>
      </c>
      <c r="G135" s="1206">
        <v>16</v>
      </c>
      <c r="H135" s="1193"/>
      <c r="I135" s="1194"/>
      <c r="J135" s="1386" t="s">
        <v>432</v>
      </c>
      <c r="K135" s="834">
        <v>1</v>
      </c>
      <c r="L135" s="259"/>
      <c r="M135" s="176"/>
    </row>
    <row r="136" spans="1:13" ht="15" customHeight="1" thickBot="1" x14ac:dyDescent="0.3">
      <c r="A136" s="22"/>
      <c r="B136" s="156"/>
      <c r="C136" s="1022"/>
      <c r="D136" s="1035"/>
      <c r="E136" s="1027"/>
      <c r="F136" s="18" t="s">
        <v>5</v>
      </c>
      <c r="G136" s="314">
        <f>+G15+G16+G17+G18+G19+G20+G21+G22+G23+G24+G25+G26</f>
        <v>7721.9</v>
      </c>
      <c r="H136" s="514">
        <f>+H15+H16+H17+H18+H19+H20+H21+H22+H23+H24+H25+H26</f>
        <v>8934.4</v>
      </c>
      <c r="I136" s="314">
        <f>+I15+I16+I17+I18+I19+I20+I21+I22+I23+I24+I25+I26</f>
        <v>11496.2</v>
      </c>
      <c r="J136" s="1387"/>
      <c r="K136" s="1040"/>
      <c r="L136" s="1032"/>
      <c r="M136" s="1029"/>
    </row>
    <row r="137" spans="1:13" ht="16.5" customHeight="1" x14ac:dyDescent="0.25">
      <c r="A137" s="986" t="s">
        <v>4</v>
      </c>
      <c r="B137" s="999" t="s">
        <v>4</v>
      </c>
      <c r="C137" s="995" t="s">
        <v>6</v>
      </c>
      <c r="D137" s="1764" t="s">
        <v>47</v>
      </c>
      <c r="E137" s="878"/>
      <c r="F137" s="1014" t="s">
        <v>23</v>
      </c>
      <c r="G137" s="880">
        <f>3380.9+24+310.8-30-150-91.4</f>
        <v>3444.3</v>
      </c>
      <c r="H137" s="880">
        <f>3308.9+42+225.4</f>
        <v>3576.3</v>
      </c>
      <c r="I137" s="301">
        <f>3258.9+42</f>
        <v>3300.9</v>
      </c>
      <c r="J137" s="509"/>
      <c r="K137" s="880"/>
      <c r="L137" s="306"/>
      <c r="M137" s="879"/>
    </row>
    <row r="138" spans="1:13" ht="16.5" customHeight="1" x14ac:dyDescent="0.25">
      <c r="A138" s="986"/>
      <c r="B138" s="999"/>
      <c r="C138" s="995"/>
      <c r="D138" s="1765"/>
      <c r="E138" s="117"/>
      <c r="F138" s="1013" t="s">
        <v>38</v>
      </c>
      <c r="G138" s="47">
        <v>2</v>
      </c>
      <c r="H138" s="307">
        <v>2</v>
      </c>
      <c r="I138" s="381">
        <v>2</v>
      </c>
      <c r="J138" s="380"/>
      <c r="K138" s="505"/>
      <c r="L138" s="307"/>
      <c r="M138" s="381"/>
    </row>
    <row r="139" spans="1:13" ht="16.5" customHeight="1" x14ac:dyDescent="0.25">
      <c r="A139" s="986"/>
      <c r="B139" s="999"/>
      <c r="C139" s="995"/>
      <c r="D139" s="1766"/>
      <c r="E139" s="117"/>
      <c r="F139" s="549" t="s">
        <v>51</v>
      </c>
      <c r="G139" s="505">
        <f>162+9.3</f>
        <v>171.3</v>
      </c>
      <c r="H139" s="505">
        <f>94.6+150+30</f>
        <v>274.60000000000002</v>
      </c>
      <c r="I139" s="113"/>
      <c r="J139" s="504"/>
      <c r="K139" s="505"/>
      <c r="L139" s="307"/>
      <c r="M139" s="382"/>
    </row>
    <row r="140" spans="1:13" ht="27" customHeight="1" x14ac:dyDescent="0.25">
      <c r="A140" s="1705"/>
      <c r="B140" s="1749"/>
      <c r="C140" s="1745"/>
      <c r="D140" s="1712" t="s">
        <v>58</v>
      </c>
      <c r="E140" s="1762"/>
      <c r="F140" s="1222" t="s">
        <v>366</v>
      </c>
      <c r="G140" s="1184">
        <f>2931-150.7</f>
        <v>2780.3</v>
      </c>
      <c r="H140" s="1185">
        <v>2931</v>
      </c>
      <c r="I140" s="1186">
        <v>2931</v>
      </c>
      <c r="J140" s="1388" t="s">
        <v>135</v>
      </c>
      <c r="K140" s="392">
        <v>8.9</v>
      </c>
      <c r="L140" s="666">
        <v>8.9</v>
      </c>
      <c r="M140" s="667">
        <v>8.9</v>
      </c>
    </row>
    <row r="141" spans="1:13" ht="16.5" customHeight="1" x14ac:dyDescent="0.25">
      <c r="A141" s="1705"/>
      <c r="B141" s="1749"/>
      <c r="C141" s="1745"/>
      <c r="D141" s="1761"/>
      <c r="E141" s="1763"/>
      <c r="F141" s="1228" t="s">
        <v>367</v>
      </c>
      <c r="G141" s="1243">
        <v>150.69999999999999</v>
      </c>
      <c r="H141" s="1229"/>
      <c r="I141" s="1226"/>
      <c r="J141" s="1385" t="s">
        <v>115</v>
      </c>
      <c r="K141" s="485">
        <v>425</v>
      </c>
      <c r="L141" s="247">
        <v>425</v>
      </c>
      <c r="M141" s="169">
        <v>425</v>
      </c>
    </row>
    <row r="142" spans="1:13" ht="16.5" customHeight="1" x14ac:dyDescent="0.25">
      <c r="A142" s="1705"/>
      <c r="B142" s="1749"/>
      <c r="C142" s="1745"/>
      <c r="D142" s="1757" t="s">
        <v>35</v>
      </c>
      <c r="E142" s="1003"/>
      <c r="F142" s="1222" t="s">
        <v>366</v>
      </c>
      <c r="G142" s="1184">
        <v>150</v>
      </c>
      <c r="H142" s="1185">
        <v>150</v>
      </c>
      <c r="I142" s="1186">
        <v>150</v>
      </c>
      <c r="J142" s="1372" t="s">
        <v>37</v>
      </c>
      <c r="K142" s="202">
        <v>60</v>
      </c>
      <c r="L142" s="240">
        <v>60</v>
      </c>
      <c r="M142" s="169">
        <v>60</v>
      </c>
    </row>
    <row r="143" spans="1:13" ht="26.25" customHeight="1" x14ac:dyDescent="0.25">
      <c r="A143" s="1705"/>
      <c r="B143" s="1749"/>
      <c r="C143" s="1745"/>
      <c r="D143" s="1760"/>
      <c r="E143" s="1004"/>
      <c r="F143" s="1187" t="s">
        <v>377</v>
      </c>
      <c r="G143" s="1188">
        <v>2</v>
      </c>
      <c r="H143" s="1189">
        <v>2</v>
      </c>
      <c r="I143" s="1190">
        <v>2</v>
      </c>
      <c r="J143" s="630" t="s">
        <v>59</v>
      </c>
      <c r="K143" s="424">
        <v>1500</v>
      </c>
      <c r="L143" s="262">
        <v>1500</v>
      </c>
      <c r="M143" s="221">
        <v>1500</v>
      </c>
    </row>
    <row r="144" spans="1:13" ht="28.4" customHeight="1" x14ac:dyDescent="0.25">
      <c r="A144" s="986"/>
      <c r="B144" s="999"/>
      <c r="C144" s="995"/>
      <c r="D144" s="1001"/>
      <c r="E144" s="1004"/>
      <c r="F144" s="1244" t="s">
        <v>366</v>
      </c>
      <c r="G144" s="1231">
        <v>30</v>
      </c>
      <c r="H144" s="1232"/>
      <c r="I144" s="1233"/>
      <c r="J144" s="1371" t="s">
        <v>245</v>
      </c>
      <c r="K144" s="1533"/>
      <c r="L144" s="257">
        <v>1</v>
      </c>
      <c r="M144" s="178"/>
    </row>
    <row r="145" spans="1:13" ht="27.75" customHeight="1" x14ac:dyDescent="0.25">
      <c r="A145" s="986"/>
      <c r="B145" s="999"/>
      <c r="C145" s="995"/>
      <c r="D145" s="1001"/>
      <c r="E145" s="1004"/>
      <c r="F145" s="1245" t="s">
        <v>366</v>
      </c>
      <c r="G145" s="1188">
        <v>150</v>
      </c>
      <c r="H145" s="1232"/>
      <c r="I145" s="1190"/>
      <c r="J145" s="1371" t="s">
        <v>279</v>
      </c>
      <c r="K145" s="1533"/>
      <c r="L145" s="257">
        <v>1</v>
      </c>
      <c r="M145" s="178"/>
    </row>
    <row r="146" spans="1:13" ht="39.75" customHeight="1" x14ac:dyDescent="0.25">
      <c r="A146" s="986"/>
      <c r="B146" s="999"/>
      <c r="C146" s="995"/>
      <c r="D146" s="1001"/>
      <c r="E146" s="1004"/>
      <c r="F146" s="1235" t="s">
        <v>366</v>
      </c>
      <c r="G146" s="1246"/>
      <c r="H146" s="1189">
        <v>50</v>
      </c>
      <c r="I146" s="1247"/>
      <c r="J146" s="1371" t="s">
        <v>266</v>
      </c>
      <c r="K146" s="418"/>
      <c r="L146" s="354">
        <v>1</v>
      </c>
      <c r="M146" s="639"/>
    </row>
    <row r="147" spans="1:13" ht="24.75" customHeight="1" x14ac:dyDescent="0.25">
      <c r="A147" s="986"/>
      <c r="B147" s="999"/>
      <c r="C147" s="995"/>
      <c r="D147" s="1757" t="s">
        <v>85</v>
      </c>
      <c r="E147" s="1003"/>
      <c r="F147" s="1183" t="s">
        <v>366</v>
      </c>
      <c r="G147" s="1184">
        <v>89.6</v>
      </c>
      <c r="H147" s="1185">
        <v>89.6</v>
      </c>
      <c r="I147" s="1186">
        <v>89.6</v>
      </c>
      <c r="J147" s="1375" t="s">
        <v>102</v>
      </c>
      <c r="K147" s="425" t="s">
        <v>181</v>
      </c>
      <c r="L147" s="263" t="s">
        <v>181</v>
      </c>
      <c r="M147" s="222" t="s">
        <v>181</v>
      </c>
    </row>
    <row r="148" spans="1:13" ht="28.4" customHeight="1" x14ac:dyDescent="0.25">
      <c r="A148" s="986"/>
      <c r="B148" s="999"/>
      <c r="C148" s="995"/>
      <c r="D148" s="1758"/>
      <c r="E148" s="1004"/>
      <c r="F148" s="1195"/>
      <c r="G148" s="1188"/>
      <c r="H148" s="1189"/>
      <c r="I148" s="1190"/>
      <c r="J148" s="1370" t="s">
        <v>103</v>
      </c>
      <c r="K148" s="426" t="s">
        <v>182</v>
      </c>
      <c r="L148" s="198" t="s">
        <v>182</v>
      </c>
      <c r="M148" s="223" t="s">
        <v>182</v>
      </c>
    </row>
    <row r="149" spans="1:13" ht="18.649999999999999" customHeight="1" x14ac:dyDescent="0.25">
      <c r="A149" s="986"/>
      <c r="B149" s="999"/>
      <c r="C149" s="995"/>
      <c r="D149" s="1712" t="s">
        <v>50</v>
      </c>
      <c r="E149" s="1004"/>
      <c r="F149" s="1183" t="s">
        <v>366</v>
      </c>
      <c r="G149" s="1242">
        <v>81</v>
      </c>
      <c r="H149" s="1185">
        <v>88.3</v>
      </c>
      <c r="I149" s="1217">
        <v>88.3</v>
      </c>
      <c r="J149" s="1388" t="s">
        <v>36</v>
      </c>
      <c r="K149" s="201">
        <v>15</v>
      </c>
      <c r="L149" s="239">
        <v>15</v>
      </c>
      <c r="M149" s="168">
        <v>15</v>
      </c>
    </row>
    <row r="150" spans="1:13" ht="18.649999999999999" customHeight="1" x14ac:dyDescent="0.25">
      <c r="A150" s="986"/>
      <c r="B150" s="999"/>
      <c r="C150" s="85"/>
      <c r="D150" s="1746"/>
      <c r="E150" s="1004"/>
      <c r="F150" s="1195" t="s">
        <v>367</v>
      </c>
      <c r="G150" s="1188">
        <v>7.3</v>
      </c>
      <c r="H150" s="1193"/>
      <c r="I150" s="1190"/>
      <c r="J150" s="1386"/>
      <c r="K150" s="486"/>
      <c r="L150" s="240"/>
      <c r="M150" s="579"/>
    </row>
    <row r="151" spans="1:13" ht="18.649999999999999" customHeight="1" x14ac:dyDescent="0.25">
      <c r="A151" s="986"/>
      <c r="B151" s="999"/>
      <c r="C151" s="995"/>
      <c r="D151" s="1759" t="s">
        <v>160</v>
      </c>
      <c r="E151" s="1004"/>
      <c r="F151" s="1183" t="s">
        <v>367</v>
      </c>
      <c r="G151" s="1184">
        <v>4</v>
      </c>
      <c r="H151" s="1185"/>
      <c r="I151" s="1186"/>
      <c r="J151" s="1374" t="s">
        <v>76</v>
      </c>
      <c r="K151" s="422">
        <v>1</v>
      </c>
      <c r="L151" s="377"/>
      <c r="M151" s="393"/>
    </row>
    <row r="152" spans="1:13" ht="29.15" customHeight="1" x14ac:dyDescent="0.25">
      <c r="A152" s="21"/>
      <c r="B152" s="999"/>
      <c r="C152" s="995"/>
      <c r="D152" s="1660"/>
      <c r="E152" s="1016"/>
      <c r="F152" s="1195" t="s">
        <v>366</v>
      </c>
      <c r="G152" s="1206">
        <v>100</v>
      </c>
      <c r="H152" s="1193"/>
      <c r="I152" s="1197"/>
      <c r="J152" s="1386" t="s">
        <v>267</v>
      </c>
      <c r="K152" s="1569"/>
      <c r="L152" s="242">
        <v>100</v>
      </c>
      <c r="M152" s="170"/>
    </row>
    <row r="153" spans="1:13" ht="40" customHeight="1" x14ac:dyDescent="0.25">
      <c r="A153" s="21"/>
      <c r="B153" s="1178"/>
      <c r="C153" s="1177"/>
      <c r="D153" s="131" t="s">
        <v>433</v>
      </c>
      <c r="E153" s="1299"/>
      <c r="F153" s="1224"/>
      <c r="G153" s="1188"/>
      <c r="H153" s="1218"/>
      <c r="I153" s="1223"/>
      <c r="J153" s="1376" t="s">
        <v>438</v>
      </c>
      <c r="K153" s="202">
        <v>15</v>
      </c>
      <c r="L153" s="1303">
        <v>15</v>
      </c>
      <c r="M153" s="1175">
        <v>15</v>
      </c>
    </row>
    <row r="154" spans="1:13" ht="15" customHeight="1" thickBot="1" x14ac:dyDescent="0.3">
      <c r="A154" s="22"/>
      <c r="B154" s="156"/>
      <c r="C154" s="1022"/>
      <c r="D154" s="1037"/>
      <c r="E154" s="1025"/>
      <c r="F154" s="18" t="s">
        <v>5</v>
      </c>
      <c r="G154" s="511">
        <f>+G137+G138+G139</f>
        <v>3617.6</v>
      </c>
      <c r="H154" s="407">
        <f>+H137+H138+H139</f>
        <v>3852.9</v>
      </c>
      <c r="I154" s="406">
        <f>+I137+I138+I139</f>
        <v>3302.9</v>
      </c>
      <c r="J154" s="1387"/>
      <c r="K154" s="1026"/>
      <c r="L154" s="1028"/>
      <c r="M154" s="1029"/>
    </row>
    <row r="155" spans="1:13" ht="18" customHeight="1" x14ac:dyDescent="0.25">
      <c r="A155" s="1747" t="s">
        <v>4</v>
      </c>
      <c r="B155" s="1748" t="s">
        <v>4</v>
      </c>
      <c r="C155" s="1750" t="s">
        <v>25</v>
      </c>
      <c r="D155" s="1751" t="s">
        <v>48</v>
      </c>
      <c r="E155" s="1753" t="s">
        <v>225</v>
      </c>
      <c r="F155" s="115" t="s">
        <v>23</v>
      </c>
      <c r="G155" s="880">
        <f>2429.3+0.6+25.3+12.4</f>
        <v>2467.6</v>
      </c>
      <c r="H155" s="306">
        <f>2945.2+6</f>
        <v>2951.2</v>
      </c>
      <c r="I155" s="326">
        <f>3086.3+6</f>
        <v>3092.3</v>
      </c>
      <c r="J155" s="1735"/>
      <c r="K155" s="1737"/>
      <c r="L155" s="1741"/>
      <c r="M155" s="1743"/>
    </row>
    <row r="156" spans="1:13" ht="18" customHeight="1" x14ac:dyDescent="0.25">
      <c r="A156" s="1705"/>
      <c r="B156" s="1749"/>
      <c r="C156" s="1745"/>
      <c r="D156" s="1752"/>
      <c r="E156" s="1754"/>
      <c r="F156" s="1015" t="s">
        <v>51</v>
      </c>
      <c r="G156" s="47">
        <v>277.60000000000002</v>
      </c>
      <c r="H156" s="307"/>
      <c r="I156" s="47"/>
      <c r="J156" s="1736"/>
      <c r="K156" s="1738"/>
      <c r="L156" s="1742"/>
      <c r="M156" s="1744"/>
    </row>
    <row r="157" spans="1:13" ht="15.75" customHeight="1" x14ac:dyDescent="0.25">
      <c r="A157" s="1705"/>
      <c r="B157" s="1706"/>
      <c r="C157" s="1745"/>
      <c r="D157" s="1713" t="s">
        <v>77</v>
      </c>
      <c r="E157" s="1755"/>
      <c r="F157" s="1183" t="s">
        <v>366</v>
      </c>
      <c r="G157" s="1184">
        <f>2473.3-264.1</f>
        <v>2209.1999999999998</v>
      </c>
      <c r="H157" s="1185">
        <v>2597</v>
      </c>
      <c r="I157" s="1184">
        <v>2726.8</v>
      </c>
      <c r="J157" s="1372" t="s">
        <v>60</v>
      </c>
      <c r="K157" s="633">
        <v>18.100000000000001</v>
      </c>
      <c r="L157" s="634">
        <v>18.899999999999999</v>
      </c>
      <c r="M157" s="635">
        <v>19.600000000000001</v>
      </c>
    </row>
    <row r="158" spans="1:13" ht="15.75" customHeight="1" x14ac:dyDescent="0.25">
      <c r="A158" s="1705"/>
      <c r="B158" s="1706"/>
      <c r="C158" s="1745"/>
      <c r="D158" s="1746"/>
      <c r="E158" s="1756"/>
      <c r="F158" s="1195" t="s">
        <v>367</v>
      </c>
      <c r="G158" s="1206">
        <v>264.10000000000002</v>
      </c>
      <c r="H158" s="1193"/>
      <c r="I158" s="1206"/>
      <c r="J158" s="1385" t="s">
        <v>401</v>
      </c>
      <c r="K158" s="484">
        <v>9.6999999999999993</v>
      </c>
      <c r="L158" s="264">
        <v>10.1</v>
      </c>
      <c r="M158" s="224">
        <v>10.5</v>
      </c>
    </row>
    <row r="159" spans="1:13" ht="16.5" customHeight="1" x14ac:dyDescent="0.25">
      <c r="A159" s="986"/>
      <c r="B159" s="999"/>
      <c r="C159" s="995"/>
      <c r="D159" s="1712" t="s">
        <v>116</v>
      </c>
      <c r="E159" s="141"/>
      <c r="F159" s="1187" t="s">
        <v>366</v>
      </c>
      <c r="G159" s="1184">
        <v>38.4</v>
      </c>
      <c r="H159" s="1185">
        <v>41.1</v>
      </c>
      <c r="I159" s="1186">
        <v>44</v>
      </c>
      <c r="J159" s="1381" t="s">
        <v>401</v>
      </c>
      <c r="K159" s="392">
        <v>0.3</v>
      </c>
      <c r="L159" s="261">
        <v>0.3</v>
      </c>
      <c r="M159" s="220">
        <v>0.3</v>
      </c>
    </row>
    <row r="160" spans="1:13" ht="26.25" customHeight="1" x14ac:dyDescent="0.25">
      <c r="A160" s="986"/>
      <c r="B160" s="999"/>
      <c r="C160" s="995"/>
      <c r="D160" s="1713"/>
      <c r="E160" s="1000"/>
      <c r="F160" s="1187" t="s">
        <v>366</v>
      </c>
      <c r="G160" s="1188">
        <v>147.80000000000001</v>
      </c>
      <c r="H160" s="1189">
        <v>149.19999999999999</v>
      </c>
      <c r="I160" s="1190">
        <v>150.6</v>
      </c>
      <c r="J160" s="1369" t="s">
        <v>170</v>
      </c>
      <c r="K160" s="418">
        <v>1632</v>
      </c>
      <c r="L160" s="257">
        <v>1632</v>
      </c>
      <c r="M160" s="178">
        <v>1632</v>
      </c>
    </row>
    <row r="161" spans="1:13" ht="39" customHeight="1" x14ac:dyDescent="0.25">
      <c r="A161" s="986"/>
      <c r="B161" s="987"/>
      <c r="C161" s="995"/>
      <c r="D161" s="1713"/>
      <c r="E161" s="1000"/>
      <c r="F161" s="1187" t="s">
        <v>366</v>
      </c>
      <c r="G161" s="1248">
        <v>3.9</v>
      </c>
      <c r="H161" s="1189">
        <v>3.9</v>
      </c>
      <c r="I161" s="1190">
        <v>3.9</v>
      </c>
      <c r="J161" s="1369" t="s">
        <v>171</v>
      </c>
      <c r="K161" s="419">
        <v>17.5</v>
      </c>
      <c r="L161" s="251">
        <v>17.5</v>
      </c>
      <c r="M161" s="214">
        <v>17.5</v>
      </c>
    </row>
    <row r="162" spans="1:13" ht="30" customHeight="1" x14ac:dyDescent="0.25">
      <c r="A162" s="986"/>
      <c r="B162" s="999"/>
      <c r="C162" s="995"/>
      <c r="D162" s="1734"/>
      <c r="E162" s="1016"/>
      <c r="F162" s="1249"/>
      <c r="G162" s="1250"/>
      <c r="H162" s="1251"/>
      <c r="I162" s="1252"/>
      <c r="J162" s="1386" t="s">
        <v>187</v>
      </c>
      <c r="K162" s="230">
        <v>5</v>
      </c>
      <c r="L162" s="242">
        <v>5</v>
      </c>
      <c r="M162" s="170">
        <v>5</v>
      </c>
    </row>
    <row r="163" spans="1:13" ht="28.5" customHeight="1" x14ac:dyDescent="0.25">
      <c r="A163" s="986"/>
      <c r="B163" s="999"/>
      <c r="C163" s="995"/>
      <c r="D163" s="982" t="s">
        <v>379</v>
      </c>
      <c r="E163" s="154"/>
      <c r="F163" s="1224"/>
      <c r="G163" s="1192"/>
      <c r="H163" s="1225"/>
      <c r="I163" s="1223"/>
      <c r="J163" s="1388"/>
      <c r="K163" s="201"/>
      <c r="L163" s="239"/>
      <c r="M163" s="168"/>
    </row>
    <row r="164" spans="1:13" ht="23.25" customHeight="1" x14ac:dyDescent="0.25">
      <c r="A164" s="21"/>
      <c r="B164" s="999"/>
      <c r="C164" s="85"/>
      <c r="D164" s="990" t="s">
        <v>339</v>
      </c>
      <c r="E164" s="829"/>
      <c r="F164" s="1187" t="s">
        <v>366</v>
      </c>
      <c r="G164" s="1253">
        <v>30</v>
      </c>
      <c r="H164" s="1185"/>
      <c r="I164" s="1217"/>
      <c r="J164" s="1375" t="s">
        <v>148</v>
      </c>
      <c r="K164" s="421">
        <v>100</v>
      </c>
      <c r="L164" s="275"/>
      <c r="M164" s="60"/>
    </row>
    <row r="165" spans="1:13" ht="23.25" customHeight="1" x14ac:dyDescent="0.25">
      <c r="A165" s="21"/>
      <c r="B165" s="999"/>
      <c r="C165" s="85"/>
      <c r="D165" s="996"/>
      <c r="E165" s="780"/>
      <c r="F165" s="1187" t="s">
        <v>367</v>
      </c>
      <c r="G165" s="1188">
        <v>13.5</v>
      </c>
      <c r="H165" s="1189"/>
      <c r="I165" s="1188"/>
      <c r="J165" s="1386" t="s">
        <v>154</v>
      </c>
      <c r="K165" s="1048">
        <v>4</v>
      </c>
      <c r="L165" s="877"/>
      <c r="M165" s="645"/>
    </row>
    <row r="166" spans="1:13" ht="26.25" customHeight="1" x14ac:dyDescent="0.25">
      <c r="A166" s="21"/>
      <c r="B166" s="999"/>
      <c r="C166" s="85"/>
      <c r="D166" s="1008" t="s">
        <v>301</v>
      </c>
      <c r="E166" s="117"/>
      <c r="F166" s="1183" t="s">
        <v>366</v>
      </c>
      <c r="G166" s="1242"/>
      <c r="H166" s="1185">
        <v>145.4</v>
      </c>
      <c r="I166" s="1217"/>
      <c r="J166" s="1375" t="s">
        <v>148</v>
      </c>
      <c r="K166" s="201"/>
      <c r="L166" s="239">
        <v>100</v>
      </c>
      <c r="M166" s="60"/>
    </row>
    <row r="167" spans="1:13" ht="17.25" customHeight="1" x14ac:dyDescent="0.3">
      <c r="A167" s="21"/>
      <c r="B167" s="999"/>
      <c r="C167" s="85"/>
      <c r="D167" s="110" t="s">
        <v>302</v>
      </c>
      <c r="E167" s="117"/>
      <c r="F167" s="1187" t="s">
        <v>366</v>
      </c>
      <c r="G167" s="1188"/>
      <c r="H167" s="1189">
        <v>8.6</v>
      </c>
      <c r="I167" s="1188"/>
      <c r="J167" s="1389" t="s">
        <v>154</v>
      </c>
      <c r="K167" s="832"/>
      <c r="L167" s="255">
        <v>8</v>
      </c>
      <c r="M167" s="104"/>
    </row>
    <row r="168" spans="1:13" ht="29.25" customHeight="1" x14ac:dyDescent="0.25">
      <c r="A168" s="21"/>
      <c r="B168" s="999"/>
      <c r="C168" s="85"/>
      <c r="D168" s="110" t="s">
        <v>402</v>
      </c>
      <c r="E168" s="117"/>
      <c r="F168" s="1187"/>
      <c r="G168" s="1188"/>
      <c r="H168" s="1189"/>
      <c r="I168" s="1188"/>
      <c r="J168" s="1370"/>
      <c r="K168" s="202"/>
      <c r="L168" s="240"/>
      <c r="M168" s="149"/>
    </row>
    <row r="169" spans="1:13" ht="17.25" customHeight="1" x14ac:dyDescent="0.25">
      <c r="A169" s="21"/>
      <c r="B169" s="999"/>
      <c r="C169" s="85"/>
      <c r="D169" s="110" t="s">
        <v>304</v>
      </c>
      <c r="E169" s="117"/>
      <c r="F169" s="1187"/>
      <c r="G169" s="1188"/>
      <c r="H169" s="1189"/>
      <c r="I169" s="1188"/>
      <c r="J169" s="1370"/>
      <c r="K169" s="202"/>
      <c r="L169" s="240"/>
      <c r="M169" s="149"/>
    </row>
    <row r="170" spans="1:13" ht="17.25" customHeight="1" x14ac:dyDescent="0.25">
      <c r="A170" s="21"/>
      <c r="B170" s="999"/>
      <c r="C170" s="85"/>
      <c r="D170" s="110" t="s">
        <v>305</v>
      </c>
      <c r="E170" s="117"/>
      <c r="F170" s="1187"/>
      <c r="G170" s="1188"/>
      <c r="H170" s="1189"/>
      <c r="I170" s="1188"/>
      <c r="J170" s="1370"/>
      <c r="K170" s="202"/>
      <c r="L170" s="240"/>
      <c r="M170" s="149"/>
    </row>
    <row r="171" spans="1:13" ht="17.25" customHeight="1" x14ac:dyDescent="0.25">
      <c r="A171" s="21"/>
      <c r="B171" s="999"/>
      <c r="C171" s="85"/>
      <c r="D171" s="110" t="s">
        <v>306</v>
      </c>
      <c r="E171" s="117"/>
      <c r="F171" s="1187"/>
      <c r="G171" s="1188"/>
      <c r="H171" s="1189"/>
      <c r="I171" s="1188"/>
      <c r="J171" s="1370"/>
      <c r="K171" s="202"/>
      <c r="L171" s="240"/>
      <c r="M171" s="149"/>
    </row>
    <row r="172" spans="1:13" ht="17.899999999999999" customHeight="1" x14ac:dyDescent="0.25">
      <c r="A172" s="21"/>
      <c r="B172" s="999"/>
      <c r="C172" s="85"/>
      <c r="D172" s="676" t="s">
        <v>296</v>
      </c>
      <c r="E172" s="117"/>
      <c r="F172" s="1187"/>
      <c r="G172" s="1188"/>
      <c r="H172" s="1189"/>
      <c r="I172" s="1188"/>
      <c r="J172" s="1370"/>
      <c r="K172" s="202"/>
      <c r="L172" s="240"/>
      <c r="M172" s="149"/>
    </row>
    <row r="173" spans="1:13" ht="17.899999999999999" customHeight="1" x14ac:dyDescent="0.25">
      <c r="A173" s="21"/>
      <c r="B173" s="999"/>
      <c r="C173" s="85"/>
      <c r="D173" s="677" t="s">
        <v>403</v>
      </c>
      <c r="E173" s="117"/>
      <c r="F173" s="1187"/>
      <c r="G173" s="1188"/>
      <c r="H173" s="1189"/>
      <c r="I173" s="1188"/>
      <c r="J173" s="1370"/>
      <c r="K173" s="202"/>
      <c r="L173" s="240"/>
      <c r="M173" s="149"/>
    </row>
    <row r="174" spans="1:13" ht="17.899999999999999" customHeight="1" x14ac:dyDescent="0.25">
      <c r="A174" s="21"/>
      <c r="B174" s="999"/>
      <c r="C174" s="85"/>
      <c r="D174" s="678" t="s">
        <v>404</v>
      </c>
      <c r="E174" s="117"/>
      <c r="F174" s="1187"/>
      <c r="G174" s="1188"/>
      <c r="H174" s="1189"/>
      <c r="I174" s="1188"/>
      <c r="J174" s="1370"/>
      <c r="K174" s="202"/>
      <c r="L174" s="240"/>
      <c r="M174" s="149"/>
    </row>
    <row r="175" spans="1:13" ht="28.4" customHeight="1" x14ac:dyDescent="0.25">
      <c r="A175" s="21"/>
      <c r="B175" s="999"/>
      <c r="C175" s="85"/>
      <c r="D175" s="678" t="s">
        <v>405</v>
      </c>
      <c r="E175" s="117"/>
      <c r="F175" s="1187"/>
      <c r="G175" s="1188"/>
      <c r="H175" s="1189"/>
      <c r="I175" s="1188"/>
      <c r="J175" s="1370"/>
      <c r="K175" s="202"/>
      <c r="L175" s="240"/>
      <c r="M175" s="149"/>
    </row>
    <row r="176" spans="1:13" ht="28.4" customHeight="1" x14ac:dyDescent="0.25">
      <c r="A176" s="21"/>
      <c r="B176" s="999"/>
      <c r="C176" s="85"/>
      <c r="D176" s="676" t="s">
        <v>406</v>
      </c>
      <c r="E176" s="117"/>
      <c r="F176" s="1187"/>
      <c r="G176" s="1188"/>
      <c r="H176" s="1189"/>
      <c r="I176" s="1188"/>
      <c r="J176" s="1370"/>
      <c r="K176" s="202"/>
      <c r="L176" s="240"/>
      <c r="M176" s="149"/>
    </row>
    <row r="177" spans="1:13" ht="28.4" customHeight="1" x14ac:dyDescent="0.25">
      <c r="A177" s="21"/>
      <c r="B177" s="999"/>
      <c r="C177" s="85"/>
      <c r="D177" s="679" t="s">
        <v>407</v>
      </c>
      <c r="E177" s="646"/>
      <c r="F177" s="1195"/>
      <c r="G177" s="1192"/>
      <c r="H177" s="1193"/>
      <c r="I177" s="1194"/>
      <c r="J177" s="1370"/>
      <c r="K177" s="486"/>
      <c r="L177" s="242"/>
      <c r="M177" s="149"/>
    </row>
    <row r="178" spans="1:13" ht="17.25" customHeight="1" x14ac:dyDescent="0.25">
      <c r="A178" s="21"/>
      <c r="B178" s="999"/>
      <c r="C178" s="85"/>
      <c r="D178" s="355" t="s">
        <v>307</v>
      </c>
      <c r="E178" s="117"/>
      <c r="F178" s="1187" t="s">
        <v>366</v>
      </c>
      <c r="G178" s="1188"/>
      <c r="H178" s="1189"/>
      <c r="I178" s="1188">
        <v>161</v>
      </c>
      <c r="J178" s="1388" t="s">
        <v>148</v>
      </c>
      <c r="K178" s="202"/>
      <c r="L178" s="240"/>
      <c r="M178" s="60">
        <v>100</v>
      </c>
    </row>
    <row r="179" spans="1:13" ht="26.9" customHeight="1" x14ac:dyDescent="0.25">
      <c r="A179" s="21"/>
      <c r="B179" s="999"/>
      <c r="C179" s="85"/>
      <c r="D179" s="110" t="s">
        <v>308</v>
      </c>
      <c r="E179" s="117"/>
      <c r="F179" s="1187"/>
      <c r="G179" s="1188"/>
      <c r="H179" s="1189"/>
      <c r="I179" s="1188"/>
      <c r="J179" s="1370"/>
      <c r="K179" s="202"/>
      <c r="L179" s="240"/>
      <c r="M179" s="149"/>
    </row>
    <row r="180" spans="1:13" ht="26.9" customHeight="1" x14ac:dyDescent="0.25">
      <c r="A180" s="21"/>
      <c r="B180" s="999"/>
      <c r="C180" s="85"/>
      <c r="D180" s="110" t="s">
        <v>309</v>
      </c>
      <c r="E180" s="117"/>
      <c r="F180" s="1187"/>
      <c r="G180" s="1188"/>
      <c r="H180" s="1189"/>
      <c r="I180" s="1188"/>
      <c r="J180" s="1370"/>
      <c r="K180" s="202"/>
      <c r="L180" s="240"/>
      <c r="M180" s="149"/>
    </row>
    <row r="181" spans="1:13" ht="26.9" customHeight="1" x14ac:dyDescent="0.25">
      <c r="A181" s="21"/>
      <c r="B181" s="999"/>
      <c r="C181" s="85"/>
      <c r="D181" s="110" t="s">
        <v>314</v>
      </c>
      <c r="E181" s="117"/>
      <c r="F181" s="1187"/>
      <c r="G181" s="1188"/>
      <c r="H181" s="1189"/>
      <c r="I181" s="1188"/>
      <c r="J181" s="1370"/>
      <c r="K181" s="202"/>
      <c r="L181" s="240"/>
      <c r="M181" s="149"/>
    </row>
    <row r="182" spans="1:13" ht="26.9" customHeight="1" x14ac:dyDescent="0.25">
      <c r="A182" s="21"/>
      <c r="B182" s="999"/>
      <c r="C182" s="85"/>
      <c r="D182" s="110" t="s">
        <v>310</v>
      </c>
      <c r="E182" s="117"/>
      <c r="F182" s="1187"/>
      <c r="G182" s="1188"/>
      <c r="H182" s="1189"/>
      <c r="I182" s="1188"/>
      <c r="J182" s="1370"/>
      <c r="K182" s="202"/>
      <c r="L182" s="240"/>
      <c r="M182" s="149"/>
    </row>
    <row r="183" spans="1:13" ht="26.9" customHeight="1" x14ac:dyDescent="0.25">
      <c r="A183" s="21"/>
      <c r="B183" s="999"/>
      <c r="C183" s="85"/>
      <c r="D183" s="110" t="s">
        <v>408</v>
      </c>
      <c r="E183" s="117"/>
      <c r="F183" s="1187"/>
      <c r="G183" s="1188"/>
      <c r="H183" s="1189"/>
      <c r="I183" s="1188"/>
      <c r="J183" s="1370"/>
      <c r="K183" s="202"/>
      <c r="L183" s="240"/>
      <c r="M183" s="149"/>
    </row>
    <row r="184" spans="1:13" ht="15" customHeight="1" x14ac:dyDescent="0.25">
      <c r="A184" s="21"/>
      <c r="B184" s="999"/>
      <c r="C184" s="85"/>
      <c r="D184" s="110" t="s">
        <v>311</v>
      </c>
      <c r="E184" s="117"/>
      <c r="F184" s="1187"/>
      <c r="G184" s="1188"/>
      <c r="H184" s="1189"/>
      <c r="I184" s="1188"/>
      <c r="J184" s="1370"/>
      <c r="K184" s="202"/>
      <c r="L184" s="240"/>
      <c r="M184" s="149"/>
    </row>
    <row r="185" spans="1:13" ht="26.9" customHeight="1" x14ac:dyDescent="0.25">
      <c r="A185" s="21"/>
      <c r="B185" s="999"/>
      <c r="C185" s="85"/>
      <c r="D185" s="110" t="s">
        <v>409</v>
      </c>
      <c r="E185" s="117"/>
      <c r="F185" s="1187"/>
      <c r="G185" s="1188"/>
      <c r="H185" s="1189"/>
      <c r="I185" s="1188"/>
      <c r="J185" s="1370"/>
      <c r="K185" s="202"/>
      <c r="L185" s="240"/>
      <c r="M185" s="149"/>
    </row>
    <row r="186" spans="1:13" ht="25.5" customHeight="1" x14ac:dyDescent="0.25">
      <c r="A186" s="21"/>
      <c r="B186" s="999"/>
      <c r="C186" s="85"/>
      <c r="D186" s="110" t="s">
        <v>300</v>
      </c>
      <c r="E186" s="117"/>
      <c r="F186" s="1187"/>
      <c r="G186" s="1188"/>
      <c r="H186" s="1189"/>
      <c r="I186" s="1188"/>
      <c r="J186" s="1370"/>
      <c r="K186" s="202"/>
      <c r="L186" s="240"/>
      <c r="M186" s="149"/>
    </row>
    <row r="187" spans="1:13" ht="27" customHeight="1" x14ac:dyDescent="0.25">
      <c r="A187" s="21"/>
      <c r="B187" s="999"/>
      <c r="C187" s="85"/>
      <c r="D187" s="110" t="s">
        <v>410</v>
      </c>
      <c r="E187" s="117"/>
      <c r="F187" s="1187"/>
      <c r="G187" s="1188"/>
      <c r="H187" s="1189"/>
      <c r="I187" s="1188"/>
      <c r="J187" s="1370"/>
      <c r="K187" s="202"/>
      <c r="L187" s="240"/>
      <c r="M187" s="149"/>
    </row>
    <row r="188" spans="1:13" ht="14.5" customHeight="1" thickBot="1" x14ac:dyDescent="0.3">
      <c r="A188" s="22"/>
      <c r="B188" s="156"/>
      <c r="C188" s="1022"/>
      <c r="D188" s="1037"/>
      <c r="E188" s="1038"/>
      <c r="F188" s="839" t="s">
        <v>5</v>
      </c>
      <c r="G188" s="513">
        <f>+G155+G156</f>
        <v>2745.2</v>
      </c>
      <c r="H188" s="407">
        <f>+H155+H156</f>
        <v>2951.2</v>
      </c>
      <c r="I188" s="406">
        <f>+I155+I156</f>
        <v>3092.3</v>
      </c>
      <c r="J188" s="1390"/>
      <c r="K188" s="1040"/>
      <c r="L188" s="1034"/>
      <c r="M188" s="1033"/>
    </row>
    <row r="189" spans="1:13" ht="14.5" customHeight="1" thickBot="1" x14ac:dyDescent="0.3">
      <c r="A189" s="23" t="s">
        <v>4</v>
      </c>
      <c r="B189" s="37" t="s">
        <v>4</v>
      </c>
      <c r="C189" s="1700" t="s">
        <v>7</v>
      </c>
      <c r="D189" s="1701"/>
      <c r="E189" s="1701"/>
      <c r="F189" s="1701"/>
      <c r="G189" s="512">
        <f>G188+G154+G136</f>
        <v>14084.7</v>
      </c>
      <c r="H189" s="310">
        <f>H188+H154+H136</f>
        <v>15738.5</v>
      </c>
      <c r="I189" s="515">
        <f>I188+I154+I136</f>
        <v>17891.400000000001</v>
      </c>
      <c r="J189" s="1120"/>
      <c r="K189" s="1120"/>
      <c r="L189" s="1120"/>
      <c r="M189" s="1122"/>
    </row>
    <row r="190" spans="1:13" ht="14.5" customHeight="1" thickBot="1" x14ac:dyDescent="0.3">
      <c r="A190" s="23" t="s">
        <v>4</v>
      </c>
      <c r="B190" s="37" t="s">
        <v>6</v>
      </c>
      <c r="C190" s="1730" t="s">
        <v>40</v>
      </c>
      <c r="D190" s="1731"/>
      <c r="E190" s="1731"/>
      <c r="F190" s="1731"/>
      <c r="G190" s="1731"/>
      <c r="H190" s="1731"/>
      <c r="I190" s="1731"/>
      <c r="J190" s="1731"/>
      <c r="K190" s="1731"/>
      <c r="L190" s="1731"/>
      <c r="M190" s="1732"/>
    </row>
    <row r="191" spans="1:13" ht="18" customHeight="1" x14ac:dyDescent="0.25">
      <c r="A191" s="39" t="s">
        <v>4</v>
      </c>
      <c r="B191" s="49" t="s">
        <v>6</v>
      </c>
      <c r="C191" s="90" t="s">
        <v>4</v>
      </c>
      <c r="D191" s="1686" t="s">
        <v>63</v>
      </c>
      <c r="E191" s="516"/>
      <c r="F191" s="32" t="s">
        <v>23</v>
      </c>
      <c r="G191" s="1629">
        <f>513.2+98.8-88.5</f>
        <v>523.5</v>
      </c>
      <c r="H191" s="886">
        <v>615.1</v>
      </c>
      <c r="I191" s="887">
        <v>524.1</v>
      </c>
      <c r="J191" s="518"/>
      <c r="K191" s="1049"/>
      <c r="L191" s="322"/>
      <c r="M191" s="320"/>
    </row>
    <row r="192" spans="1:13" ht="18" customHeight="1" x14ac:dyDescent="0.25">
      <c r="A192" s="40"/>
      <c r="B192" s="69"/>
      <c r="C192" s="85"/>
      <c r="D192" s="1733"/>
      <c r="E192" s="870"/>
      <c r="F192" s="19" t="s">
        <v>51</v>
      </c>
      <c r="G192" s="744">
        <v>62.3</v>
      </c>
      <c r="H192" s="745"/>
      <c r="I192" s="746"/>
      <c r="J192" s="1392"/>
      <c r="K192" s="1050"/>
      <c r="L192" s="875"/>
      <c r="M192" s="871"/>
    </row>
    <row r="193" spans="1:13" ht="26.25" customHeight="1" x14ac:dyDescent="0.25">
      <c r="A193" s="40"/>
      <c r="B193" s="69"/>
      <c r="C193" s="85"/>
      <c r="D193" s="1675" t="s">
        <v>46</v>
      </c>
      <c r="E193" s="829"/>
      <c r="F193" s="1211" t="s">
        <v>366</v>
      </c>
      <c r="G193" s="1254">
        <v>14.6</v>
      </c>
      <c r="H193" s="1255">
        <v>14.6</v>
      </c>
      <c r="I193" s="1256">
        <v>14.6</v>
      </c>
      <c r="J193" s="1375" t="s">
        <v>411</v>
      </c>
      <c r="K193" s="618">
        <v>310</v>
      </c>
      <c r="L193" s="619">
        <v>310</v>
      </c>
      <c r="M193" s="620">
        <v>310</v>
      </c>
    </row>
    <row r="194" spans="1:13" ht="26.25" customHeight="1" x14ac:dyDescent="0.25">
      <c r="A194" s="40"/>
      <c r="B194" s="69"/>
      <c r="C194" s="85"/>
      <c r="D194" s="1675"/>
      <c r="E194" s="117"/>
      <c r="F194" s="1257"/>
      <c r="G194" s="1188"/>
      <c r="H194" s="1189"/>
      <c r="I194" s="1190"/>
      <c r="J194" s="1368" t="s">
        <v>93</v>
      </c>
      <c r="K194" s="477">
        <v>290</v>
      </c>
      <c r="L194" s="400">
        <v>290</v>
      </c>
      <c r="M194" s="401">
        <v>290</v>
      </c>
    </row>
    <row r="195" spans="1:13" ht="26.25" customHeight="1" x14ac:dyDescent="0.25">
      <c r="A195" s="40"/>
      <c r="B195" s="69"/>
      <c r="C195" s="995"/>
      <c r="D195" s="1684"/>
      <c r="E195" s="367"/>
      <c r="F195" s="1258"/>
      <c r="G195" s="1206"/>
      <c r="H195" s="1193"/>
      <c r="I195" s="1197"/>
      <c r="J195" s="1385" t="s">
        <v>67</v>
      </c>
      <c r="K195" s="448">
        <v>27</v>
      </c>
      <c r="L195" s="276">
        <v>27</v>
      </c>
      <c r="M195" s="622">
        <v>27</v>
      </c>
    </row>
    <row r="196" spans="1:13" ht="14.25" customHeight="1" x14ac:dyDescent="0.25">
      <c r="A196" s="40"/>
      <c r="B196" s="69"/>
      <c r="C196" s="85"/>
      <c r="D196" s="1674" t="s">
        <v>229</v>
      </c>
      <c r="E196" s="117"/>
      <c r="F196" s="1211" t="s">
        <v>366</v>
      </c>
      <c r="G196" s="1184">
        <v>498.6</v>
      </c>
      <c r="H196" s="1185">
        <v>483.5</v>
      </c>
      <c r="I196" s="1186">
        <v>329.5</v>
      </c>
      <c r="J196" s="1739" t="s">
        <v>412</v>
      </c>
      <c r="K196" s="421">
        <v>18</v>
      </c>
      <c r="L196" s="275">
        <v>18</v>
      </c>
      <c r="M196" s="269">
        <v>18</v>
      </c>
    </row>
    <row r="197" spans="1:13" ht="16.5" customHeight="1" x14ac:dyDescent="0.25">
      <c r="A197" s="40"/>
      <c r="B197" s="69"/>
      <c r="C197" s="85"/>
      <c r="D197" s="1714"/>
      <c r="E197" s="117"/>
      <c r="F197" s="1213"/>
      <c r="G197" s="1209"/>
      <c r="H197" s="1189"/>
      <c r="I197" s="1190"/>
      <c r="J197" s="1740"/>
      <c r="K197" s="447"/>
      <c r="L197" s="277"/>
      <c r="M197" s="270"/>
    </row>
    <row r="198" spans="1:13" ht="18" customHeight="1" x14ac:dyDescent="0.25">
      <c r="A198" s="40"/>
      <c r="B198" s="69"/>
      <c r="C198" s="85"/>
      <c r="D198" s="1714"/>
      <c r="E198" s="117"/>
      <c r="F198" s="1213" t="s">
        <v>367</v>
      </c>
      <c r="G198" s="1188">
        <f>18.6+43.7</f>
        <v>62.3</v>
      </c>
      <c r="H198" s="1189"/>
      <c r="I198" s="1191"/>
      <c r="J198" s="1722" t="s">
        <v>150</v>
      </c>
      <c r="K198" s="478">
        <v>66</v>
      </c>
      <c r="L198" s="278">
        <v>95</v>
      </c>
      <c r="M198" s="271">
        <v>100</v>
      </c>
    </row>
    <row r="199" spans="1:13" ht="12" customHeight="1" x14ac:dyDescent="0.25">
      <c r="A199" s="40"/>
      <c r="B199" s="69"/>
      <c r="C199" s="85"/>
      <c r="D199" s="1714"/>
      <c r="E199" s="117"/>
      <c r="F199" s="1213"/>
      <c r="G199" s="1188"/>
      <c r="H199" s="1189"/>
      <c r="I199" s="1190"/>
      <c r="J199" s="1699"/>
      <c r="K199" s="446"/>
      <c r="L199" s="279"/>
      <c r="M199" s="272"/>
    </row>
    <row r="200" spans="1:13" ht="27.75" customHeight="1" x14ac:dyDescent="0.25">
      <c r="A200" s="40"/>
      <c r="B200" s="69"/>
      <c r="C200" s="85"/>
      <c r="D200" s="1714"/>
      <c r="E200" s="117"/>
      <c r="F200" s="1257"/>
      <c r="G200" s="1188"/>
      <c r="H200" s="1189"/>
      <c r="I200" s="1188"/>
      <c r="J200" s="1368" t="s">
        <v>197</v>
      </c>
      <c r="K200" s="444">
        <v>200</v>
      </c>
      <c r="L200" s="278"/>
      <c r="M200" s="271"/>
    </row>
    <row r="201" spans="1:13" ht="26.25" customHeight="1" x14ac:dyDescent="0.25">
      <c r="A201" s="40"/>
      <c r="B201" s="69"/>
      <c r="C201" s="85"/>
      <c r="D201" s="992"/>
      <c r="E201" s="117"/>
      <c r="F201" s="1257"/>
      <c r="G201" s="1188"/>
      <c r="H201" s="1189"/>
      <c r="I201" s="1190"/>
      <c r="J201" s="1369" t="s">
        <v>149</v>
      </c>
      <c r="K201" s="445">
        <v>9.1999999999999993</v>
      </c>
      <c r="L201" s="280">
        <v>6.2</v>
      </c>
      <c r="M201" s="273">
        <v>6.2</v>
      </c>
    </row>
    <row r="202" spans="1:13" ht="31.5" customHeight="1" x14ac:dyDescent="0.25">
      <c r="A202" s="40"/>
      <c r="B202" s="69"/>
      <c r="C202" s="85"/>
      <c r="D202" s="992"/>
      <c r="E202" s="1009"/>
      <c r="F202" s="1257"/>
      <c r="G202" s="1209"/>
      <c r="H202" s="1189"/>
      <c r="I202" s="1191"/>
      <c r="J202" s="1369" t="s">
        <v>270</v>
      </c>
      <c r="K202" s="601">
        <v>100</v>
      </c>
      <c r="L202" s="366"/>
      <c r="M202" s="603"/>
    </row>
    <row r="203" spans="1:13" ht="20.9" customHeight="1" x14ac:dyDescent="0.25">
      <c r="A203" s="40"/>
      <c r="B203" s="69"/>
      <c r="C203" s="85"/>
      <c r="D203" s="992"/>
      <c r="E203" s="117"/>
      <c r="F203" s="1257"/>
      <c r="G203" s="1188"/>
      <c r="H203" s="1189"/>
      <c r="I203" s="1191"/>
      <c r="J203" s="592" t="s">
        <v>316</v>
      </c>
      <c r="K203" s="479">
        <v>500</v>
      </c>
      <c r="L203" s="366"/>
      <c r="M203" s="226"/>
    </row>
    <row r="204" spans="1:13" ht="29.25" customHeight="1" x14ac:dyDescent="0.25">
      <c r="A204" s="40"/>
      <c r="B204" s="69"/>
      <c r="C204" s="85"/>
      <c r="D204" s="992"/>
      <c r="E204" s="117"/>
      <c r="F204" s="1257"/>
      <c r="G204" s="1188"/>
      <c r="H204" s="1189"/>
      <c r="I204" s="1188"/>
      <c r="J204" s="1368" t="s">
        <v>413</v>
      </c>
      <c r="K204" s="479">
        <v>105</v>
      </c>
      <c r="L204" s="278"/>
      <c r="M204" s="604"/>
    </row>
    <row r="205" spans="1:13" ht="18.649999999999999" customHeight="1" x14ac:dyDescent="0.25">
      <c r="A205" s="40"/>
      <c r="B205" s="69"/>
      <c r="C205" s="85"/>
      <c r="D205" s="1347"/>
      <c r="E205" s="117"/>
      <c r="F205" s="1257"/>
      <c r="G205" s="1188"/>
      <c r="H205" s="1189"/>
      <c r="I205" s="1188"/>
      <c r="J205" s="1368" t="s">
        <v>443</v>
      </c>
      <c r="K205" s="447">
        <v>1</v>
      </c>
      <c r="L205" s="278"/>
      <c r="M205" s="604"/>
    </row>
    <row r="206" spans="1:13" ht="30" customHeight="1" x14ac:dyDescent="0.25">
      <c r="A206" s="40"/>
      <c r="B206" s="69"/>
      <c r="C206" s="85"/>
      <c r="D206" s="1347"/>
      <c r="E206" s="117"/>
      <c r="F206" s="1257"/>
      <c r="G206" s="1188"/>
      <c r="H206" s="1189"/>
      <c r="I206" s="1188"/>
      <c r="J206" s="1368" t="s">
        <v>441</v>
      </c>
      <c r="K206" s="479">
        <v>100</v>
      </c>
      <c r="L206" s="278"/>
      <c r="M206" s="604"/>
    </row>
    <row r="207" spans="1:13" ht="29.25" customHeight="1" x14ac:dyDescent="0.25">
      <c r="A207" s="40"/>
      <c r="B207" s="69"/>
      <c r="C207" s="85"/>
      <c r="D207" s="992"/>
      <c r="E207" s="117"/>
      <c r="F207" s="1257"/>
      <c r="G207" s="1188"/>
      <c r="H207" s="1189"/>
      <c r="I207" s="1188"/>
      <c r="J207" s="1391" t="s">
        <v>271</v>
      </c>
      <c r="K207" s="606"/>
      <c r="L207" s="372">
        <v>100</v>
      </c>
      <c r="M207" s="607"/>
    </row>
    <row r="208" spans="1:13" ht="20.149999999999999" customHeight="1" x14ac:dyDescent="0.25">
      <c r="A208" s="40"/>
      <c r="B208" s="69"/>
      <c r="C208" s="85"/>
      <c r="D208" s="609" t="s">
        <v>273</v>
      </c>
      <c r="E208" s="829"/>
      <c r="F208" s="1259" t="s">
        <v>366</v>
      </c>
      <c r="G208" s="1184"/>
      <c r="H208" s="1185">
        <v>117</v>
      </c>
      <c r="I208" s="1184">
        <v>180</v>
      </c>
      <c r="J208" s="1388" t="s">
        <v>274</v>
      </c>
      <c r="K208" s="601"/>
      <c r="L208" s="277">
        <v>1</v>
      </c>
      <c r="M208" s="611"/>
    </row>
    <row r="209" spans="1:14" ht="20.149999999999999" customHeight="1" x14ac:dyDescent="0.25">
      <c r="A209" s="40"/>
      <c r="B209" s="69"/>
      <c r="C209" s="85"/>
      <c r="D209" s="610"/>
      <c r="E209" s="367"/>
      <c r="F209" s="1258"/>
      <c r="G209" s="1193"/>
      <c r="H209" s="1193"/>
      <c r="I209" s="1194"/>
      <c r="J209" s="1385" t="s">
        <v>317</v>
      </c>
      <c r="K209" s="1118"/>
      <c r="L209" s="372"/>
      <c r="M209" s="605">
        <v>1</v>
      </c>
    </row>
    <row r="210" spans="1:14" ht="15" customHeight="1" thickBot="1" x14ac:dyDescent="0.3">
      <c r="A210" s="22"/>
      <c r="B210" s="156"/>
      <c r="C210" s="1022"/>
      <c r="D210" s="1035"/>
      <c r="E210" s="1027"/>
      <c r="F210" s="18" t="s">
        <v>5</v>
      </c>
      <c r="G210" s="314">
        <f>+G191+G192</f>
        <v>585.79999999999995</v>
      </c>
      <c r="H210" s="407">
        <f>+H191+H192</f>
        <v>615.1</v>
      </c>
      <c r="I210" s="406">
        <f>+I191+I192</f>
        <v>524.1</v>
      </c>
      <c r="J210" s="1390"/>
      <c r="K210" s="1026"/>
      <c r="L210" s="1028"/>
      <c r="M210" s="1029"/>
    </row>
    <row r="211" spans="1:14" ht="15" customHeight="1" thickBot="1" x14ac:dyDescent="0.3">
      <c r="A211" s="24" t="s">
        <v>4</v>
      </c>
      <c r="B211" s="5" t="s">
        <v>6</v>
      </c>
      <c r="C211" s="1701" t="s">
        <v>7</v>
      </c>
      <c r="D211" s="1701"/>
      <c r="E211" s="1701"/>
      <c r="F211" s="1701"/>
      <c r="G211" s="512">
        <f t="shared" ref="G211:I211" si="0">G210</f>
        <v>585.79999999999995</v>
      </c>
      <c r="H211" s="310">
        <f t="shared" si="0"/>
        <v>615.1</v>
      </c>
      <c r="I211" s="303">
        <f t="shared" si="0"/>
        <v>524.1</v>
      </c>
      <c r="J211" s="1120"/>
      <c r="K211" s="1120"/>
      <c r="L211" s="1120"/>
      <c r="M211" s="1122"/>
    </row>
    <row r="212" spans="1:14" ht="15" customHeight="1" thickBot="1" x14ac:dyDescent="0.3">
      <c r="A212" s="23" t="s">
        <v>4</v>
      </c>
      <c r="B212" s="5" t="s">
        <v>25</v>
      </c>
      <c r="C212" s="1703" t="s">
        <v>98</v>
      </c>
      <c r="D212" s="1704"/>
      <c r="E212" s="1704"/>
      <c r="F212" s="1704"/>
      <c r="G212" s="1704"/>
      <c r="H212" s="1704"/>
      <c r="I212" s="1704"/>
      <c r="J212" s="1726"/>
      <c r="K212" s="1726"/>
      <c r="L212" s="1726"/>
      <c r="M212" s="1727"/>
    </row>
    <row r="213" spans="1:14" ht="14.25" customHeight="1" x14ac:dyDescent="0.25">
      <c r="A213" s="73" t="s">
        <v>4</v>
      </c>
      <c r="B213" s="71" t="s">
        <v>25</v>
      </c>
      <c r="C213" s="988" t="s">
        <v>4</v>
      </c>
      <c r="D213" s="1728" t="s">
        <v>208</v>
      </c>
      <c r="E213" s="868"/>
      <c r="F213" s="1013" t="s">
        <v>23</v>
      </c>
      <c r="G213" s="1570">
        <f>1386.4+201.6</f>
        <v>1588</v>
      </c>
      <c r="H213" s="1082">
        <f>1877.7+93.6</f>
        <v>1971.3</v>
      </c>
      <c r="I213" s="890">
        <v>1524.1</v>
      </c>
      <c r="J213" s="1393"/>
      <c r="K213" s="326"/>
      <c r="L213" s="306"/>
      <c r="M213" s="867"/>
    </row>
    <row r="214" spans="1:14" ht="14.25" customHeight="1" x14ac:dyDescent="0.25">
      <c r="A214" s="73"/>
      <c r="B214" s="71"/>
      <c r="C214" s="988"/>
      <c r="D214" s="1729"/>
      <c r="E214" s="864"/>
      <c r="F214" s="57" t="s">
        <v>243</v>
      </c>
      <c r="G214" s="1083">
        <f>300-93.6</f>
        <v>206.4</v>
      </c>
      <c r="H214" s="891"/>
      <c r="I214" s="892"/>
      <c r="J214" s="1370"/>
      <c r="K214" s="47"/>
      <c r="L214" s="307"/>
      <c r="M214" s="865"/>
    </row>
    <row r="215" spans="1:14" ht="14.25" customHeight="1" x14ac:dyDescent="0.25">
      <c r="A215" s="73"/>
      <c r="B215" s="71"/>
      <c r="C215" s="988"/>
      <c r="D215" s="1729"/>
      <c r="E215" s="864"/>
      <c r="F215" s="57" t="s">
        <v>159</v>
      </c>
      <c r="G215" s="1083">
        <f>2109.1-983.2</f>
        <v>1125.9000000000001</v>
      </c>
      <c r="H215" s="1083">
        <f>398.6+983.2</f>
        <v>1381.8</v>
      </c>
      <c r="I215" s="892"/>
      <c r="J215" s="1370"/>
      <c r="K215" s="47"/>
      <c r="L215" s="307"/>
      <c r="M215" s="865"/>
    </row>
    <row r="216" spans="1:14" ht="14.25" customHeight="1" x14ac:dyDescent="0.25">
      <c r="A216" s="73"/>
      <c r="B216" s="71"/>
      <c r="C216" s="988"/>
      <c r="D216" s="1729"/>
      <c r="E216" s="864"/>
      <c r="F216" s="57" t="s">
        <v>158</v>
      </c>
      <c r="G216" s="1083">
        <f>186.1-86.8</f>
        <v>99.3</v>
      </c>
      <c r="H216" s="1083">
        <f>35.2+86.8</f>
        <v>122</v>
      </c>
      <c r="I216" s="892"/>
      <c r="J216" s="1370"/>
      <c r="K216" s="47"/>
      <c r="L216" s="307"/>
      <c r="M216" s="865"/>
    </row>
    <row r="217" spans="1:14" ht="14.25" customHeight="1" x14ac:dyDescent="0.25">
      <c r="A217" s="73"/>
      <c r="B217" s="71"/>
      <c r="C217" s="1176"/>
      <c r="D217" s="1729"/>
      <c r="E217" s="864"/>
      <c r="F217" s="57" t="s">
        <v>434</v>
      </c>
      <c r="G217" s="888">
        <v>50</v>
      </c>
      <c r="H217" s="891"/>
      <c r="I217" s="892"/>
      <c r="J217" s="1370"/>
      <c r="K217" s="47"/>
      <c r="L217" s="307"/>
      <c r="M217" s="865"/>
    </row>
    <row r="218" spans="1:14" ht="14.25" customHeight="1" x14ac:dyDescent="0.25">
      <c r="A218" s="73"/>
      <c r="B218" s="71"/>
      <c r="C218" s="988"/>
      <c r="D218" s="1729"/>
      <c r="E218" s="864"/>
      <c r="F218" s="57" t="s">
        <v>51</v>
      </c>
      <c r="G218" s="1083">
        <f>212.4-10-111.2</f>
        <v>91.2</v>
      </c>
      <c r="H218" s="1083">
        <v>111.2</v>
      </c>
      <c r="I218" s="892"/>
      <c r="J218" s="1370"/>
      <c r="K218" s="47"/>
      <c r="L218" s="307"/>
      <c r="M218" s="865"/>
    </row>
    <row r="219" spans="1:14" ht="14.25" customHeight="1" x14ac:dyDescent="0.25">
      <c r="A219" s="73"/>
      <c r="B219" s="71"/>
      <c r="C219" s="988"/>
      <c r="D219" s="1729"/>
      <c r="E219" s="864"/>
      <c r="F219" s="57" t="s">
        <v>347</v>
      </c>
      <c r="G219" s="888">
        <v>371.7</v>
      </c>
      <c r="H219" s="891"/>
      <c r="I219" s="892"/>
      <c r="J219" s="1370"/>
      <c r="K219" s="47"/>
      <c r="L219" s="307"/>
      <c r="M219" s="865"/>
    </row>
    <row r="220" spans="1:14" ht="14.25" customHeight="1" x14ac:dyDescent="0.25">
      <c r="A220" s="73"/>
      <c r="B220" s="71"/>
      <c r="C220" s="988"/>
      <c r="D220" s="994"/>
      <c r="E220" s="869"/>
      <c r="F220" s="57" t="s">
        <v>346</v>
      </c>
      <c r="G220" s="893">
        <v>32.799999999999997</v>
      </c>
      <c r="H220" s="894"/>
      <c r="I220" s="895"/>
      <c r="J220" s="1386"/>
      <c r="K220" s="757"/>
      <c r="L220" s="307"/>
      <c r="M220" s="865"/>
    </row>
    <row r="221" spans="1:14" ht="14.25" customHeight="1" x14ac:dyDescent="0.25">
      <c r="A221" s="73"/>
      <c r="B221" s="71"/>
      <c r="C221" s="988"/>
      <c r="D221" s="1712" t="s">
        <v>157</v>
      </c>
      <c r="E221" s="1005" t="s">
        <v>43</v>
      </c>
      <c r="F221" s="1183" t="s">
        <v>366</v>
      </c>
      <c r="G221" s="1188">
        <f>1200-600+550</f>
        <v>1150</v>
      </c>
      <c r="H221" s="1189">
        <v>1200</v>
      </c>
      <c r="I221" s="1188">
        <v>1200</v>
      </c>
      <c r="J221" s="1384" t="s">
        <v>151</v>
      </c>
      <c r="K221" s="637">
        <v>10</v>
      </c>
      <c r="L221" s="378">
        <v>10</v>
      </c>
      <c r="M221" s="638">
        <v>10</v>
      </c>
    </row>
    <row r="222" spans="1:14" ht="15" customHeight="1" x14ac:dyDescent="0.25">
      <c r="A222" s="73"/>
      <c r="B222" s="71"/>
      <c r="C222" s="988"/>
      <c r="D222" s="1714"/>
      <c r="E222" s="989" t="s">
        <v>225</v>
      </c>
      <c r="F222" s="1187" t="s">
        <v>367</v>
      </c>
      <c r="G222" s="1188">
        <v>63.5</v>
      </c>
      <c r="H222" s="1189"/>
      <c r="I222" s="1188"/>
      <c r="J222" s="1717" t="s">
        <v>140</v>
      </c>
      <c r="K222" s="468">
        <v>334</v>
      </c>
      <c r="L222" s="293">
        <v>335</v>
      </c>
      <c r="M222" s="180">
        <v>506</v>
      </c>
    </row>
    <row r="223" spans="1:14" ht="15" customHeight="1" x14ac:dyDescent="0.25">
      <c r="A223" s="73"/>
      <c r="B223" s="71"/>
      <c r="C223" s="988"/>
      <c r="D223" s="77" t="s">
        <v>414</v>
      </c>
      <c r="E223" s="989" t="s">
        <v>194</v>
      </c>
      <c r="F223" s="1187" t="s">
        <v>333</v>
      </c>
      <c r="G223" s="1188">
        <f>600-550</f>
        <v>50</v>
      </c>
      <c r="H223" s="1189"/>
      <c r="I223" s="1188"/>
      <c r="J223" s="1718"/>
      <c r="K223" s="857"/>
      <c r="L223" s="858"/>
      <c r="M223" s="1320"/>
      <c r="N223" s="859"/>
    </row>
    <row r="224" spans="1:14" ht="13.5" customHeight="1" x14ac:dyDescent="0.25">
      <c r="A224" s="73"/>
      <c r="B224" s="71"/>
      <c r="C224" s="988"/>
      <c r="D224" s="1715" t="s">
        <v>165</v>
      </c>
      <c r="E224" s="989"/>
      <c r="F224" s="1187"/>
      <c r="G224" s="1188"/>
      <c r="H224" s="1189"/>
      <c r="I224" s="1191"/>
      <c r="J224" s="1724" t="s">
        <v>381</v>
      </c>
      <c r="K224" s="860">
        <v>12.7</v>
      </c>
      <c r="L224" s="862">
        <v>9.1</v>
      </c>
      <c r="M224" s="856">
        <v>7.2</v>
      </c>
    </row>
    <row r="225" spans="1:13" ht="13.5" customHeight="1" x14ac:dyDescent="0.25">
      <c r="A225" s="73"/>
      <c r="B225" s="71"/>
      <c r="C225" s="988"/>
      <c r="D225" s="1716"/>
      <c r="E225" s="989"/>
      <c r="F225" s="1187"/>
      <c r="G225" s="1188"/>
      <c r="H225" s="1189"/>
      <c r="I225" s="1191"/>
      <c r="J225" s="1725"/>
      <c r="K225" s="1051"/>
      <c r="L225" s="245"/>
      <c r="M225" s="1321"/>
    </row>
    <row r="226" spans="1:13" ht="18" customHeight="1" x14ac:dyDescent="0.25">
      <c r="A226" s="73"/>
      <c r="B226" s="71"/>
      <c r="C226" s="988"/>
      <c r="D226" s="983" t="s">
        <v>156</v>
      </c>
      <c r="E226" s="161"/>
      <c r="F226" s="1195"/>
      <c r="G226" s="1206"/>
      <c r="H226" s="1193"/>
      <c r="I226" s="1194"/>
      <c r="J226" s="1386"/>
      <c r="K226" s="1101"/>
      <c r="L226" s="858"/>
      <c r="M226" s="863"/>
    </row>
    <row r="227" spans="1:13" ht="13.5" customHeight="1" x14ac:dyDescent="0.25">
      <c r="A227" s="986"/>
      <c r="B227" s="999"/>
      <c r="C227" s="995"/>
      <c r="D227" s="1719" t="s">
        <v>113</v>
      </c>
      <c r="E227" s="1005" t="s">
        <v>43</v>
      </c>
      <c r="F227" s="1198" t="s">
        <v>366</v>
      </c>
      <c r="G227" s="1188">
        <f>345.4-300</f>
        <v>45.4</v>
      </c>
      <c r="H227" s="1189">
        <v>363.6</v>
      </c>
      <c r="I227" s="1188"/>
      <c r="J227" s="1723" t="s">
        <v>205</v>
      </c>
      <c r="K227" s="470">
        <v>70</v>
      </c>
      <c r="L227" s="239">
        <v>100</v>
      </c>
      <c r="M227" s="60"/>
    </row>
    <row r="228" spans="1:13" ht="15.75" customHeight="1" x14ac:dyDescent="0.25">
      <c r="A228" s="986"/>
      <c r="B228" s="999"/>
      <c r="C228" s="995"/>
      <c r="D228" s="1720"/>
      <c r="E228" s="989" t="s">
        <v>225</v>
      </c>
      <c r="F228" s="1198" t="s">
        <v>367</v>
      </c>
      <c r="G228" s="1188">
        <v>138.19999999999999</v>
      </c>
      <c r="H228" s="1189"/>
      <c r="I228" s="1188"/>
      <c r="J228" s="1718"/>
      <c r="K228" s="202"/>
      <c r="L228" s="241"/>
      <c r="M228" s="103"/>
    </row>
    <row r="229" spans="1:13" ht="15" customHeight="1" x14ac:dyDescent="0.25">
      <c r="A229" s="986"/>
      <c r="B229" s="999"/>
      <c r="C229" s="995"/>
      <c r="D229" s="1721"/>
      <c r="E229" s="989" t="s">
        <v>194</v>
      </c>
      <c r="F229" s="1198" t="s">
        <v>370</v>
      </c>
      <c r="G229" s="1188">
        <v>186.1</v>
      </c>
      <c r="H229" s="1189">
        <v>35.200000000000003</v>
      </c>
      <c r="I229" s="1190"/>
      <c r="J229" s="1722" t="s">
        <v>140</v>
      </c>
      <c r="K229" s="849">
        <v>200</v>
      </c>
      <c r="L229" s="248">
        <v>246</v>
      </c>
      <c r="M229" s="180"/>
    </row>
    <row r="230" spans="1:13" ht="15" customHeight="1" x14ac:dyDescent="0.25">
      <c r="A230" s="986"/>
      <c r="B230" s="999"/>
      <c r="C230" s="995"/>
      <c r="D230" s="993"/>
      <c r="E230" s="164"/>
      <c r="F230" s="1198" t="s">
        <v>372</v>
      </c>
      <c r="G230" s="1188">
        <v>2109.1</v>
      </c>
      <c r="H230" s="1189">
        <v>398.6</v>
      </c>
      <c r="I230" s="1190"/>
      <c r="J230" s="1698"/>
      <c r="K230" s="1052"/>
      <c r="L230" s="250"/>
      <c r="M230" s="855"/>
    </row>
    <row r="231" spans="1:13" ht="15" customHeight="1" x14ac:dyDescent="0.25">
      <c r="A231" s="986"/>
      <c r="B231" s="999"/>
      <c r="C231" s="995"/>
      <c r="D231" s="993"/>
      <c r="E231" s="164"/>
      <c r="F231" s="1198" t="s">
        <v>368</v>
      </c>
      <c r="G231" s="1188">
        <v>300</v>
      </c>
      <c r="H231" s="1189"/>
      <c r="I231" s="1190"/>
      <c r="J231" s="1722" t="s">
        <v>226</v>
      </c>
      <c r="K231" s="850">
        <v>100</v>
      </c>
      <c r="L231" s="197">
        <v>159</v>
      </c>
      <c r="M231" s="856"/>
    </row>
    <row r="232" spans="1:13" ht="15" customHeight="1" x14ac:dyDescent="0.25">
      <c r="A232" s="986"/>
      <c r="B232" s="999"/>
      <c r="C232" s="995"/>
      <c r="D232" s="993"/>
      <c r="E232" s="164"/>
      <c r="F232" s="1198" t="s">
        <v>371</v>
      </c>
      <c r="G232" s="1188">
        <v>32.799999999999997</v>
      </c>
      <c r="H232" s="1189"/>
      <c r="I232" s="1190"/>
      <c r="J232" s="1698"/>
      <c r="K232" s="623"/>
      <c r="L232" s="240"/>
      <c r="M232" s="852"/>
    </row>
    <row r="233" spans="1:13" ht="13.5" customHeight="1" x14ac:dyDescent="0.25">
      <c r="A233" s="986"/>
      <c r="B233" s="999"/>
      <c r="C233" s="995"/>
      <c r="D233" s="991"/>
      <c r="E233" s="164"/>
      <c r="F233" s="1198" t="s">
        <v>373</v>
      </c>
      <c r="G233" s="1188">
        <v>371.7</v>
      </c>
      <c r="H233" s="1189"/>
      <c r="I233" s="1190"/>
      <c r="J233" s="1386"/>
      <c r="K233" s="851"/>
      <c r="L233" s="198"/>
      <c r="M233" s="853"/>
    </row>
    <row r="234" spans="1:13" ht="24.75" customHeight="1" x14ac:dyDescent="0.25">
      <c r="A234" s="1705"/>
      <c r="B234" s="1706"/>
      <c r="C234" s="1707"/>
      <c r="D234" s="1708" t="s">
        <v>101</v>
      </c>
      <c r="E234" s="1710"/>
      <c r="F234" s="1183" t="s">
        <v>366</v>
      </c>
      <c r="G234" s="1184">
        <v>1</v>
      </c>
      <c r="H234" s="1185">
        <v>2.1</v>
      </c>
      <c r="I234" s="1184">
        <v>2.1</v>
      </c>
      <c r="J234" s="1381" t="s">
        <v>109</v>
      </c>
      <c r="K234" s="281">
        <v>1</v>
      </c>
      <c r="L234" s="243">
        <v>1</v>
      </c>
      <c r="M234" s="151">
        <v>1</v>
      </c>
    </row>
    <row r="235" spans="1:13" ht="21" customHeight="1" x14ac:dyDescent="0.25">
      <c r="A235" s="1705"/>
      <c r="B235" s="1706"/>
      <c r="C235" s="1707"/>
      <c r="D235" s="1709"/>
      <c r="E235" s="1711"/>
      <c r="F235" s="1187"/>
      <c r="G235" s="1188"/>
      <c r="H235" s="1189"/>
      <c r="I235" s="1188"/>
      <c r="J235" s="1383"/>
      <c r="K235" s="1095"/>
      <c r="L235" s="245"/>
      <c r="M235" s="853"/>
    </row>
    <row r="236" spans="1:13" ht="13.5" customHeight="1" x14ac:dyDescent="0.25">
      <c r="A236" s="986"/>
      <c r="B236" s="987"/>
      <c r="C236" s="85"/>
      <c r="D236" s="1712" t="s">
        <v>167</v>
      </c>
      <c r="E236" s="1005" t="s">
        <v>43</v>
      </c>
      <c r="F236" s="1183" t="s">
        <v>367</v>
      </c>
      <c r="G236" s="1253">
        <v>10.7</v>
      </c>
      <c r="H236" s="1185"/>
      <c r="I236" s="1217"/>
      <c r="J236" s="1698" t="s">
        <v>415</v>
      </c>
      <c r="K236" s="1395">
        <v>18</v>
      </c>
      <c r="L236" s="295">
        <v>21</v>
      </c>
      <c r="M236" s="212">
        <v>24</v>
      </c>
    </row>
    <row r="237" spans="1:13" ht="13.5" customHeight="1" x14ac:dyDescent="0.25">
      <c r="A237" s="986"/>
      <c r="B237" s="987"/>
      <c r="C237" s="85"/>
      <c r="D237" s="1713"/>
      <c r="E237" s="1011"/>
      <c r="F237" s="1187" t="s">
        <v>366</v>
      </c>
      <c r="G237" s="1188">
        <v>40</v>
      </c>
      <c r="H237" s="1189">
        <v>50</v>
      </c>
      <c r="I237" s="1190">
        <v>60</v>
      </c>
      <c r="J237" s="1699"/>
      <c r="K237" s="1102"/>
      <c r="L237" s="594"/>
      <c r="M237" s="595"/>
    </row>
    <row r="238" spans="1:13" ht="17.25" customHeight="1" x14ac:dyDescent="0.25">
      <c r="A238" s="21"/>
      <c r="B238" s="999"/>
      <c r="C238" s="85"/>
      <c r="D238" s="984"/>
      <c r="E238" s="1007"/>
      <c r="F238" s="1260" t="s">
        <v>366</v>
      </c>
      <c r="G238" s="1261">
        <v>7</v>
      </c>
      <c r="H238" s="1262">
        <v>9</v>
      </c>
      <c r="I238" s="1263">
        <v>9</v>
      </c>
      <c r="J238" s="1371" t="s">
        <v>152</v>
      </c>
      <c r="K238" s="467">
        <v>100</v>
      </c>
      <c r="L238" s="292">
        <v>130</v>
      </c>
      <c r="M238" s="179">
        <v>130</v>
      </c>
    </row>
    <row r="239" spans="1:13" ht="27.65" customHeight="1" x14ac:dyDescent="0.25">
      <c r="A239" s="21"/>
      <c r="B239" s="999"/>
      <c r="C239" s="85"/>
      <c r="D239" s="984"/>
      <c r="E239" s="1007"/>
      <c r="F239" s="1187" t="s">
        <v>366</v>
      </c>
      <c r="G239" s="1188">
        <v>100</v>
      </c>
      <c r="H239" s="1189">
        <v>100</v>
      </c>
      <c r="I239" s="1190">
        <v>100</v>
      </c>
      <c r="J239" s="1368" t="s">
        <v>416</v>
      </c>
      <c r="K239" s="680">
        <v>3</v>
      </c>
      <c r="L239" s="257">
        <v>3</v>
      </c>
      <c r="M239" s="221">
        <v>3</v>
      </c>
    </row>
    <row r="240" spans="1:13" ht="27.65" customHeight="1" x14ac:dyDescent="0.25">
      <c r="A240" s="21"/>
      <c r="B240" s="999"/>
      <c r="C240" s="85"/>
      <c r="D240" s="984"/>
      <c r="E240" s="1011"/>
      <c r="F240" s="1187" t="s">
        <v>366</v>
      </c>
      <c r="G240" s="1188">
        <v>35</v>
      </c>
      <c r="H240" s="1189">
        <v>35</v>
      </c>
      <c r="I240" s="1190">
        <v>35</v>
      </c>
      <c r="J240" s="1368" t="s">
        <v>153</v>
      </c>
      <c r="K240" s="1394">
        <v>9</v>
      </c>
      <c r="L240" s="245">
        <v>5</v>
      </c>
      <c r="M240" s="596">
        <v>5</v>
      </c>
    </row>
    <row r="241" spans="1:13" ht="18.649999999999999" customHeight="1" x14ac:dyDescent="0.25">
      <c r="A241" s="21"/>
      <c r="B241" s="1171"/>
      <c r="C241" s="85"/>
      <c r="D241" s="1172"/>
      <c r="E241" s="1173"/>
      <c r="F241" s="1187"/>
      <c r="G241" s="1188"/>
      <c r="H241" s="1189"/>
      <c r="I241" s="1190"/>
      <c r="J241" s="1368" t="s">
        <v>429</v>
      </c>
      <c r="K241" s="227">
        <v>1</v>
      </c>
      <c r="L241" s="292"/>
      <c r="M241" s="148"/>
    </row>
    <row r="242" spans="1:13" ht="28.5" customHeight="1" x14ac:dyDescent="0.25">
      <c r="A242" s="21"/>
      <c r="B242" s="999"/>
      <c r="C242" s="85"/>
      <c r="D242" s="996"/>
      <c r="E242" s="1012"/>
      <c r="F242" s="1195" t="s">
        <v>366</v>
      </c>
      <c r="G242" s="1206">
        <v>8</v>
      </c>
      <c r="H242" s="1193">
        <v>118</v>
      </c>
      <c r="I242" s="1197">
        <v>118</v>
      </c>
      <c r="J242" s="1385" t="s">
        <v>315</v>
      </c>
      <c r="K242" s="1092"/>
      <c r="L242" s="343">
        <v>1</v>
      </c>
      <c r="M242" s="528">
        <v>1</v>
      </c>
    </row>
    <row r="243" spans="1:13" ht="15.75" customHeight="1" thickBot="1" x14ac:dyDescent="0.3">
      <c r="A243" s="22"/>
      <c r="B243" s="156"/>
      <c r="C243" s="80"/>
      <c r="D243" s="1024"/>
      <c r="E243" s="1027"/>
      <c r="F243" s="18" t="s">
        <v>5</v>
      </c>
      <c r="G243" s="314">
        <f>+G213+G214+G215+G216+G218+G219+G220+G217</f>
        <v>3565.3</v>
      </c>
      <c r="H243" s="407">
        <f t="shared" ref="H243:I243" si="1">+H213+H214+H215+H216+H218+H219+H220+H217</f>
        <v>3586.3</v>
      </c>
      <c r="I243" s="406">
        <f t="shared" si="1"/>
        <v>1524.1</v>
      </c>
      <c r="J243" s="1390"/>
      <c r="K243" s="1040"/>
      <c r="L243" s="1034"/>
      <c r="M243" s="1033"/>
    </row>
    <row r="244" spans="1:13" ht="33" customHeight="1" x14ac:dyDescent="0.25">
      <c r="A244" s="25" t="s">
        <v>4</v>
      </c>
      <c r="B244" s="67" t="s">
        <v>25</v>
      </c>
      <c r="C244" s="87" t="s">
        <v>6</v>
      </c>
      <c r="D244" s="120" t="s">
        <v>114</v>
      </c>
      <c r="E244" s="50"/>
      <c r="F244" s="840" t="s">
        <v>23</v>
      </c>
      <c r="G244" s="326">
        <v>44.2</v>
      </c>
      <c r="H244" s="306">
        <v>21.3</v>
      </c>
      <c r="I244" s="301"/>
      <c r="J244" s="1396"/>
      <c r="K244" s="1094"/>
      <c r="L244" s="296"/>
      <c r="M244" s="181"/>
    </row>
    <row r="245" spans="1:13" ht="53.25" customHeight="1" x14ac:dyDescent="0.25">
      <c r="A245" s="73"/>
      <c r="B245" s="71"/>
      <c r="C245" s="988"/>
      <c r="D245" s="78" t="s">
        <v>173</v>
      </c>
      <c r="E245" s="111"/>
      <c r="F245" s="1224" t="s">
        <v>366</v>
      </c>
      <c r="G245" s="1264">
        <v>4</v>
      </c>
      <c r="H245" s="1225"/>
      <c r="I245" s="1265"/>
      <c r="J245" s="1359" t="s">
        <v>107</v>
      </c>
      <c r="K245" s="460">
        <v>1</v>
      </c>
      <c r="L245" s="297"/>
      <c r="M245" s="124"/>
    </row>
    <row r="246" spans="1:13" ht="40.5" customHeight="1" x14ac:dyDescent="0.25">
      <c r="A246" s="73"/>
      <c r="B246" s="71"/>
      <c r="C246" s="988"/>
      <c r="D246" s="984" t="s">
        <v>174</v>
      </c>
      <c r="E246" s="51"/>
      <c r="F246" s="1187" t="s">
        <v>366</v>
      </c>
      <c r="G246" s="1188">
        <v>4</v>
      </c>
      <c r="H246" s="1189">
        <v>4</v>
      </c>
      <c r="I246" s="1190"/>
      <c r="J246" s="1372" t="s">
        <v>107</v>
      </c>
      <c r="K246" s="227"/>
      <c r="L246" s="245">
        <v>1</v>
      </c>
      <c r="M246" s="125"/>
    </row>
    <row r="247" spans="1:13" ht="43.5" customHeight="1" x14ac:dyDescent="0.25">
      <c r="A247" s="73"/>
      <c r="B247" s="71"/>
      <c r="C247" s="988"/>
      <c r="D247" s="78" t="s">
        <v>155</v>
      </c>
      <c r="E247" s="111"/>
      <c r="F247" s="1224" t="s">
        <v>366</v>
      </c>
      <c r="G247" s="1264">
        <v>3.2</v>
      </c>
      <c r="H247" s="1225"/>
      <c r="I247" s="1265"/>
      <c r="J247" s="1359" t="s">
        <v>107</v>
      </c>
      <c r="K247" s="460">
        <v>1</v>
      </c>
      <c r="L247" s="297"/>
      <c r="M247" s="124"/>
    </row>
    <row r="248" spans="1:13" ht="52.5" customHeight="1" x14ac:dyDescent="0.25">
      <c r="A248" s="73"/>
      <c r="B248" s="71"/>
      <c r="C248" s="988"/>
      <c r="D248" s="78" t="s">
        <v>126</v>
      </c>
      <c r="E248" s="111"/>
      <c r="F248" s="1224" t="s">
        <v>366</v>
      </c>
      <c r="G248" s="1264">
        <v>4</v>
      </c>
      <c r="H248" s="1225"/>
      <c r="I248" s="1265"/>
      <c r="J248" s="1359" t="s">
        <v>107</v>
      </c>
      <c r="K248" s="460">
        <v>1</v>
      </c>
      <c r="L248" s="297"/>
      <c r="M248" s="124"/>
    </row>
    <row r="249" spans="1:13" ht="52.5" customHeight="1" x14ac:dyDescent="0.25">
      <c r="A249" s="73"/>
      <c r="B249" s="71"/>
      <c r="C249" s="988"/>
      <c r="D249" s="983" t="s">
        <v>178</v>
      </c>
      <c r="E249" s="106"/>
      <c r="F249" s="1195" t="s">
        <v>366</v>
      </c>
      <c r="G249" s="1206">
        <v>25</v>
      </c>
      <c r="H249" s="1193"/>
      <c r="I249" s="1197"/>
      <c r="J249" s="1359" t="s">
        <v>107</v>
      </c>
      <c r="K249" s="228">
        <v>1</v>
      </c>
      <c r="L249" s="244"/>
      <c r="M249" s="182"/>
    </row>
    <row r="250" spans="1:13" ht="66.75" customHeight="1" x14ac:dyDescent="0.25">
      <c r="A250" s="73"/>
      <c r="B250" s="71"/>
      <c r="C250" s="988"/>
      <c r="D250" s="983" t="s">
        <v>191</v>
      </c>
      <c r="E250" s="189"/>
      <c r="F250" s="1266" t="s">
        <v>366</v>
      </c>
      <c r="G250" s="1267">
        <v>4</v>
      </c>
      <c r="H250" s="1267">
        <v>4</v>
      </c>
      <c r="I250" s="1268"/>
      <c r="J250" s="1359" t="s">
        <v>107</v>
      </c>
      <c r="K250" s="616"/>
      <c r="L250" s="297">
        <v>1</v>
      </c>
      <c r="M250" s="289"/>
    </row>
    <row r="251" spans="1:13" ht="52.5" customHeight="1" x14ac:dyDescent="0.25">
      <c r="A251" s="73"/>
      <c r="B251" s="71"/>
      <c r="C251" s="988"/>
      <c r="D251" s="983" t="s">
        <v>318</v>
      </c>
      <c r="E251" s="106"/>
      <c r="F251" s="1195" t="s">
        <v>366</v>
      </c>
      <c r="G251" s="1192"/>
      <c r="H251" s="1192">
        <v>7.5</v>
      </c>
      <c r="I251" s="1197"/>
      <c r="J251" s="1359" t="s">
        <v>107</v>
      </c>
      <c r="K251" s="616"/>
      <c r="L251" s="228">
        <v>1</v>
      </c>
      <c r="M251" s="771"/>
    </row>
    <row r="252" spans="1:13" ht="52.5" customHeight="1" x14ac:dyDescent="0.25">
      <c r="A252" s="73"/>
      <c r="B252" s="71"/>
      <c r="C252" s="988"/>
      <c r="D252" s="983" t="s">
        <v>319</v>
      </c>
      <c r="E252" s="106"/>
      <c r="F252" s="1195" t="s">
        <v>366</v>
      </c>
      <c r="G252" s="1192"/>
      <c r="H252" s="1192">
        <v>2.8</v>
      </c>
      <c r="I252" s="1197"/>
      <c r="J252" s="1359" t="s">
        <v>107</v>
      </c>
      <c r="K252" s="1095"/>
      <c r="L252" s="228">
        <v>1</v>
      </c>
      <c r="M252" s="772"/>
    </row>
    <row r="253" spans="1:13" ht="52.5" customHeight="1" x14ac:dyDescent="0.25">
      <c r="A253" s="73"/>
      <c r="B253" s="71"/>
      <c r="C253" s="988"/>
      <c r="D253" s="983" t="s">
        <v>417</v>
      </c>
      <c r="E253" s="106"/>
      <c r="F253" s="1195" t="s">
        <v>366</v>
      </c>
      <c r="G253" s="1192"/>
      <c r="H253" s="1192">
        <v>3</v>
      </c>
      <c r="I253" s="1197"/>
      <c r="J253" s="1359" t="s">
        <v>107</v>
      </c>
      <c r="K253" s="1095"/>
      <c r="L253" s="228">
        <v>1</v>
      </c>
      <c r="M253" s="772"/>
    </row>
    <row r="254" spans="1:13" ht="15" customHeight="1" thickBot="1" x14ac:dyDescent="0.3">
      <c r="A254" s="155"/>
      <c r="B254" s="72"/>
      <c r="C254" s="80"/>
      <c r="D254" s="1024"/>
      <c r="E254" s="1027"/>
      <c r="F254" s="18" t="s">
        <v>5</v>
      </c>
      <c r="G254" s="314">
        <f>+G244</f>
        <v>44.2</v>
      </c>
      <c r="H254" s="407">
        <f>+H244</f>
        <v>21.3</v>
      </c>
      <c r="I254" s="406">
        <f>+I244</f>
        <v>0</v>
      </c>
      <c r="J254" s="1390"/>
      <c r="K254" s="1040"/>
      <c r="L254" s="1028"/>
      <c r="M254" s="1029"/>
    </row>
    <row r="255" spans="1:13" ht="15" customHeight="1" thickBot="1" x14ac:dyDescent="0.3">
      <c r="A255" s="23" t="s">
        <v>4</v>
      </c>
      <c r="B255" s="5" t="s">
        <v>25</v>
      </c>
      <c r="C255" s="1700" t="s">
        <v>7</v>
      </c>
      <c r="D255" s="1701"/>
      <c r="E255" s="1701"/>
      <c r="F255" s="1702"/>
      <c r="G255" s="342">
        <f>G254+G243</f>
        <v>3609.5</v>
      </c>
      <c r="H255" s="310">
        <f>H254+H243</f>
        <v>3607.6</v>
      </c>
      <c r="I255" s="303">
        <f>I254+I243</f>
        <v>1524.1</v>
      </c>
      <c r="J255" s="1120"/>
      <c r="K255" s="1120"/>
      <c r="L255" s="1120"/>
      <c r="M255" s="1122"/>
    </row>
    <row r="256" spans="1:13" ht="15" customHeight="1" thickBot="1" x14ac:dyDescent="0.3">
      <c r="A256" s="23" t="s">
        <v>4</v>
      </c>
      <c r="B256" s="5" t="s">
        <v>32</v>
      </c>
      <c r="C256" s="1703" t="s">
        <v>41</v>
      </c>
      <c r="D256" s="1704"/>
      <c r="E256" s="1704"/>
      <c r="F256" s="1704"/>
      <c r="G256" s="985"/>
      <c r="H256" s="985"/>
      <c r="I256" s="985"/>
      <c r="J256" s="1123"/>
      <c r="K256" s="345"/>
      <c r="L256" s="345"/>
      <c r="M256" s="66"/>
    </row>
    <row r="257" spans="1:55" ht="13.5" customHeight="1" x14ac:dyDescent="0.25">
      <c r="A257" s="25" t="s">
        <v>4</v>
      </c>
      <c r="B257" s="67" t="s">
        <v>32</v>
      </c>
      <c r="C257" s="87" t="s">
        <v>4</v>
      </c>
      <c r="D257" s="1686" t="s">
        <v>207</v>
      </c>
      <c r="E257" s="50"/>
      <c r="F257" s="842" t="s">
        <v>23</v>
      </c>
      <c r="G257" s="326">
        <f>179.1-38.5-82.3</f>
        <v>58.3</v>
      </c>
      <c r="H257" s="306">
        <v>179.1</v>
      </c>
      <c r="I257" s="301">
        <v>179.1</v>
      </c>
      <c r="J257" s="1396"/>
      <c r="K257" s="455"/>
      <c r="L257" s="298"/>
      <c r="M257" s="290"/>
    </row>
    <row r="258" spans="1:55" ht="13.5" customHeight="1" x14ac:dyDescent="0.25">
      <c r="A258" s="134"/>
      <c r="B258" s="71"/>
      <c r="C258" s="135"/>
      <c r="D258" s="1687"/>
      <c r="E258" s="136"/>
      <c r="F258" s="843" t="s">
        <v>51</v>
      </c>
      <c r="G258" s="47">
        <v>29</v>
      </c>
      <c r="H258" s="307"/>
      <c r="I258" s="113"/>
      <c r="J258" s="1372"/>
      <c r="K258" s="227"/>
      <c r="L258" s="245"/>
      <c r="M258" s="148"/>
    </row>
    <row r="259" spans="1:55" ht="13.5" customHeight="1" x14ac:dyDescent="0.25">
      <c r="A259" s="134"/>
      <c r="B259" s="71"/>
      <c r="C259" s="135"/>
      <c r="D259" s="1687"/>
      <c r="E259" s="136"/>
      <c r="F259" s="1013" t="s">
        <v>357</v>
      </c>
      <c r="G259" s="504">
        <v>250</v>
      </c>
      <c r="H259" s="307">
        <v>250</v>
      </c>
      <c r="I259" s="113">
        <v>250</v>
      </c>
      <c r="J259" s="1372"/>
      <c r="K259" s="227"/>
      <c r="L259" s="245"/>
      <c r="M259" s="148"/>
    </row>
    <row r="260" spans="1:55" s="31" customFormat="1" ht="21" customHeight="1" x14ac:dyDescent="0.25">
      <c r="A260" s="1688"/>
      <c r="B260" s="1690"/>
      <c r="C260" s="1692"/>
      <c r="D260" s="1694" t="s">
        <v>133</v>
      </c>
      <c r="E260" s="1696" t="s">
        <v>43</v>
      </c>
      <c r="F260" s="1269" t="s">
        <v>366</v>
      </c>
      <c r="G260" s="1270">
        <v>170</v>
      </c>
      <c r="H260" s="1271">
        <v>170</v>
      </c>
      <c r="I260" s="1272">
        <v>170</v>
      </c>
      <c r="J260" s="1682" t="s">
        <v>132</v>
      </c>
      <c r="K260" s="681">
        <v>640</v>
      </c>
      <c r="L260" s="682">
        <v>730</v>
      </c>
      <c r="M260" s="683">
        <v>730</v>
      </c>
    </row>
    <row r="261" spans="1:55" s="31" customFormat="1" ht="21" customHeight="1" x14ac:dyDescent="0.25">
      <c r="A261" s="1689"/>
      <c r="B261" s="1691"/>
      <c r="C261" s="1693"/>
      <c r="D261" s="1695"/>
      <c r="E261" s="1697"/>
      <c r="F261" s="1273"/>
      <c r="G261" s="1274"/>
      <c r="H261" s="1275"/>
      <c r="I261" s="1276"/>
      <c r="J261" s="1683"/>
      <c r="K261" s="1091"/>
      <c r="L261" s="299"/>
      <c r="M261" s="291"/>
    </row>
    <row r="262" spans="1:55" ht="17.25" customHeight="1" x14ac:dyDescent="0.25">
      <c r="A262" s="986"/>
      <c r="B262" s="987"/>
      <c r="C262" s="85"/>
      <c r="D262" s="1674" t="s">
        <v>192</v>
      </c>
      <c r="E262" s="128"/>
      <c r="F262" s="1277" t="s">
        <v>366</v>
      </c>
      <c r="G262" s="1278">
        <v>9.1</v>
      </c>
      <c r="H262" s="1271">
        <v>9.1</v>
      </c>
      <c r="I262" s="1279">
        <v>9.1</v>
      </c>
      <c r="J262" s="1682" t="s">
        <v>189</v>
      </c>
      <c r="K262" s="456">
        <v>16</v>
      </c>
      <c r="L262" s="682">
        <v>13</v>
      </c>
      <c r="M262" s="897">
        <v>13</v>
      </c>
    </row>
    <row r="263" spans="1:55" ht="37.5" customHeight="1" x14ac:dyDescent="0.25">
      <c r="A263" s="21"/>
      <c r="B263" s="987"/>
      <c r="C263" s="86"/>
      <c r="D263" s="1684"/>
      <c r="E263" s="106"/>
      <c r="F263" s="1273" t="s">
        <v>367</v>
      </c>
      <c r="G263" s="1280">
        <v>3</v>
      </c>
      <c r="H263" s="1281"/>
      <c r="I263" s="1282"/>
      <c r="J263" s="1685"/>
      <c r="K263" s="456"/>
      <c r="L263" s="299"/>
      <c r="M263" s="291"/>
    </row>
    <row r="264" spans="1:55" ht="15" customHeight="1" x14ac:dyDescent="0.25">
      <c r="A264" s="986"/>
      <c r="B264" s="987"/>
      <c r="C264" s="85"/>
      <c r="D264" s="1675" t="s">
        <v>94</v>
      </c>
      <c r="E264" s="51" t="s">
        <v>43</v>
      </c>
      <c r="F264" s="1277" t="s">
        <v>367</v>
      </c>
      <c r="G264" s="1278">
        <v>26</v>
      </c>
      <c r="H264" s="1275"/>
      <c r="I264" s="1272"/>
      <c r="J264" s="1388" t="s">
        <v>76</v>
      </c>
      <c r="K264" s="281">
        <v>1</v>
      </c>
      <c r="L264" s="243"/>
      <c r="M264" s="151"/>
    </row>
    <row r="265" spans="1:55" ht="28.5" customHeight="1" x14ac:dyDescent="0.25">
      <c r="A265" s="21"/>
      <c r="B265" s="987"/>
      <c r="C265" s="86"/>
      <c r="D265" s="1675"/>
      <c r="E265" s="51"/>
      <c r="F265" s="1283"/>
      <c r="G265" s="1284"/>
      <c r="H265" s="1285"/>
      <c r="I265" s="1286"/>
      <c r="J265" s="1385" t="s">
        <v>325</v>
      </c>
      <c r="K265" s="1092"/>
      <c r="L265" s="343"/>
      <c r="M265" s="528"/>
    </row>
    <row r="266" spans="1:55" ht="28.4" customHeight="1" x14ac:dyDescent="0.25">
      <c r="A266" s="986"/>
      <c r="B266" s="987"/>
      <c r="C266" s="85"/>
      <c r="D266" s="1674" t="s">
        <v>358</v>
      </c>
      <c r="E266" s="128"/>
      <c r="F266" s="1287" t="s">
        <v>380</v>
      </c>
      <c r="G266" s="1278">
        <v>250</v>
      </c>
      <c r="H266" s="1275">
        <v>250</v>
      </c>
      <c r="I266" s="1279">
        <v>250</v>
      </c>
      <c r="J266" s="1370" t="s">
        <v>359</v>
      </c>
      <c r="K266" s="227">
        <v>100</v>
      </c>
      <c r="L266" s="245">
        <v>100</v>
      </c>
      <c r="M266" s="148">
        <v>100</v>
      </c>
    </row>
    <row r="267" spans="1:55" ht="57.65" customHeight="1" thickBot="1" x14ac:dyDescent="0.3">
      <c r="A267" s="21"/>
      <c r="B267" s="987"/>
      <c r="C267" s="86"/>
      <c r="D267" s="1675"/>
      <c r="E267" s="989"/>
      <c r="F267" s="1287"/>
      <c r="G267" s="1284"/>
      <c r="H267" s="1285"/>
      <c r="I267" s="1286"/>
      <c r="J267" s="1386"/>
      <c r="K267" s="228"/>
      <c r="L267" s="244"/>
      <c r="M267" s="167"/>
    </row>
    <row r="268" spans="1:55" ht="15" customHeight="1" thickBot="1" x14ac:dyDescent="0.3">
      <c r="A268" s="155" t="s">
        <v>4</v>
      </c>
      <c r="B268" s="72" t="s">
        <v>32</v>
      </c>
      <c r="C268" s="1676" t="s">
        <v>7</v>
      </c>
      <c r="D268" s="1677"/>
      <c r="E268" s="1677"/>
      <c r="F268" s="1678"/>
      <c r="G268" s="841">
        <f>+G257+G258+G259</f>
        <v>337.3</v>
      </c>
      <c r="H268" s="825">
        <f t="shared" ref="H268:I268" si="2">+H257+H258+H259</f>
        <v>429.1</v>
      </c>
      <c r="I268" s="898">
        <f t="shared" si="2"/>
        <v>429.1</v>
      </c>
      <c r="J268" s="1121"/>
      <c r="K268" s="1120"/>
      <c r="L268" s="1120"/>
      <c r="M268" s="1122"/>
    </row>
    <row r="269" spans="1:55" ht="15" customHeight="1" thickBot="1" x14ac:dyDescent="0.3">
      <c r="A269" s="24" t="s">
        <v>4</v>
      </c>
      <c r="B269" s="1679" t="s">
        <v>8</v>
      </c>
      <c r="C269" s="1680"/>
      <c r="D269" s="1680"/>
      <c r="E269" s="1680"/>
      <c r="F269" s="1681"/>
      <c r="G269" s="520">
        <f>G268+G255+G211+G189</f>
        <v>18617.3</v>
      </c>
      <c r="H269" s="311">
        <f>H268+H255+H211+H189</f>
        <v>20390.3</v>
      </c>
      <c r="I269" s="304">
        <f>I268+I255+I211+I189</f>
        <v>20368.7</v>
      </c>
      <c r="J269" s="1662"/>
      <c r="K269" s="1662"/>
      <c r="L269" s="1662"/>
      <c r="M269" s="1663"/>
    </row>
    <row r="270" spans="1:55" ht="15" customHeight="1" thickBot="1" x14ac:dyDescent="0.3">
      <c r="A270" s="17" t="s">
        <v>34</v>
      </c>
      <c r="B270" s="1664" t="s">
        <v>49</v>
      </c>
      <c r="C270" s="1665"/>
      <c r="D270" s="1665"/>
      <c r="E270" s="1665"/>
      <c r="F270" s="1666"/>
      <c r="G270" s="521">
        <f>SUM(G269)</f>
        <v>18617.3</v>
      </c>
      <c r="H270" s="312">
        <f t="shared" ref="H270:I270" si="3">SUM(H269)</f>
        <v>20390.3</v>
      </c>
      <c r="I270" s="305">
        <f t="shared" si="3"/>
        <v>20368.7</v>
      </c>
      <c r="J270" s="1667"/>
      <c r="K270" s="1667"/>
      <c r="L270" s="1667"/>
      <c r="M270" s="1668"/>
    </row>
    <row r="271" spans="1:55" s="7" customFormat="1" ht="16.5" customHeight="1" x14ac:dyDescent="0.25">
      <c r="A271" s="1669"/>
      <c r="B271" s="1669"/>
      <c r="C271" s="1669"/>
      <c r="D271" s="1669"/>
      <c r="E271" s="1669"/>
      <c r="F271" s="1669"/>
      <c r="G271" s="122"/>
      <c r="H271" s="122"/>
      <c r="I271" s="122"/>
      <c r="J271" s="670"/>
      <c r="K271" s="237"/>
      <c r="L271" s="237"/>
      <c r="M271" s="108"/>
    </row>
    <row r="272" spans="1:55" s="7" customFormat="1" ht="17.25" customHeight="1" x14ac:dyDescent="0.25">
      <c r="A272" s="108"/>
      <c r="B272" s="122"/>
      <c r="C272" s="122"/>
      <c r="D272" s="122"/>
      <c r="E272" s="122"/>
      <c r="F272" s="122"/>
      <c r="G272" s="671"/>
      <c r="H272" s="671"/>
      <c r="I272" s="671"/>
      <c r="J272" s="122"/>
      <c r="K272" s="237"/>
      <c r="L272" s="237"/>
      <c r="M272" s="108"/>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row>
    <row r="273" spans="1:55" s="8" customFormat="1" ht="14.25" customHeight="1" thickBot="1" x14ac:dyDescent="0.3">
      <c r="A273" s="1670" t="s">
        <v>12</v>
      </c>
      <c r="B273" s="1670"/>
      <c r="C273" s="1670"/>
      <c r="D273" s="1670"/>
      <c r="E273" s="1670"/>
      <c r="F273" s="1670"/>
      <c r="G273" s="1670"/>
      <c r="H273" s="1670"/>
      <c r="I273" s="1670"/>
      <c r="J273" s="14"/>
      <c r="K273" s="346"/>
      <c r="L273" s="346"/>
      <c r="M273" s="14"/>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row>
    <row r="274" spans="1:55" ht="54" customHeight="1" thickBot="1" x14ac:dyDescent="0.3">
      <c r="A274" s="1671" t="s">
        <v>9</v>
      </c>
      <c r="B274" s="1672"/>
      <c r="C274" s="1672"/>
      <c r="D274" s="1672"/>
      <c r="E274" s="1672"/>
      <c r="F274" s="1673"/>
      <c r="G274" s="1020" t="s">
        <v>419</v>
      </c>
      <c r="H274" s="1020" t="s">
        <v>420</v>
      </c>
      <c r="I274" s="1021" t="s">
        <v>421</v>
      </c>
      <c r="J274" s="2"/>
      <c r="K274" s="2"/>
      <c r="L274" s="2"/>
      <c r="M274" s="2"/>
    </row>
    <row r="275" spans="1:55" ht="14.25" customHeight="1" x14ac:dyDescent="0.25">
      <c r="A275" s="1653" t="s">
        <v>13</v>
      </c>
      <c r="B275" s="1654"/>
      <c r="C275" s="1654"/>
      <c r="D275" s="1654"/>
      <c r="E275" s="1654"/>
      <c r="F275" s="1655"/>
      <c r="G275" s="96">
        <f>G276+G287+G288+G289+G290+G291+G286</f>
        <v>18594.400000000001</v>
      </c>
      <c r="H275" s="96">
        <f t="shared" ref="H275:I275" si="4">H276+H287+H288+H289+H290+H291+H286</f>
        <v>20390.3</v>
      </c>
      <c r="I275" s="96">
        <f t="shared" si="4"/>
        <v>18868.7</v>
      </c>
    </row>
    <row r="276" spans="1:55" ht="14.25" customHeight="1" x14ac:dyDescent="0.25">
      <c r="A276" s="1656" t="s">
        <v>70</v>
      </c>
      <c r="B276" s="1657"/>
      <c r="C276" s="1657"/>
      <c r="D276" s="1657"/>
      <c r="E276" s="1657"/>
      <c r="F276" s="1658"/>
      <c r="G276" s="43">
        <f>SUM(G277:G285)</f>
        <v>15964.3</v>
      </c>
      <c r="H276" s="43">
        <f>SUM(H277:H285)</f>
        <v>19785</v>
      </c>
      <c r="I276" s="43">
        <f t="shared" ref="I276" si="5">SUM(I277:I285)</f>
        <v>18868.7</v>
      </c>
      <c r="J276" s="79"/>
    </row>
    <row r="277" spans="1:55" ht="14.25" customHeight="1" x14ac:dyDescent="0.25">
      <c r="A277" s="1659" t="s">
        <v>17</v>
      </c>
      <c r="B277" s="1660"/>
      <c r="C277" s="1660"/>
      <c r="D277" s="1660"/>
      <c r="E277" s="1660"/>
      <c r="F277" s="1661"/>
      <c r="G277" s="48">
        <f>SUMIF(F15:F270,"SB",G15:G270)</f>
        <v>10399.6</v>
      </c>
      <c r="H277" s="48">
        <f>SUMIF(F15:F270,"SB",H15:H270)</f>
        <v>15102.3</v>
      </c>
      <c r="I277" s="48">
        <f>SUMIF(F15:F270,"SB",I15:I270)</f>
        <v>16024</v>
      </c>
      <c r="J277" s="11"/>
      <c r="K277" s="672"/>
    </row>
    <row r="278" spans="1:55" ht="26.25" customHeight="1" x14ac:dyDescent="0.25">
      <c r="A278" s="1635" t="s">
        <v>18</v>
      </c>
      <c r="B278" s="1636"/>
      <c r="C278" s="1636"/>
      <c r="D278" s="1636"/>
      <c r="E278" s="1636"/>
      <c r="F278" s="1637"/>
      <c r="G278" s="54">
        <f>SUMIF(F15:F270,"SB(SP)",G15:G270)</f>
        <v>35.700000000000003</v>
      </c>
      <c r="H278" s="54">
        <f>SUMIF(F15:F270,"SB(SP)",H15:H270)</f>
        <v>35.700000000000003</v>
      </c>
      <c r="I278" s="54">
        <f>SUMIF(F15:F270,"SB(SP)",I15:I270)</f>
        <v>35.700000000000003</v>
      </c>
      <c r="J278" s="15"/>
    </row>
    <row r="279" spans="1:55" ht="14.25" customHeight="1" x14ac:dyDescent="0.25">
      <c r="A279" s="1650" t="s">
        <v>360</v>
      </c>
      <c r="B279" s="1651"/>
      <c r="C279" s="1651"/>
      <c r="D279" s="1651"/>
      <c r="E279" s="1651"/>
      <c r="F279" s="1652"/>
      <c r="G279" s="48">
        <f>SUMIF(F15:F270,"SB(SPI)",G15:G270)</f>
        <v>250</v>
      </c>
      <c r="H279" s="48">
        <f>SUMIF(F15:F270,"SB(SPI)",H15:H270)</f>
        <v>250</v>
      </c>
      <c r="I279" s="48">
        <f>SUMIF(F15:F270,"SB(SPI)",I15:I270)</f>
        <v>250</v>
      </c>
      <c r="J279" s="15"/>
    </row>
    <row r="280" spans="1:55" ht="12.75" customHeight="1" x14ac:dyDescent="0.25">
      <c r="A280" s="1635" t="s">
        <v>57</v>
      </c>
      <c r="B280" s="1636"/>
      <c r="C280" s="1636"/>
      <c r="D280" s="1636"/>
      <c r="E280" s="1636"/>
      <c r="F280" s="1637"/>
      <c r="G280" s="54">
        <f>SUMIF(F15:F270,"SB(VR)",G15:G270)</f>
        <v>50</v>
      </c>
      <c r="H280" s="54">
        <f>SUMIF(F15:F270,"SB(VR)",H15:H270)</f>
        <v>0</v>
      </c>
      <c r="I280" s="54">
        <f>SUMIF(F15:F270,"SB(VR)",I15:I270)</f>
        <v>0</v>
      </c>
      <c r="J280" s="13"/>
      <c r="M280" s="1"/>
    </row>
    <row r="281" spans="1:55" x14ac:dyDescent="0.25">
      <c r="A281" s="1635" t="s">
        <v>19</v>
      </c>
      <c r="B281" s="1636"/>
      <c r="C281" s="1636"/>
      <c r="D281" s="1636"/>
      <c r="E281" s="1636"/>
      <c r="F281" s="1637"/>
      <c r="G281" s="54">
        <f>SUMIF(F15:F270,"SB(P)",G15:G270)</f>
        <v>1837</v>
      </c>
      <c r="H281" s="54">
        <f>SUMIF(F15:F270,"SB(P)",H15:H270)</f>
        <v>2132.6</v>
      </c>
      <c r="I281" s="54">
        <f>SUMIF(F15:F270,"SB(P)",I15:I270)</f>
        <v>2559</v>
      </c>
      <c r="J281" s="13"/>
      <c r="M281" s="1"/>
    </row>
    <row r="282" spans="1:55" ht="27.75" customHeight="1" x14ac:dyDescent="0.25">
      <c r="A282" s="1635" t="s">
        <v>362</v>
      </c>
      <c r="B282" s="1636"/>
      <c r="C282" s="1636"/>
      <c r="D282" s="1636"/>
      <c r="E282" s="1636"/>
      <c r="F282" s="1637"/>
      <c r="G282" s="54">
        <f>SUMIF(F15:F270,"SB(K)",G15:G270)</f>
        <v>112</v>
      </c>
      <c r="H282" s="54">
        <f>SUMIF(F15:F270,"SB(K)",H15:H270)</f>
        <v>0</v>
      </c>
      <c r="I282" s="54">
        <f>SUMIF(F15:F270,"SB(K)",I15:I270)</f>
        <v>0</v>
      </c>
      <c r="J282" s="13"/>
      <c r="M282" s="1"/>
    </row>
    <row r="283" spans="1:55" x14ac:dyDescent="0.25">
      <c r="A283" s="1635" t="s">
        <v>73</v>
      </c>
      <c r="B283" s="1636"/>
      <c r="C283" s="1636"/>
      <c r="D283" s="1636"/>
      <c r="E283" s="1636"/>
      <c r="F283" s="1637"/>
      <c r="G283" s="54">
        <f>SUMIF(F15:F270,"SB(VB)",G15:G270)</f>
        <v>266</v>
      </c>
      <c r="H283" s="54">
        <f>SUMIF(F15:F270,"SB(VB)",H15:H270)</f>
        <v>183.7</v>
      </c>
      <c r="I283" s="54">
        <f>SUMIF(F15:F270,"SB(VB)",I15:I270)</f>
        <v>0</v>
      </c>
    </row>
    <row r="284" spans="1:55" x14ac:dyDescent="0.25">
      <c r="A284" s="1650" t="s">
        <v>118</v>
      </c>
      <c r="B284" s="1651"/>
      <c r="C284" s="1651"/>
      <c r="D284" s="1651"/>
      <c r="E284" s="1651"/>
      <c r="F284" s="1652"/>
      <c r="G284" s="54">
        <f>SUMIF(F15:F270,"SB(KPP)",G15:G270)</f>
        <v>0</v>
      </c>
      <c r="H284" s="54">
        <f>SUMIF(F15:F270,"SB(KPP)",H15:H270)</f>
        <v>0</v>
      </c>
      <c r="I284" s="54">
        <f>SUMIF(F15:F270,"SB(KPP)",I15:I270)</f>
        <v>0</v>
      </c>
      <c r="J284" s="29"/>
      <c r="K284" s="347"/>
      <c r="L284" s="347"/>
      <c r="M284" s="29"/>
    </row>
    <row r="285" spans="1:55" ht="28.5" customHeight="1" x14ac:dyDescent="0.25">
      <c r="A285" s="1638" t="s">
        <v>350</v>
      </c>
      <c r="B285" s="1639"/>
      <c r="C285" s="1639"/>
      <c r="D285" s="1639"/>
      <c r="E285" s="1639"/>
      <c r="F285" s="1640"/>
      <c r="G285" s="54">
        <f>SUMIF(F15:F270,"SB(ES)",G15:G270)</f>
        <v>3014</v>
      </c>
      <c r="H285" s="54">
        <f>SUMIF(F15:F270,"SB(ES)",H15:H270)</f>
        <v>2080.6999999999998</v>
      </c>
      <c r="I285" s="54">
        <f>SUMIF(F15:F270,"SB(ES)",I15:I270)</f>
        <v>0</v>
      </c>
    </row>
    <row r="286" spans="1:55" ht="14.25" customHeight="1" x14ac:dyDescent="0.25">
      <c r="A286" s="1644" t="s">
        <v>52</v>
      </c>
      <c r="B286" s="1645"/>
      <c r="C286" s="1645"/>
      <c r="D286" s="1645"/>
      <c r="E286" s="1645"/>
      <c r="F286" s="1646"/>
      <c r="G286" s="75">
        <f>SUMIF(F15:F267,"SB(L)",G15:G267)</f>
        <v>1039.5</v>
      </c>
      <c r="H286" s="75">
        <f>SUMIF(F15:F267,"SB(L)",H15:H267)</f>
        <v>605.29999999999995</v>
      </c>
      <c r="I286" s="75">
        <f>SUMIF(F15:F267,"SB(L)",I15:I267)</f>
        <v>0</v>
      </c>
    </row>
    <row r="287" spans="1:55" x14ac:dyDescent="0.25">
      <c r="A287" s="1644" t="s">
        <v>71</v>
      </c>
      <c r="B287" s="1645"/>
      <c r="C287" s="1645"/>
      <c r="D287" s="1645"/>
      <c r="E287" s="1645"/>
      <c r="F287" s="1646"/>
      <c r="G287" s="45">
        <f>SUMIF(F15:F270,"SB(SPL)",G15:G270)</f>
        <v>2.7</v>
      </c>
      <c r="H287" s="45">
        <f>SUMIF(F15:F270,"SB(SPL)",H15:H270)</f>
        <v>0</v>
      </c>
      <c r="I287" s="45">
        <f>SUMIF(F15:F270,"SB(SPL)",I15:I270)</f>
        <v>0</v>
      </c>
    </row>
    <row r="288" spans="1:55" ht="28.5" customHeight="1" x14ac:dyDescent="0.25">
      <c r="A288" s="1644" t="s">
        <v>349</v>
      </c>
      <c r="B288" s="1645"/>
      <c r="C288" s="1645"/>
      <c r="D288" s="1645"/>
      <c r="E288" s="1645"/>
      <c r="F288" s="1646"/>
      <c r="G288" s="45">
        <f>SUMIF(F15:F270,"SB(VBL)",G15:G270)</f>
        <v>112.3</v>
      </c>
      <c r="H288" s="45">
        <f>SUMIF(F15:F270,"SB(VBL)",H15:H270)</f>
        <v>0</v>
      </c>
      <c r="I288" s="45">
        <f>SUMIF(F15:F270,"SB(VBL)",I15:I270)</f>
        <v>0</v>
      </c>
    </row>
    <row r="289" spans="1:15" ht="26.25" customHeight="1" x14ac:dyDescent="0.25">
      <c r="A289" s="1644" t="s">
        <v>348</v>
      </c>
      <c r="B289" s="1645"/>
      <c r="C289" s="1645"/>
      <c r="D289" s="1645"/>
      <c r="E289" s="1645"/>
      <c r="F289" s="1646"/>
      <c r="G289" s="45">
        <f>SUMIF(F15:F270,"SB(ESL)",G15:G270)</f>
        <v>1475.6</v>
      </c>
      <c r="H289" s="45">
        <f>SUMIF(F15:F270,"SB(ESL)",H15:H270)</f>
        <v>0</v>
      </c>
      <c r="I289" s="45">
        <f>SUMIF(F15:F270,"SB(ESL)",I15:I270)</f>
        <v>0</v>
      </c>
    </row>
    <row r="290" spans="1:15" ht="13.5" customHeight="1" x14ac:dyDescent="0.25">
      <c r="A290" s="1644" t="s">
        <v>74</v>
      </c>
      <c r="B290" s="1645"/>
      <c r="C290" s="1645"/>
      <c r="D290" s="1645"/>
      <c r="E290" s="1645"/>
      <c r="F290" s="1646"/>
      <c r="G290" s="45">
        <f>SUMIF(F15:F270,"SB(ŽPL)",G15:G270)</f>
        <v>0</v>
      </c>
      <c r="H290" s="45">
        <f>SUMIF(F15:F270,"SB(ŽPL)",H15:H270)</f>
        <v>0</v>
      </c>
      <c r="I290" s="45">
        <f>SUMIF(F15:F270,"SB(ŽPL)",I15:I270)</f>
        <v>0</v>
      </c>
    </row>
    <row r="291" spans="1:15" ht="15.75" customHeight="1" x14ac:dyDescent="0.25">
      <c r="A291" s="1644" t="s">
        <v>72</v>
      </c>
      <c r="B291" s="1645"/>
      <c r="C291" s="1645"/>
      <c r="D291" s="1645"/>
      <c r="E291" s="1645"/>
      <c r="F291" s="1646"/>
      <c r="G291" s="75">
        <f>SUMIF(F15:F270,"SB(VRL)",G15:G270)</f>
        <v>0</v>
      </c>
      <c r="H291" s="75">
        <f>SUMIF(F15:F270,"SB(VRL)",H15:H270)</f>
        <v>0</v>
      </c>
      <c r="I291" s="75">
        <f>SUMIF(F15:F270,"SB(VRL)",I15:I270)</f>
        <v>0</v>
      </c>
    </row>
    <row r="292" spans="1:15" x14ac:dyDescent="0.25">
      <c r="A292" s="1647" t="s">
        <v>14</v>
      </c>
      <c r="B292" s="1648"/>
      <c r="C292" s="1648"/>
      <c r="D292" s="1648"/>
      <c r="E292" s="1648"/>
      <c r="F292" s="1649"/>
      <c r="G292" s="116">
        <f t="shared" ref="G292:I292" si="6">SUM(G293:G296)</f>
        <v>22.9</v>
      </c>
      <c r="H292" s="116">
        <f t="shared" si="6"/>
        <v>0</v>
      </c>
      <c r="I292" s="116">
        <f t="shared" si="6"/>
        <v>1500</v>
      </c>
    </row>
    <row r="293" spans="1:15" x14ac:dyDescent="0.25">
      <c r="A293" s="1632" t="s">
        <v>97</v>
      </c>
      <c r="B293" s="1633"/>
      <c r="C293" s="1633"/>
      <c r="D293" s="1633"/>
      <c r="E293" s="1633"/>
      <c r="F293" s="1634"/>
      <c r="G293" s="54">
        <f>SUMIF(F15:F270,"KVJUD",G15:G270)</f>
        <v>0</v>
      </c>
      <c r="H293" s="54">
        <f>SUMIF(F15:F270,"KVJUD",H15:H270)</f>
        <v>0</v>
      </c>
      <c r="I293" s="54">
        <f>SUMIF(F15:F270,"KVJUD",I15:I270)</f>
        <v>0</v>
      </c>
    </row>
    <row r="294" spans="1:15" ht="13.5" customHeight="1" x14ac:dyDescent="0.25">
      <c r="A294" s="1635" t="s">
        <v>21</v>
      </c>
      <c r="B294" s="1636"/>
      <c r="C294" s="1636"/>
      <c r="D294" s="1636"/>
      <c r="E294" s="1636"/>
      <c r="F294" s="1637"/>
      <c r="G294" s="54">
        <f>SUMIF(F15:F270,"LRVB",G15:G270)</f>
        <v>0</v>
      </c>
      <c r="H294" s="54">
        <f>SUMIF(F15:F270,"LRVB",H15:H270)</f>
        <v>0</v>
      </c>
      <c r="I294" s="54">
        <f>SUMIF(F15:F270,"LRVB",I15:I270)</f>
        <v>1500</v>
      </c>
    </row>
    <row r="295" spans="1:15" ht="14.25" customHeight="1" x14ac:dyDescent="0.25">
      <c r="A295" s="1638" t="s">
        <v>20</v>
      </c>
      <c r="B295" s="1639"/>
      <c r="C295" s="1639"/>
      <c r="D295" s="1639"/>
      <c r="E295" s="1639"/>
      <c r="F295" s="1640"/>
      <c r="G295" s="44">
        <f>SUMIF(F15:F270,"ES",G15:G270)</f>
        <v>0</v>
      </c>
      <c r="H295" s="44">
        <f>SUMIF(F15:F270,"ES",H15:H270)</f>
        <v>0</v>
      </c>
      <c r="I295" s="44">
        <f>SUMIF(F15:F270,"ES",I15:I270)</f>
        <v>0</v>
      </c>
    </row>
    <row r="296" spans="1:15" ht="15.75" customHeight="1" x14ac:dyDescent="0.25">
      <c r="A296" s="1635" t="s">
        <v>22</v>
      </c>
      <c r="B296" s="1636"/>
      <c r="C296" s="1636"/>
      <c r="D296" s="1636"/>
      <c r="E296" s="1636"/>
      <c r="F296" s="1637"/>
      <c r="G296" s="54">
        <f>SUMIF(F15:F270,"Kt",G15:G270)</f>
        <v>22.9</v>
      </c>
      <c r="H296" s="54">
        <f>SUMIF(F15:F270,"Kt",H15:H270)</f>
        <v>0</v>
      </c>
      <c r="I296" s="54">
        <f>SUMIF(F15:F270,"Kt",I15:I270)</f>
        <v>0</v>
      </c>
    </row>
    <row r="297" spans="1:15" ht="15" customHeight="1" thickBot="1" x14ac:dyDescent="0.3">
      <c r="A297" s="1641" t="s">
        <v>15</v>
      </c>
      <c r="B297" s="1642"/>
      <c r="C297" s="1642"/>
      <c r="D297" s="1642"/>
      <c r="E297" s="1642"/>
      <c r="F297" s="1643"/>
      <c r="G297" s="98">
        <f>SUM(G275,G292)</f>
        <v>18617.3</v>
      </c>
      <c r="H297" s="98">
        <f t="shared" ref="H297:I297" si="7">SUM(H275,H292)</f>
        <v>20390.3</v>
      </c>
      <c r="I297" s="98">
        <f t="shared" si="7"/>
        <v>20368.7</v>
      </c>
      <c r="K297" s="348"/>
      <c r="L297" s="348"/>
      <c r="M297" s="3"/>
    </row>
    <row r="298" spans="1:15" x14ac:dyDescent="0.25">
      <c r="G298" s="7"/>
      <c r="H298" s="7"/>
      <c r="I298" s="7"/>
      <c r="J298" s="7"/>
      <c r="K298" s="2"/>
      <c r="L298" s="2"/>
      <c r="M298" s="6"/>
    </row>
    <row r="299" spans="1:15" x14ac:dyDescent="0.25">
      <c r="E299" s="919"/>
      <c r="F299" s="920"/>
      <c r="G299" s="921"/>
      <c r="H299" s="921"/>
      <c r="I299" s="921"/>
      <c r="J299" s="7"/>
      <c r="K299" s="349"/>
      <c r="L299" s="349"/>
      <c r="M299" s="7"/>
    </row>
    <row r="300" spans="1:15" x14ac:dyDescent="0.25">
      <c r="G300" s="12"/>
      <c r="H300" s="12"/>
      <c r="I300" s="12"/>
    </row>
    <row r="301" spans="1:15" x14ac:dyDescent="0.25">
      <c r="G301" s="12"/>
      <c r="H301" s="12"/>
      <c r="I301" s="12"/>
    </row>
    <row r="302" spans="1:15" s="4" customFormat="1" x14ac:dyDescent="0.25">
      <c r="E302" s="10"/>
      <c r="F302" s="16"/>
      <c r="G302" s="29"/>
      <c r="H302" s="29"/>
      <c r="I302" s="29"/>
      <c r="K302" s="16"/>
      <c r="L302" s="16"/>
      <c r="N302" s="3"/>
      <c r="O302" s="3"/>
    </row>
    <row r="303" spans="1:15" s="4" customFormat="1" x14ac:dyDescent="0.25">
      <c r="E303" s="10"/>
      <c r="F303" s="16"/>
      <c r="J303" s="12"/>
      <c r="K303" s="16"/>
      <c r="L303" s="16"/>
      <c r="N303" s="3"/>
      <c r="O303" s="3"/>
    </row>
  </sheetData>
  <mergeCells count="169">
    <mergeCell ref="B13:M13"/>
    <mergeCell ref="C14:M14"/>
    <mergeCell ref="D15:D26"/>
    <mergeCell ref="J1:M1"/>
    <mergeCell ref="J2:M2"/>
    <mergeCell ref="I8:I10"/>
    <mergeCell ref="J8:M8"/>
    <mergeCell ref="J9:J10"/>
    <mergeCell ref="K9:M9"/>
    <mergeCell ref="A11:M11"/>
    <mergeCell ref="A12:M12"/>
    <mergeCell ref="E8:E10"/>
    <mergeCell ref="F8:F10"/>
    <mergeCell ref="G8:G10"/>
    <mergeCell ref="H8:H10"/>
    <mergeCell ref="A4:M4"/>
    <mergeCell ref="A5:M5"/>
    <mergeCell ref="A6:M6"/>
    <mergeCell ref="J7:M7"/>
    <mergeCell ref="A8:A10"/>
    <mergeCell ref="B8:B10"/>
    <mergeCell ref="C8:C10"/>
    <mergeCell ref="D8:D10"/>
    <mergeCell ref="J15:J26"/>
    <mergeCell ref="D27:D30"/>
    <mergeCell ref="J28:J29"/>
    <mergeCell ref="A75:A77"/>
    <mergeCell ref="B75:B77"/>
    <mergeCell ref="C75:C77"/>
    <mergeCell ref="D75:D77"/>
    <mergeCell ref="D70:D71"/>
    <mergeCell ref="D72:E72"/>
    <mergeCell ref="D73:D74"/>
    <mergeCell ref="J59:J62"/>
    <mergeCell ref="D63:D65"/>
    <mergeCell ref="D66:D68"/>
    <mergeCell ref="J66:J68"/>
    <mergeCell ref="D57:D58"/>
    <mergeCell ref="D59:D62"/>
    <mergeCell ref="D46:D49"/>
    <mergeCell ref="J48:J49"/>
    <mergeCell ref="D50:D56"/>
    <mergeCell ref="J50:J54"/>
    <mergeCell ref="D32:D37"/>
    <mergeCell ref="J32:J37"/>
    <mergeCell ref="D39:D45"/>
    <mergeCell ref="J40:J42"/>
    <mergeCell ref="E102:E103"/>
    <mergeCell ref="D123:D124"/>
    <mergeCell ref="D78:D81"/>
    <mergeCell ref="E80:E84"/>
    <mergeCell ref="A93:A99"/>
    <mergeCell ref="B93:B99"/>
    <mergeCell ref="C93:C99"/>
    <mergeCell ref="D93:D99"/>
    <mergeCell ref="E93:E99"/>
    <mergeCell ref="D100:D101"/>
    <mergeCell ref="A102:A103"/>
    <mergeCell ref="B102:B103"/>
    <mergeCell ref="C102:C103"/>
    <mergeCell ref="D102:D103"/>
    <mergeCell ref="E140:E141"/>
    <mergeCell ref="D137:D139"/>
    <mergeCell ref="E130:E131"/>
    <mergeCell ref="J123:J124"/>
    <mergeCell ref="A125:A127"/>
    <mergeCell ref="B125:B127"/>
    <mergeCell ref="D125:D127"/>
    <mergeCell ref="E125:E127"/>
    <mergeCell ref="D105:E105"/>
    <mergeCell ref="D106:D107"/>
    <mergeCell ref="J106:J107"/>
    <mergeCell ref="D108:D113"/>
    <mergeCell ref="D147:D148"/>
    <mergeCell ref="D149:D150"/>
    <mergeCell ref="D151:D152"/>
    <mergeCell ref="A142:A143"/>
    <mergeCell ref="B142:B143"/>
    <mergeCell ref="C142:C143"/>
    <mergeCell ref="D142:D143"/>
    <mergeCell ref="D128:D129"/>
    <mergeCell ref="A140:A141"/>
    <mergeCell ref="B140:B141"/>
    <mergeCell ref="C140:C141"/>
    <mergeCell ref="D140:D141"/>
    <mergeCell ref="A157:A158"/>
    <mergeCell ref="B157:B158"/>
    <mergeCell ref="C157:C158"/>
    <mergeCell ref="D157:D158"/>
    <mergeCell ref="A155:A156"/>
    <mergeCell ref="B155:B156"/>
    <mergeCell ref="C155:C156"/>
    <mergeCell ref="D155:D156"/>
    <mergeCell ref="E155:E156"/>
    <mergeCell ref="E157:E158"/>
    <mergeCell ref="C189:F189"/>
    <mergeCell ref="C190:M190"/>
    <mergeCell ref="D193:D195"/>
    <mergeCell ref="D191:D192"/>
    <mergeCell ref="D159:D162"/>
    <mergeCell ref="J155:J156"/>
    <mergeCell ref="K155:K156"/>
    <mergeCell ref="D196:D200"/>
    <mergeCell ref="J196:J197"/>
    <mergeCell ref="J198:J199"/>
    <mergeCell ref="L155:L156"/>
    <mergeCell ref="M155:M156"/>
    <mergeCell ref="D221:D222"/>
    <mergeCell ref="D224:D225"/>
    <mergeCell ref="J222:J223"/>
    <mergeCell ref="D227:D229"/>
    <mergeCell ref="J231:J232"/>
    <mergeCell ref="J227:J228"/>
    <mergeCell ref="J229:J230"/>
    <mergeCell ref="J224:J225"/>
    <mergeCell ref="C211:F211"/>
    <mergeCell ref="C212:M212"/>
    <mergeCell ref="D213:D219"/>
    <mergeCell ref="J236:J237"/>
    <mergeCell ref="C255:F255"/>
    <mergeCell ref="C256:F256"/>
    <mergeCell ref="A234:A235"/>
    <mergeCell ref="B234:B235"/>
    <mergeCell ref="C234:C235"/>
    <mergeCell ref="D234:D235"/>
    <mergeCell ref="E234:E235"/>
    <mergeCell ref="D236:D237"/>
    <mergeCell ref="J260:J261"/>
    <mergeCell ref="D262:D263"/>
    <mergeCell ref="J262:J263"/>
    <mergeCell ref="D264:D265"/>
    <mergeCell ref="D257:D259"/>
    <mergeCell ref="A260:A261"/>
    <mergeCell ref="B260:B261"/>
    <mergeCell ref="C260:C261"/>
    <mergeCell ref="D260:D261"/>
    <mergeCell ref="E260:E261"/>
    <mergeCell ref="J269:M269"/>
    <mergeCell ref="B270:F270"/>
    <mergeCell ref="J270:M270"/>
    <mergeCell ref="A271:F271"/>
    <mergeCell ref="A273:I273"/>
    <mergeCell ref="A274:F274"/>
    <mergeCell ref="D266:D267"/>
    <mergeCell ref="C268:F268"/>
    <mergeCell ref="B269:F269"/>
    <mergeCell ref="A281:F281"/>
    <mergeCell ref="A282:F282"/>
    <mergeCell ref="A283:F283"/>
    <mergeCell ref="A284:F284"/>
    <mergeCell ref="A285:F285"/>
    <mergeCell ref="A286:F286"/>
    <mergeCell ref="A275:F275"/>
    <mergeCell ref="A276:F276"/>
    <mergeCell ref="A277:F277"/>
    <mergeCell ref="A278:F278"/>
    <mergeCell ref="A279:F279"/>
    <mergeCell ref="A280:F280"/>
    <mergeCell ref="A293:F293"/>
    <mergeCell ref="A294:F294"/>
    <mergeCell ref="A295:F295"/>
    <mergeCell ref="A296:F296"/>
    <mergeCell ref="A297:F297"/>
    <mergeCell ref="A287:F287"/>
    <mergeCell ref="A288:F288"/>
    <mergeCell ref="A289:F289"/>
    <mergeCell ref="A290:F290"/>
    <mergeCell ref="A291:F291"/>
    <mergeCell ref="A292:F292"/>
  </mergeCells>
  <printOptions horizontalCentered="1"/>
  <pageMargins left="0.78740157480314965" right="0.19685039370078741" top="0.39370078740157483" bottom="0.39370078740157483" header="0.31496062992125984" footer="0.31496062992125984"/>
  <pageSetup paperSize="9" scale="65" orientation="portrait" r:id="rId1"/>
  <rowBreaks count="5" manualBreakCount="5">
    <brk id="69" max="12" man="1"/>
    <brk id="124" max="12" man="1"/>
    <brk id="169" max="12" man="1"/>
    <brk id="220" max="12" man="1"/>
    <brk id="261" max="12" man="1"/>
  </rowBreaks>
  <ignoredErrors>
    <ignoredError sqref="K111:L112"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300"/>
  <sheetViews>
    <sheetView zoomScaleNormal="100" zoomScaleSheetLayoutView="90" workbookViewId="0">
      <selection activeCell="F137" sqref="F137"/>
    </sheetView>
  </sheetViews>
  <sheetFormatPr defaultColWidth="9.1796875" defaultRowHeight="13" x14ac:dyDescent="0.25"/>
  <cols>
    <col min="1" max="3" width="2.81640625" style="4" customWidth="1"/>
    <col min="4" max="4" width="32" style="4" customWidth="1"/>
    <col min="5" max="5" width="4.54296875" style="10" customWidth="1"/>
    <col min="6" max="6" width="8.1796875" style="16" customWidth="1"/>
    <col min="7" max="15" width="7.81640625" style="4" customWidth="1"/>
    <col min="16" max="16" width="38.453125" style="4" customWidth="1"/>
    <col min="17" max="20" width="5.1796875" style="16" customWidth="1"/>
    <col min="21" max="22" width="5.1796875" style="4" customWidth="1"/>
    <col min="23" max="23" width="31.26953125" style="4" customWidth="1"/>
    <col min="24" max="16384" width="9.1796875" style="3"/>
  </cols>
  <sheetData>
    <row r="1" spans="1:23" ht="19.5" customHeight="1" x14ac:dyDescent="0.25">
      <c r="G1" s="16"/>
      <c r="H1" s="16"/>
      <c r="I1" s="16"/>
      <c r="J1" s="16"/>
      <c r="K1" s="16"/>
      <c r="L1" s="16"/>
      <c r="M1" s="16"/>
      <c r="N1" s="16"/>
      <c r="O1" s="16"/>
      <c r="P1" s="830"/>
      <c r="Q1" s="830"/>
      <c r="R1" s="830"/>
      <c r="S1" s="830"/>
      <c r="T1" s="830"/>
      <c r="U1" s="830"/>
      <c r="V1" s="1911" t="s">
        <v>442</v>
      </c>
      <c r="W1" s="1911"/>
    </row>
    <row r="2" spans="1:23" ht="14.25" customHeight="1" x14ac:dyDescent="0.25">
      <c r="G2" s="16"/>
      <c r="H2" s="16"/>
      <c r="I2" s="16"/>
      <c r="J2" s="16"/>
      <c r="K2" s="16"/>
      <c r="L2" s="16"/>
      <c r="M2" s="16"/>
      <c r="N2" s="16"/>
      <c r="O2" s="16"/>
      <c r="P2" s="830"/>
      <c r="Q2" s="830"/>
      <c r="R2" s="830"/>
      <c r="S2" s="830"/>
      <c r="T2" s="830"/>
      <c r="U2" s="830"/>
      <c r="V2" s="830"/>
      <c r="W2" s="830"/>
    </row>
    <row r="3" spans="1:23" ht="15.75" customHeight="1" x14ac:dyDescent="0.25">
      <c r="G3" s="16"/>
      <c r="H3" s="16"/>
      <c r="I3" s="16"/>
      <c r="J3" s="16"/>
      <c r="K3" s="16"/>
      <c r="L3" s="16"/>
      <c r="M3" s="16"/>
      <c r="N3" s="16"/>
      <c r="O3" s="16"/>
      <c r="P3" s="830"/>
      <c r="Q3" s="830"/>
      <c r="R3" s="830"/>
      <c r="S3" s="830"/>
      <c r="T3" s="830"/>
      <c r="U3" s="830"/>
      <c r="V3" s="830"/>
      <c r="W3" s="830"/>
    </row>
    <row r="4" spans="1:23" s="4" customFormat="1" ht="15" customHeight="1" x14ac:dyDescent="0.25">
      <c r="A4" s="1830" t="s">
        <v>364</v>
      </c>
      <c r="B4" s="1830"/>
      <c r="C4" s="1830"/>
      <c r="D4" s="1830"/>
      <c r="E4" s="1830"/>
      <c r="F4" s="1830"/>
      <c r="G4" s="1830"/>
      <c r="H4" s="1830"/>
      <c r="I4" s="1830"/>
      <c r="J4" s="1830"/>
      <c r="K4" s="1830"/>
      <c r="L4" s="1830"/>
      <c r="M4" s="1830"/>
      <c r="N4" s="1830"/>
      <c r="O4" s="1830"/>
      <c r="P4" s="1830"/>
      <c r="Q4" s="1830"/>
      <c r="R4" s="1830"/>
      <c r="S4" s="1830"/>
      <c r="T4" s="1830"/>
      <c r="U4" s="1830"/>
      <c r="V4" s="1830"/>
      <c r="W4" s="1830"/>
    </row>
    <row r="5" spans="1:23" ht="15" customHeight="1" x14ac:dyDescent="0.25">
      <c r="A5" s="1831" t="s">
        <v>24</v>
      </c>
      <c r="B5" s="1831"/>
      <c r="C5" s="1831"/>
      <c r="D5" s="1831"/>
      <c r="E5" s="1831"/>
      <c r="F5" s="1831"/>
      <c r="G5" s="1831"/>
      <c r="H5" s="1831"/>
      <c r="I5" s="1831"/>
      <c r="J5" s="1831"/>
      <c r="K5" s="1831"/>
      <c r="L5" s="1831"/>
      <c r="M5" s="1831"/>
      <c r="N5" s="1831"/>
      <c r="O5" s="1831"/>
      <c r="P5" s="1831"/>
      <c r="Q5" s="1831"/>
      <c r="R5" s="1831"/>
      <c r="S5" s="1831"/>
      <c r="T5" s="1831"/>
      <c r="U5" s="1831"/>
      <c r="V5" s="1831"/>
      <c r="W5" s="1831"/>
    </row>
    <row r="6" spans="1:23" ht="15.5" x14ac:dyDescent="0.25">
      <c r="A6" s="1832" t="s">
        <v>81</v>
      </c>
      <c r="B6" s="1832"/>
      <c r="C6" s="1832"/>
      <c r="D6" s="1832"/>
      <c r="E6" s="1832"/>
      <c r="F6" s="1832"/>
      <c r="G6" s="1832"/>
      <c r="H6" s="1832"/>
      <c r="I6" s="1832"/>
      <c r="J6" s="1832"/>
      <c r="K6" s="1832"/>
      <c r="L6" s="1832"/>
      <c r="M6" s="1832"/>
      <c r="N6" s="1832"/>
      <c r="O6" s="1832"/>
      <c r="P6" s="1832"/>
      <c r="Q6" s="1832"/>
      <c r="R6" s="1832"/>
      <c r="S6" s="1832"/>
      <c r="T6" s="1832"/>
      <c r="U6" s="1832"/>
      <c r="V6" s="1832"/>
      <c r="W6" s="1832"/>
    </row>
    <row r="7" spans="1:23" ht="17.5" customHeight="1" thickBot="1" x14ac:dyDescent="0.35">
      <c r="P7" s="1833"/>
      <c r="Q7" s="1833"/>
      <c r="R7" s="1833"/>
      <c r="S7" s="1833"/>
      <c r="T7" s="1833"/>
      <c r="U7" s="1833"/>
      <c r="V7" s="1054"/>
      <c r="W7" s="1352" t="s">
        <v>78</v>
      </c>
    </row>
    <row r="8" spans="1:23" s="31" customFormat="1" ht="24.75" customHeight="1" x14ac:dyDescent="0.25">
      <c r="A8" s="1834" t="s">
        <v>16</v>
      </c>
      <c r="B8" s="1837" t="s">
        <v>0</v>
      </c>
      <c r="C8" s="1837" t="s">
        <v>1</v>
      </c>
      <c r="D8" s="1840" t="s">
        <v>11</v>
      </c>
      <c r="E8" s="1821" t="s">
        <v>2</v>
      </c>
      <c r="F8" s="1824" t="s">
        <v>3</v>
      </c>
      <c r="G8" s="1805" t="s">
        <v>419</v>
      </c>
      <c r="H8" s="1846" t="s">
        <v>423</v>
      </c>
      <c r="I8" s="1844" t="s">
        <v>424</v>
      </c>
      <c r="J8" s="1805" t="s">
        <v>420</v>
      </c>
      <c r="K8" s="1827" t="s">
        <v>425</v>
      </c>
      <c r="L8" s="1849" t="s">
        <v>424</v>
      </c>
      <c r="M8" s="1805" t="s">
        <v>421</v>
      </c>
      <c r="N8" s="1846" t="s">
        <v>426</v>
      </c>
      <c r="O8" s="1844" t="s">
        <v>424</v>
      </c>
      <c r="P8" s="1807" t="s">
        <v>10</v>
      </c>
      <c r="Q8" s="1808"/>
      <c r="R8" s="1808"/>
      <c r="S8" s="1808"/>
      <c r="T8" s="1808"/>
      <c r="U8" s="1808"/>
      <c r="V8" s="1809"/>
      <c r="W8" s="1898" t="s">
        <v>428</v>
      </c>
    </row>
    <row r="9" spans="1:23" s="31" customFormat="1" ht="24.65" customHeight="1" x14ac:dyDescent="0.25">
      <c r="A9" s="1835"/>
      <c r="B9" s="1838"/>
      <c r="C9" s="1838"/>
      <c r="D9" s="1841"/>
      <c r="E9" s="1822"/>
      <c r="F9" s="1825"/>
      <c r="G9" s="1806"/>
      <c r="H9" s="1847"/>
      <c r="I9" s="1845"/>
      <c r="J9" s="1806"/>
      <c r="K9" s="1828"/>
      <c r="L9" s="1850"/>
      <c r="M9" s="1806"/>
      <c r="N9" s="1847"/>
      <c r="O9" s="1845"/>
      <c r="P9" s="1848" t="s">
        <v>11</v>
      </c>
      <c r="Q9" s="1897" t="s">
        <v>422</v>
      </c>
      <c r="R9" s="1813"/>
      <c r="S9" s="1813"/>
      <c r="T9" s="1813"/>
      <c r="U9" s="1813"/>
      <c r="V9" s="1814"/>
      <c r="W9" s="1899"/>
    </row>
    <row r="10" spans="1:23" s="31" customFormat="1" ht="98.15" customHeight="1" thickBot="1" x14ac:dyDescent="0.3">
      <c r="A10" s="1836"/>
      <c r="B10" s="1839"/>
      <c r="C10" s="1839"/>
      <c r="D10" s="1842"/>
      <c r="E10" s="1823"/>
      <c r="F10" s="1826"/>
      <c r="G10" s="1806"/>
      <c r="H10" s="1847"/>
      <c r="I10" s="1845"/>
      <c r="J10" s="1806"/>
      <c r="K10" s="1828"/>
      <c r="L10" s="1850"/>
      <c r="M10" s="1806"/>
      <c r="N10" s="1847"/>
      <c r="O10" s="1845"/>
      <c r="P10" s="1848"/>
      <c r="Q10" s="1351" t="s">
        <v>253</v>
      </c>
      <c r="R10" s="1058" t="s">
        <v>427</v>
      </c>
      <c r="S10" s="1017" t="s">
        <v>255</v>
      </c>
      <c r="T10" s="1058" t="s">
        <v>427</v>
      </c>
      <c r="U10" s="1017" t="s">
        <v>256</v>
      </c>
      <c r="V10" s="1058" t="s">
        <v>427</v>
      </c>
      <c r="W10" s="1900"/>
    </row>
    <row r="11" spans="1:23" s="9" customFormat="1" ht="15" customHeight="1" x14ac:dyDescent="0.25">
      <c r="A11" s="1815" t="s">
        <v>53</v>
      </c>
      <c r="B11" s="1816"/>
      <c r="C11" s="1816"/>
      <c r="D11" s="1816"/>
      <c r="E11" s="1816"/>
      <c r="F11" s="1816"/>
      <c r="G11" s="1816"/>
      <c r="H11" s="1816"/>
      <c r="I11" s="1816"/>
      <c r="J11" s="1816"/>
      <c r="K11" s="1816"/>
      <c r="L11" s="1816"/>
      <c r="M11" s="1816"/>
      <c r="N11" s="1816"/>
      <c r="O11" s="1816"/>
      <c r="P11" s="1816"/>
      <c r="Q11" s="1816"/>
      <c r="R11" s="1816"/>
      <c r="S11" s="1816"/>
      <c r="T11" s="1816"/>
      <c r="U11" s="1816"/>
      <c r="V11" s="933"/>
      <c r="W11" s="1059"/>
    </row>
    <row r="12" spans="1:23" s="9" customFormat="1" ht="14.25" customHeight="1" x14ac:dyDescent="0.25">
      <c r="A12" s="1818" t="s">
        <v>42</v>
      </c>
      <c r="B12" s="1819"/>
      <c r="C12" s="1819"/>
      <c r="D12" s="1819"/>
      <c r="E12" s="1819"/>
      <c r="F12" s="1819"/>
      <c r="G12" s="1819"/>
      <c r="H12" s="1819"/>
      <c r="I12" s="1819"/>
      <c r="J12" s="1819"/>
      <c r="K12" s="1819"/>
      <c r="L12" s="1819"/>
      <c r="M12" s="1819"/>
      <c r="N12" s="1819"/>
      <c r="O12" s="1819"/>
      <c r="P12" s="1819"/>
      <c r="Q12" s="1819"/>
      <c r="R12" s="1819"/>
      <c r="S12" s="1819"/>
      <c r="T12" s="1819"/>
      <c r="U12" s="1819"/>
      <c r="V12" s="934"/>
      <c r="W12" s="1061"/>
    </row>
    <row r="13" spans="1:23" ht="15" customHeight="1" x14ac:dyDescent="0.25">
      <c r="A13" s="20" t="s">
        <v>4</v>
      </c>
      <c r="B13" s="1797" t="s">
        <v>54</v>
      </c>
      <c r="C13" s="1798"/>
      <c r="D13" s="1798"/>
      <c r="E13" s="1798"/>
      <c r="F13" s="1798"/>
      <c r="G13" s="1798"/>
      <c r="H13" s="1798"/>
      <c r="I13" s="1798"/>
      <c r="J13" s="1798"/>
      <c r="K13" s="1798"/>
      <c r="L13" s="1798"/>
      <c r="M13" s="1798"/>
      <c r="N13" s="1798"/>
      <c r="O13" s="1798"/>
      <c r="P13" s="1798"/>
      <c r="Q13" s="1798"/>
      <c r="R13" s="1798"/>
      <c r="S13" s="1798"/>
      <c r="T13" s="1798"/>
      <c r="U13" s="1798"/>
      <c r="V13" s="935"/>
      <c r="W13" s="936"/>
    </row>
    <row r="14" spans="1:23" ht="15.75" customHeight="1" thickBot="1" x14ac:dyDescent="0.3">
      <c r="A14" s="1018" t="s">
        <v>4</v>
      </c>
      <c r="B14" s="1019" t="s">
        <v>4</v>
      </c>
      <c r="C14" s="1800" t="s">
        <v>39</v>
      </c>
      <c r="D14" s="1801"/>
      <c r="E14" s="1801"/>
      <c r="F14" s="1801"/>
      <c r="G14" s="1801"/>
      <c r="H14" s="1801"/>
      <c r="I14" s="1801"/>
      <c r="J14" s="1801"/>
      <c r="K14" s="1801"/>
      <c r="L14" s="1801"/>
      <c r="M14" s="1801"/>
      <c r="N14" s="1801"/>
      <c r="O14" s="1801"/>
      <c r="P14" s="1801"/>
      <c r="Q14" s="1801"/>
      <c r="R14" s="1801"/>
      <c r="S14" s="1801"/>
      <c r="T14" s="1801"/>
      <c r="U14" s="1801"/>
      <c r="V14" s="1062"/>
      <c r="W14" s="1060"/>
    </row>
    <row r="15" spans="1:23" ht="15" customHeight="1" x14ac:dyDescent="0.25">
      <c r="A15" s="959" t="s">
        <v>4</v>
      </c>
      <c r="B15" s="960" t="s">
        <v>4</v>
      </c>
      <c r="C15" s="940" t="s">
        <v>4</v>
      </c>
      <c r="D15" s="1687" t="s">
        <v>75</v>
      </c>
      <c r="E15" s="906"/>
      <c r="F15" s="1475" t="s">
        <v>23</v>
      </c>
      <c r="G15" s="1480">
        <f>2524.4+5.4+6.3+16.3</f>
        <v>2552.4</v>
      </c>
      <c r="H15" s="1480">
        <f>2524.4+5.4+6.3+16.3-10.9-153.4-60.4-100-50-92+188</f>
        <v>2273.6999999999998</v>
      </c>
      <c r="I15" s="1485">
        <f>+H15-G15</f>
        <v>-278.7</v>
      </c>
      <c r="J15" s="1480">
        <f>5576.5+12.4</f>
        <v>5588.9</v>
      </c>
      <c r="K15" s="1480">
        <f>5576.5+12.4+140.7+50+8.4</f>
        <v>5788</v>
      </c>
      <c r="L15" s="1485">
        <f>+K15-J15</f>
        <v>199.1</v>
      </c>
      <c r="M15" s="1486">
        <f>7606.8+12.4</f>
        <v>7619.2</v>
      </c>
      <c r="N15" s="1486">
        <f>7606.8+12.4-265.7+50</f>
        <v>7403.5</v>
      </c>
      <c r="O15" s="1487">
        <f>+N15-M15</f>
        <v>-215.7</v>
      </c>
      <c r="P15" s="1855"/>
      <c r="Q15" s="1138"/>
      <c r="R15" s="499"/>
      <c r="S15" s="238"/>
      <c r="T15" s="238"/>
      <c r="U15" s="1140"/>
      <c r="V15" s="1139"/>
      <c r="W15" s="1902"/>
    </row>
    <row r="16" spans="1:23" ht="15" customHeight="1" x14ac:dyDescent="0.25">
      <c r="A16" s="938"/>
      <c r="B16" s="949"/>
      <c r="C16" s="940"/>
      <c r="D16" s="1803"/>
      <c r="E16" s="194"/>
      <c r="F16" s="1475" t="s">
        <v>361</v>
      </c>
      <c r="G16" s="1476">
        <v>300</v>
      </c>
      <c r="H16" s="1480">
        <f>300-188</f>
        <v>112</v>
      </c>
      <c r="I16" s="1478">
        <f>+H16-G16</f>
        <v>-188</v>
      </c>
      <c r="J16" s="505"/>
      <c r="K16" s="505"/>
      <c r="L16" s="381"/>
      <c r="M16" s="505"/>
      <c r="N16" s="505"/>
      <c r="O16" s="113"/>
      <c r="P16" s="1855"/>
      <c r="Q16" s="500"/>
      <c r="R16" s="499"/>
      <c r="S16" s="238"/>
      <c r="T16" s="238"/>
      <c r="U16" s="238"/>
      <c r="V16" s="206"/>
      <c r="W16" s="1876"/>
    </row>
    <row r="17" spans="1:23" ht="15" customHeight="1" x14ac:dyDescent="0.25">
      <c r="A17" s="938"/>
      <c r="B17" s="949"/>
      <c r="C17" s="940"/>
      <c r="D17" s="1803"/>
      <c r="E17" s="194"/>
      <c r="F17" s="1402" t="s">
        <v>243</v>
      </c>
      <c r="G17" s="505">
        <f>1695-64.4</f>
        <v>1630.6</v>
      </c>
      <c r="H17" s="505">
        <f>1695-64.4</f>
        <v>1630.6</v>
      </c>
      <c r="I17" s="381">
        <f t="shared" ref="I17:I26" si="0">+H17-G17</f>
        <v>0</v>
      </c>
      <c r="J17" s="505">
        <v>2132.6</v>
      </c>
      <c r="K17" s="505">
        <v>2132.6</v>
      </c>
      <c r="L17" s="381">
        <f>+K17-J17</f>
        <v>0</v>
      </c>
      <c r="M17" s="505">
        <v>2559</v>
      </c>
      <c r="N17" s="505">
        <v>2559</v>
      </c>
      <c r="O17" s="113">
        <f>+N17-M17</f>
        <v>0</v>
      </c>
      <c r="P17" s="1855"/>
      <c r="Q17" s="500"/>
      <c r="R17" s="499"/>
      <c r="S17" s="238"/>
      <c r="T17" s="238"/>
      <c r="U17" s="238"/>
      <c r="V17" s="206"/>
      <c r="W17" s="1876"/>
    </row>
    <row r="18" spans="1:23" ht="15" customHeight="1" x14ac:dyDescent="0.25">
      <c r="A18" s="938"/>
      <c r="B18" s="949"/>
      <c r="C18" s="940"/>
      <c r="D18" s="1803"/>
      <c r="E18" s="194"/>
      <c r="F18" s="1402" t="s">
        <v>38</v>
      </c>
      <c r="G18" s="380">
        <v>33.700000000000003</v>
      </c>
      <c r="H18" s="505">
        <v>33.700000000000003</v>
      </c>
      <c r="I18" s="381">
        <f t="shared" si="0"/>
        <v>0</v>
      </c>
      <c r="J18" s="505">
        <v>33.700000000000003</v>
      </c>
      <c r="K18" s="505">
        <v>33.700000000000003</v>
      </c>
      <c r="L18" s="381">
        <f t="shared" ref="L18:L20" si="1">+K18-J18</f>
        <v>0</v>
      </c>
      <c r="M18" s="505">
        <v>33.700000000000003</v>
      </c>
      <c r="N18" s="505">
        <v>33.700000000000003</v>
      </c>
      <c r="O18" s="113">
        <f>+N18-M18</f>
        <v>0</v>
      </c>
      <c r="P18" s="1855"/>
      <c r="Q18" s="500"/>
      <c r="R18" s="499"/>
      <c r="S18" s="238"/>
      <c r="T18" s="238"/>
      <c r="U18" s="238"/>
      <c r="V18" s="206"/>
      <c r="W18" s="1876"/>
    </row>
    <row r="19" spans="1:23" ht="15" customHeight="1" x14ac:dyDescent="0.25">
      <c r="A19" s="938"/>
      <c r="B19" s="949"/>
      <c r="C19" s="940"/>
      <c r="D19" s="1803"/>
      <c r="E19" s="194"/>
      <c r="F19" s="1402" t="s">
        <v>159</v>
      </c>
      <c r="G19" s="505">
        <f>2035.7-147.6</f>
        <v>1888.1</v>
      </c>
      <c r="H19" s="505">
        <f>2035.7-147.6</f>
        <v>1888.1</v>
      </c>
      <c r="I19" s="381">
        <f t="shared" si="0"/>
        <v>0</v>
      </c>
      <c r="J19" s="505">
        <v>698.9</v>
      </c>
      <c r="K19" s="505">
        <v>698.9</v>
      </c>
      <c r="L19" s="381">
        <f t="shared" si="1"/>
        <v>0</v>
      </c>
      <c r="M19" s="505"/>
      <c r="N19" s="505"/>
      <c r="O19" s="113"/>
      <c r="P19" s="1855"/>
      <c r="Q19" s="500"/>
      <c r="R19" s="499"/>
      <c r="S19" s="238"/>
      <c r="T19" s="238"/>
      <c r="U19" s="238"/>
      <c r="V19" s="206"/>
      <c r="W19" s="1876"/>
    </row>
    <row r="20" spans="1:23" ht="15" customHeight="1" x14ac:dyDescent="0.25">
      <c r="A20" s="938"/>
      <c r="B20" s="949"/>
      <c r="C20" s="940"/>
      <c r="D20" s="1803"/>
      <c r="E20" s="194"/>
      <c r="F20" s="1402" t="s">
        <v>158</v>
      </c>
      <c r="G20" s="505">
        <f>179.7-13</f>
        <v>166.7</v>
      </c>
      <c r="H20" s="505">
        <f>179.7-13</f>
        <v>166.7</v>
      </c>
      <c r="I20" s="381">
        <f t="shared" si="0"/>
        <v>0</v>
      </c>
      <c r="J20" s="505">
        <v>61.7</v>
      </c>
      <c r="K20" s="505">
        <v>61.7</v>
      </c>
      <c r="L20" s="381">
        <f t="shared" si="1"/>
        <v>0</v>
      </c>
      <c r="M20" s="505"/>
      <c r="N20" s="505"/>
      <c r="O20" s="113"/>
      <c r="P20" s="1855"/>
      <c r="Q20" s="500"/>
      <c r="R20" s="499"/>
      <c r="S20" s="238"/>
      <c r="T20" s="238"/>
      <c r="U20" s="238"/>
      <c r="V20" s="206"/>
      <c r="W20" s="1876"/>
    </row>
    <row r="21" spans="1:23" ht="15" customHeight="1" x14ac:dyDescent="0.25">
      <c r="A21" s="938"/>
      <c r="B21" s="949"/>
      <c r="C21" s="940"/>
      <c r="D21" s="1803"/>
      <c r="E21" s="194"/>
      <c r="F21" s="1402" t="s">
        <v>130</v>
      </c>
      <c r="G21" s="380"/>
      <c r="H21" s="505"/>
      <c r="I21" s="381">
        <f t="shared" si="0"/>
        <v>0</v>
      </c>
      <c r="J21" s="505"/>
      <c r="K21" s="505"/>
      <c r="L21" s="381"/>
      <c r="M21" s="505">
        <v>1500</v>
      </c>
      <c r="N21" s="505">
        <v>1500</v>
      </c>
      <c r="O21" s="113">
        <f>+N21-M21</f>
        <v>0</v>
      </c>
      <c r="P21" s="1855"/>
      <c r="Q21" s="500"/>
      <c r="R21" s="499"/>
      <c r="S21" s="238"/>
      <c r="T21" s="238"/>
      <c r="U21" s="238"/>
      <c r="V21" s="206"/>
      <c r="W21" s="1876"/>
    </row>
    <row r="22" spans="1:23" ht="15" customHeight="1" x14ac:dyDescent="0.25">
      <c r="A22" s="938"/>
      <c r="B22" s="949"/>
      <c r="C22" s="940"/>
      <c r="D22" s="1803"/>
      <c r="E22" s="194"/>
      <c r="F22" s="1402" t="s">
        <v>337</v>
      </c>
      <c r="G22" s="380">
        <v>22.9</v>
      </c>
      <c r="H22" s="505">
        <v>22.9</v>
      </c>
      <c r="I22" s="381">
        <f t="shared" si="0"/>
        <v>0</v>
      </c>
      <c r="J22" s="505"/>
      <c r="K22" s="505"/>
      <c r="L22" s="381"/>
      <c r="M22" s="505"/>
      <c r="N22" s="505"/>
      <c r="O22" s="113"/>
      <c r="P22" s="1855"/>
      <c r="Q22" s="500"/>
      <c r="R22" s="499"/>
      <c r="S22" s="238"/>
      <c r="T22" s="238"/>
      <c r="U22" s="238"/>
      <c r="V22" s="206"/>
      <c r="W22" s="1876"/>
    </row>
    <row r="23" spans="1:23" ht="15" customHeight="1" x14ac:dyDescent="0.25">
      <c r="A23" s="938"/>
      <c r="B23" s="949"/>
      <c r="C23" s="940"/>
      <c r="D23" s="1803"/>
      <c r="E23" s="194"/>
      <c r="F23" s="1475" t="s">
        <v>51</v>
      </c>
      <c r="G23" s="1480">
        <f>558-37.5-35.6</f>
        <v>484.9</v>
      </c>
      <c r="H23" s="1480">
        <f>558-37.5-35.6-67.5-9.3</f>
        <v>408.1</v>
      </c>
      <c r="I23" s="1478">
        <f t="shared" si="0"/>
        <v>-76.8</v>
      </c>
      <c r="J23" s="1480"/>
      <c r="K23" s="1480">
        <f>117.5+102</f>
        <v>219.5</v>
      </c>
      <c r="L23" s="1478">
        <f>+K23</f>
        <v>219.5</v>
      </c>
      <c r="M23" s="505"/>
      <c r="N23" s="505"/>
      <c r="O23" s="113"/>
      <c r="P23" s="1855"/>
      <c r="Q23" s="500"/>
      <c r="R23" s="499"/>
      <c r="S23" s="238"/>
      <c r="T23" s="238"/>
      <c r="U23" s="238"/>
      <c r="V23" s="206"/>
      <c r="W23" s="1876"/>
    </row>
    <row r="24" spans="1:23" ht="15" customHeight="1" x14ac:dyDescent="0.25">
      <c r="A24" s="938"/>
      <c r="B24" s="949"/>
      <c r="C24" s="940"/>
      <c r="D24" s="1803"/>
      <c r="E24" s="194"/>
      <c r="F24" s="1402" t="s">
        <v>69</v>
      </c>
      <c r="G24" s="380">
        <v>2.7</v>
      </c>
      <c r="H24" s="505">
        <v>2.7</v>
      </c>
      <c r="I24" s="381">
        <f t="shared" si="0"/>
        <v>0</v>
      </c>
      <c r="J24" s="505"/>
      <c r="K24" s="505"/>
      <c r="L24" s="381"/>
      <c r="M24" s="505"/>
      <c r="N24" s="505"/>
      <c r="O24" s="113"/>
      <c r="P24" s="1855"/>
      <c r="Q24" s="500"/>
      <c r="R24" s="499"/>
      <c r="S24" s="238"/>
      <c r="T24" s="238"/>
      <c r="U24" s="238"/>
      <c r="V24" s="206"/>
      <c r="W24" s="1876"/>
    </row>
    <row r="25" spans="1:23" ht="15" customHeight="1" x14ac:dyDescent="0.25">
      <c r="A25" s="938"/>
      <c r="B25" s="949"/>
      <c r="C25" s="940"/>
      <c r="D25" s="1803"/>
      <c r="E25" s="194"/>
      <c r="F25" s="1402" t="s">
        <v>347</v>
      </c>
      <c r="G25" s="380">
        <v>1103.9000000000001</v>
      </c>
      <c r="H25" s="505">
        <v>1103.9000000000001</v>
      </c>
      <c r="I25" s="381">
        <f t="shared" si="0"/>
        <v>0</v>
      </c>
      <c r="J25" s="505"/>
      <c r="K25" s="505"/>
      <c r="L25" s="381"/>
      <c r="M25" s="505"/>
      <c r="N25" s="505"/>
      <c r="O25" s="113"/>
      <c r="P25" s="1855"/>
      <c r="Q25" s="500"/>
      <c r="R25" s="499"/>
      <c r="S25" s="238"/>
      <c r="T25" s="238"/>
      <c r="U25" s="238"/>
      <c r="V25" s="206"/>
      <c r="W25" s="1876"/>
    </row>
    <row r="26" spans="1:23" ht="18.75" customHeight="1" x14ac:dyDescent="0.25">
      <c r="A26" s="938"/>
      <c r="B26" s="949"/>
      <c r="C26" s="940"/>
      <c r="D26" s="1687"/>
      <c r="E26" s="163"/>
      <c r="F26" s="58" t="s">
        <v>346</v>
      </c>
      <c r="G26" s="504">
        <v>79.5</v>
      </c>
      <c r="H26" s="1088">
        <v>79.5</v>
      </c>
      <c r="I26" s="381">
        <f t="shared" si="0"/>
        <v>0</v>
      </c>
      <c r="J26" s="1088"/>
      <c r="K26" s="1088"/>
      <c r="L26" s="550"/>
      <c r="M26" s="1088"/>
      <c r="N26" s="1088"/>
      <c r="O26" s="112"/>
      <c r="P26" s="1855"/>
      <c r="Q26" s="500"/>
      <c r="R26" s="499"/>
      <c r="S26" s="238"/>
      <c r="T26" s="238"/>
      <c r="U26" s="238"/>
      <c r="V26" s="206"/>
      <c r="W26" s="1877"/>
    </row>
    <row r="27" spans="1:23" ht="17.25" customHeight="1" x14ac:dyDescent="0.25">
      <c r="A27" s="938"/>
      <c r="B27" s="949"/>
      <c r="C27" s="940"/>
      <c r="D27" s="1712" t="s">
        <v>112</v>
      </c>
      <c r="E27" s="905" t="s">
        <v>225</v>
      </c>
      <c r="F27" s="1183" t="s">
        <v>366</v>
      </c>
      <c r="G27" s="1253"/>
      <c r="H27" s="1185"/>
      <c r="I27" s="1217"/>
      <c r="J27" s="1242">
        <v>440</v>
      </c>
      <c r="K27" s="1185"/>
      <c r="L27" s="1217"/>
      <c r="M27" s="1242">
        <f>1500+2047.9</f>
        <v>3547.9</v>
      </c>
      <c r="N27" s="1185"/>
      <c r="O27" s="1186"/>
      <c r="P27" s="438" t="s">
        <v>76</v>
      </c>
      <c r="Q27" s="531">
        <v>1</v>
      </c>
      <c r="R27" s="495"/>
      <c r="S27" s="377"/>
      <c r="T27" s="377"/>
      <c r="U27" s="239"/>
      <c r="V27" s="168"/>
      <c r="W27" s="168"/>
    </row>
    <row r="28" spans="1:23" ht="12.75" customHeight="1" x14ac:dyDescent="0.25">
      <c r="A28" s="938"/>
      <c r="B28" s="949"/>
      <c r="C28" s="940"/>
      <c r="D28" s="1713"/>
      <c r="E28" s="194" t="s">
        <v>194</v>
      </c>
      <c r="F28" s="1187" t="s">
        <v>367</v>
      </c>
      <c r="G28" s="1248">
        <f>30.4+58.9</f>
        <v>89.3</v>
      </c>
      <c r="H28" s="1189">
        <f>+G28</f>
        <v>89.3</v>
      </c>
      <c r="I28" s="1191">
        <f>+H28-G28</f>
        <v>0</v>
      </c>
      <c r="J28" s="1209"/>
      <c r="K28" s="1189"/>
      <c r="L28" s="1191"/>
      <c r="M28" s="1209"/>
      <c r="N28" s="1189"/>
      <c r="O28" s="1190"/>
      <c r="P28" s="1851" t="s">
        <v>257</v>
      </c>
      <c r="Q28" s="351"/>
      <c r="R28" s="202"/>
      <c r="S28" s="240"/>
      <c r="T28" s="240"/>
      <c r="U28" s="255"/>
      <c r="V28" s="173"/>
      <c r="W28" s="104"/>
    </row>
    <row r="29" spans="1:23" ht="13.5" customHeight="1" x14ac:dyDescent="0.25">
      <c r="A29" s="938"/>
      <c r="B29" s="949"/>
      <c r="C29" s="940"/>
      <c r="D29" s="1713"/>
      <c r="E29" s="906" t="s">
        <v>164</v>
      </c>
      <c r="F29" s="1187" t="s">
        <v>368</v>
      </c>
      <c r="G29" s="1248"/>
      <c r="H29" s="1189"/>
      <c r="I29" s="1191"/>
      <c r="J29" s="1209">
        <v>2132.6</v>
      </c>
      <c r="K29" s="1189">
        <f>+J29</f>
        <v>2132.6</v>
      </c>
      <c r="L29" s="1191">
        <f>+K29-J29</f>
        <v>0</v>
      </c>
      <c r="M29" s="1209">
        <v>2559</v>
      </c>
      <c r="N29" s="1189">
        <f>+M29</f>
        <v>2559</v>
      </c>
      <c r="O29" s="1190">
        <f>+N29-M29</f>
        <v>0</v>
      </c>
      <c r="P29" s="1851"/>
      <c r="Q29" s="351"/>
      <c r="R29" s="202"/>
      <c r="S29" s="240"/>
      <c r="T29" s="240"/>
      <c r="U29" s="240"/>
      <c r="V29" s="149"/>
      <c r="W29" s="149"/>
    </row>
    <row r="30" spans="1:23" ht="19.5" customHeight="1" x14ac:dyDescent="0.25">
      <c r="A30" s="938"/>
      <c r="B30" s="949"/>
      <c r="C30" s="940"/>
      <c r="D30" s="1713"/>
      <c r="E30" s="905" t="s">
        <v>43</v>
      </c>
      <c r="F30" s="1402"/>
      <c r="G30" s="380"/>
      <c r="H30" s="307"/>
      <c r="I30" s="381"/>
      <c r="J30" s="505"/>
      <c r="K30" s="307"/>
      <c r="L30" s="381"/>
      <c r="M30" s="505"/>
      <c r="N30" s="307"/>
      <c r="O30" s="113"/>
      <c r="P30" s="433" t="s">
        <v>389</v>
      </c>
      <c r="Q30" s="533"/>
      <c r="R30" s="831"/>
      <c r="S30" s="265">
        <v>30</v>
      </c>
      <c r="T30" s="265"/>
      <c r="U30" s="265">
        <v>100</v>
      </c>
      <c r="V30" s="225"/>
      <c r="W30" s="379"/>
    </row>
    <row r="31" spans="1:23" ht="16.5" customHeight="1" x14ac:dyDescent="0.25">
      <c r="A31" s="938"/>
      <c r="B31" s="949"/>
      <c r="C31" s="940"/>
      <c r="D31" s="930"/>
      <c r="E31" s="102"/>
      <c r="F31" s="1402"/>
      <c r="G31" s="504"/>
      <c r="H31" s="300"/>
      <c r="I31" s="382"/>
      <c r="J31" s="757"/>
      <c r="K31" s="300"/>
      <c r="L31" s="382"/>
      <c r="M31" s="757"/>
      <c r="N31" s="300"/>
      <c r="O31" s="55"/>
      <c r="P31" s="434" t="s">
        <v>390</v>
      </c>
      <c r="Q31" s="534"/>
      <c r="R31" s="485"/>
      <c r="S31" s="247"/>
      <c r="T31" s="247"/>
      <c r="U31" s="247">
        <v>30</v>
      </c>
      <c r="V31" s="209"/>
      <c r="W31" s="645"/>
    </row>
    <row r="32" spans="1:23" ht="14.25" customHeight="1" x14ac:dyDescent="0.25">
      <c r="A32" s="938"/>
      <c r="B32" s="949"/>
      <c r="C32" s="940"/>
      <c r="D32" s="1712" t="s">
        <v>131</v>
      </c>
      <c r="E32" s="140" t="s">
        <v>225</v>
      </c>
      <c r="F32" s="1471" t="s">
        <v>366</v>
      </c>
      <c r="G32" s="1472">
        <f>563.3-0.7-5+39.1-300</f>
        <v>296.7</v>
      </c>
      <c r="H32" s="1473">
        <f>+G32+188</f>
        <v>484.7</v>
      </c>
      <c r="I32" s="1474">
        <f>+H32-G32</f>
        <v>188</v>
      </c>
      <c r="J32" s="525">
        <f>392.4-55.1+0.7-0.2</f>
        <v>337.8</v>
      </c>
      <c r="K32" s="308">
        <f>+J32</f>
        <v>337.8</v>
      </c>
      <c r="L32" s="578">
        <f>+K32-J32</f>
        <v>0</v>
      </c>
      <c r="M32" s="838"/>
      <c r="N32" s="308"/>
      <c r="O32" s="56"/>
      <c r="P32" s="1852" t="s">
        <v>91</v>
      </c>
      <c r="Q32" s="350">
        <v>90</v>
      </c>
      <c r="R32" s="201"/>
      <c r="S32" s="239">
        <v>100</v>
      </c>
      <c r="T32" s="239"/>
      <c r="U32" s="239"/>
      <c r="V32" s="168"/>
      <c r="W32" s="1875" t="s">
        <v>457</v>
      </c>
    </row>
    <row r="33" spans="1:26" ht="13.5" customHeight="1" x14ac:dyDescent="0.25">
      <c r="A33" s="938"/>
      <c r="B33" s="949"/>
      <c r="C33" s="940"/>
      <c r="D33" s="1713"/>
      <c r="E33" s="194" t="s">
        <v>194</v>
      </c>
      <c r="F33" s="1475" t="s">
        <v>369</v>
      </c>
      <c r="G33" s="1476">
        <v>300</v>
      </c>
      <c r="H33" s="1477">
        <f>+G33-188</f>
        <v>112</v>
      </c>
      <c r="I33" s="1478">
        <f>+H33-G33</f>
        <v>-188</v>
      </c>
      <c r="J33" s="505"/>
      <c r="K33" s="307"/>
      <c r="L33" s="381"/>
      <c r="M33" s="505"/>
      <c r="N33" s="307"/>
      <c r="O33" s="113"/>
      <c r="P33" s="1853"/>
      <c r="Q33" s="351"/>
      <c r="R33" s="202"/>
      <c r="S33" s="240"/>
      <c r="T33" s="240"/>
      <c r="U33" s="240"/>
      <c r="V33" s="149"/>
      <c r="W33" s="1876"/>
    </row>
    <row r="34" spans="1:26" ht="13.5" customHeight="1" x14ac:dyDescent="0.25">
      <c r="A34" s="938"/>
      <c r="B34" s="949"/>
      <c r="C34" s="940"/>
      <c r="D34" s="1713"/>
      <c r="E34" s="906" t="s">
        <v>164</v>
      </c>
      <c r="F34" s="1187" t="s">
        <v>370</v>
      </c>
      <c r="G34" s="1248">
        <f>204.6+5.8-66.2</f>
        <v>144.19999999999999</v>
      </c>
      <c r="H34" s="1189">
        <f t="shared" ref="H34:H38" si="2">+G34</f>
        <v>144.19999999999999</v>
      </c>
      <c r="I34" s="1191">
        <f t="shared" ref="I34:I38" si="3">+H34-G34</f>
        <v>0</v>
      </c>
      <c r="J34" s="1209">
        <f>61.6+0.1</f>
        <v>61.7</v>
      </c>
      <c r="K34" s="1189">
        <f>+J34</f>
        <v>61.7</v>
      </c>
      <c r="L34" s="1191">
        <f>+K34-J34</f>
        <v>0</v>
      </c>
      <c r="M34" s="1209"/>
      <c r="N34" s="1189"/>
      <c r="O34" s="1190"/>
      <c r="P34" s="1853"/>
      <c r="Q34" s="351"/>
      <c r="R34" s="202"/>
      <c r="S34" s="240"/>
      <c r="T34" s="240"/>
      <c r="U34" s="240"/>
      <c r="V34" s="149"/>
      <c r="W34" s="1876"/>
    </row>
    <row r="35" spans="1:26" ht="13.5" customHeight="1" x14ac:dyDescent="0.25">
      <c r="A35" s="938"/>
      <c r="B35" s="949"/>
      <c r="C35" s="940"/>
      <c r="D35" s="1713"/>
      <c r="E35" s="905" t="s">
        <v>43</v>
      </c>
      <c r="F35" s="1187" t="s">
        <v>371</v>
      </c>
      <c r="G35" s="1248">
        <v>66.2</v>
      </c>
      <c r="H35" s="1189">
        <f t="shared" si="2"/>
        <v>66.2</v>
      </c>
      <c r="I35" s="1191">
        <f t="shared" si="3"/>
        <v>0</v>
      </c>
      <c r="J35" s="1209"/>
      <c r="K35" s="1189"/>
      <c r="L35" s="1191"/>
      <c r="M35" s="1209"/>
      <c r="N35" s="1189"/>
      <c r="O35" s="1190"/>
      <c r="P35" s="1853"/>
      <c r="Q35" s="351"/>
      <c r="R35" s="202"/>
      <c r="S35" s="240"/>
      <c r="T35" s="240"/>
      <c r="U35" s="240"/>
      <c r="V35" s="149"/>
      <c r="W35" s="1876"/>
    </row>
    <row r="36" spans="1:26" ht="13.5" customHeight="1" x14ac:dyDescent="0.25">
      <c r="A36" s="938"/>
      <c r="B36" s="949"/>
      <c r="C36" s="940"/>
      <c r="D36" s="1713"/>
      <c r="E36" s="154"/>
      <c r="F36" s="1187" t="s">
        <v>368</v>
      </c>
      <c r="G36" s="1248">
        <v>1500</v>
      </c>
      <c r="H36" s="1189">
        <f t="shared" si="2"/>
        <v>1500</v>
      </c>
      <c r="I36" s="1191">
        <f>+H36-G36</f>
        <v>0</v>
      </c>
      <c r="J36" s="1209"/>
      <c r="K36" s="1189"/>
      <c r="L36" s="1191"/>
      <c r="M36" s="1209"/>
      <c r="N36" s="1189"/>
      <c r="O36" s="1190"/>
      <c r="P36" s="1853"/>
      <c r="Q36" s="351"/>
      <c r="R36" s="202"/>
      <c r="S36" s="240"/>
      <c r="T36" s="240"/>
      <c r="U36" s="240"/>
      <c r="V36" s="149"/>
      <c r="W36" s="1876"/>
    </row>
    <row r="37" spans="1:26" ht="15.75" customHeight="1" x14ac:dyDescent="0.25">
      <c r="A37" s="938"/>
      <c r="B37" s="949"/>
      <c r="C37" s="940"/>
      <c r="D37" s="1713"/>
      <c r="E37" s="790"/>
      <c r="F37" s="1187" t="s">
        <v>372</v>
      </c>
      <c r="G37" s="1248">
        <f>2522.7-0.6+65.3-952.9</f>
        <v>1634.5</v>
      </c>
      <c r="H37" s="1189">
        <f t="shared" si="2"/>
        <v>1634.5</v>
      </c>
      <c r="I37" s="1191">
        <f t="shared" si="3"/>
        <v>0</v>
      </c>
      <c r="J37" s="1209">
        <f>698.1+0.6+0.2</f>
        <v>698.9</v>
      </c>
      <c r="K37" s="1189">
        <f>+J37</f>
        <v>698.9</v>
      </c>
      <c r="L37" s="1191">
        <f>+K37-J37</f>
        <v>0</v>
      </c>
      <c r="M37" s="1209"/>
      <c r="N37" s="1189"/>
      <c r="O37" s="1190"/>
      <c r="P37" s="1853"/>
      <c r="Q37" s="351"/>
      <c r="R37" s="623"/>
      <c r="S37" s="240"/>
      <c r="T37" s="240"/>
      <c r="U37" s="240"/>
      <c r="V37" s="149"/>
      <c r="W37" s="1876"/>
    </row>
    <row r="38" spans="1:26" ht="15.75" customHeight="1" x14ac:dyDescent="0.25">
      <c r="A38" s="938"/>
      <c r="B38" s="949"/>
      <c r="C38" s="940"/>
      <c r="D38" s="930"/>
      <c r="E38" s="150"/>
      <c r="F38" s="1195" t="s">
        <v>373</v>
      </c>
      <c r="G38" s="1248">
        <v>952.9</v>
      </c>
      <c r="H38" s="1193">
        <f t="shared" si="2"/>
        <v>952.9</v>
      </c>
      <c r="I38" s="1191">
        <f t="shared" si="3"/>
        <v>0</v>
      </c>
      <c r="J38" s="1209"/>
      <c r="K38" s="1189"/>
      <c r="L38" s="1191"/>
      <c r="M38" s="1209"/>
      <c r="N38" s="1189"/>
      <c r="O38" s="1190"/>
      <c r="P38" s="943"/>
      <c r="Q38" s="363"/>
      <c r="R38" s="486"/>
      <c r="S38" s="240"/>
      <c r="T38" s="240"/>
      <c r="U38" s="240"/>
      <c r="V38" s="149"/>
      <c r="W38" s="1877"/>
    </row>
    <row r="39" spans="1:26" ht="15" customHeight="1" x14ac:dyDescent="0.25">
      <c r="A39" s="938"/>
      <c r="B39" s="949"/>
      <c r="C39" s="940"/>
      <c r="D39" s="1712" t="s">
        <v>166</v>
      </c>
      <c r="E39" s="905" t="s">
        <v>225</v>
      </c>
      <c r="F39" s="1187" t="s">
        <v>372</v>
      </c>
      <c r="G39" s="1253">
        <f>401.2-147.6</f>
        <v>253.6</v>
      </c>
      <c r="H39" s="1209">
        <f>401.2-147.6</f>
        <v>253.6</v>
      </c>
      <c r="I39" s="1217">
        <f t="shared" ref="I39:I44" si="4">+H39-G39</f>
        <v>0</v>
      </c>
      <c r="J39" s="1242"/>
      <c r="K39" s="1185"/>
      <c r="L39" s="1217"/>
      <c r="M39" s="1242"/>
      <c r="N39" s="1185"/>
      <c r="O39" s="1186"/>
      <c r="P39" s="438" t="s">
        <v>76</v>
      </c>
      <c r="Q39" s="531"/>
      <c r="R39" s="495"/>
      <c r="S39" s="239"/>
      <c r="T39" s="239"/>
      <c r="U39" s="377"/>
      <c r="V39" s="393"/>
      <c r="W39" s="1875"/>
    </row>
    <row r="40" spans="1:26" ht="13.5" customHeight="1" x14ac:dyDescent="0.25">
      <c r="A40" s="938"/>
      <c r="B40" s="949"/>
      <c r="C40" s="940"/>
      <c r="D40" s="1713"/>
      <c r="E40" s="907" t="s">
        <v>164</v>
      </c>
      <c r="F40" s="1187" t="s">
        <v>373</v>
      </c>
      <c r="G40" s="1209">
        <v>16</v>
      </c>
      <c r="H40" s="1209">
        <f>+G40</f>
        <v>16</v>
      </c>
      <c r="I40" s="1191">
        <f t="shared" si="4"/>
        <v>0</v>
      </c>
      <c r="J40" s="1209"/>
      <c r="K40" s="1189"/>
      <c r="L40" s="1191"/>
      <c r="M40" s="1209"/>
      <c r="N40" s="1189"/>
      <c r="O40" s="1190"/>
      <c r="P40" s="1854" t="s">
        <v>206</v>
      </c>
      <c r="Q40" s="351">
        <v>100</v>
      </c>
      <c r="R40" s="202"/>
      <c r="S40" s="255"/>
      <c r="T40" s="255"/>
      <c r="U40" s="240"/>
      <c r="V40" s="149"/>
      <c r="W40" s="1876"/>
    </row>
    <row r="41" spans="1:26" ht="13.5" customHeight="1" x14ac:dyDescent="0.25">
      <c r="A41" s="938"/>
      <c r="B41" s="949"/>
      <c r="C41" s="940"/>
      <c r="D41" s="1713"/>
      <c r="E41" s="905" t="s">
        <v>43</v>
      </c>
      <c r="F41" s="1187" t="s">
        <v>367</v>
      </c>
      <c r="G41" s="1209">
        <f>136.9-37.5</f>
        <v>99.4</v>
      </c>
      <c r="H41" s="1209">
        <f>136.9-37.5</f>
        <v>99.4</v>
      </c>
      <c r="I41" s="1191">
        <f t="shared" si="4"/>
        <v>0</v>
      </c>
      <c r="J41" s="1209"/>
      <c r="K41" s="1189"/>
      <c r="L41" s="1191"/>
      <c r="M41" s="1209"/>
      <c r="N41" s="1189"/>
      <c r="O41" s="1190"/>
      <c r="P41" s="1854"/>
      <c r="Q41" s="351"/>
      <c r="R41" s="202"/>
      <c r="S41" s="240"/>
      <c r="T41" s="240"/>
      <c r="U41" s="240"/>
      <c r="V41" s="149"/>
      <c r="W41" s="1876"/>
    </row>
    <row r="42" spans="1:26" ht="15" customHeight="1" x14ac:dyDescent="0.25">
      <c r="A42" s="938"/>
      <c r="B42" s="949"/>
      <c r="C42" s="940"/>
      <c r="D42" s="1713"/>
      <c r="E42" s="164"/>
      <c r="F42" s="1187" t="s">
        <v>370</v>
      </c>
      <c r="G42" s="1209">
        <f>35.5-13</f>
        <v>22.5</v>
      </c>
      <c r="H42" s="1209">
        <f>35.5-13</f>
        <v>22.5</v>
      </c>
      <c r="I42" s="1191">
        <f t="shared" si="4"/>
        <v>0</v>
      </c>
      <c r="J42" s="1209"/>
      <c r="K42" s="1189"/>
      <c r="L42" s="1191"/>
      <c r="M42" s="1209"/>
      <c r="N42" s="1189"/>
      <c r="O42" s="1190"/>
      <c r="P42" s="1853"/>
      <c r="Q42" s="351"/>
      <c r="R42" s="202"/>
      <c r="S42" s="240"/>
      <c r="T42" s="240"/>
      <c r="U42" s="240"/>
      <c r="V42" s="149"/>
      <c r="W42" s="149"/>
    </row>
    <row r="43" spans="1:26" ht="14.25" customHeight="1" x14ac:dyDescent="0.25">
      <c r="A43" s="938"/>
      <c r="B43" s="949"/>
      <c r="C43" s="940"/>
      <c r="D43" s="1713"/>
      <c r="E43" s="164"/>
      <c r="F43" s="1195" t="s">
        <v>371</v>
      </c>
      <c r="G43" s="1621">
        <v>1.4</v>
      </c>
      <c r="H43" s="1196">
        <f>+G43</f>
        <v>1.4</v>
      </c>
      <c r="I43" s="1622">
        <f t="shared" si="4"/>
        <v>0</v>
      </c>
      <c r="J43" s="1209"/>
      <c r="K43" s="1189"/>
      <c r="L43" s="1191"/>
      <c r="M43" s="1209"/>
      <c r="N43" s="1189"/>
      <c r="O43" s="1190"/>
      <c r="P43" s="932"/>
      <c r="Q43" s="351"/>
      <c r="R43" s="202"/>
      <c r="S43" s="240"/>
      <c r="T43" s="242"/>
      <c r="U43" s="240"/>
      <c r="V43" s="149"/>
      <c r="W43" s="149"/>
      <c r="Z43" s="885"/>
    </row>
    <row r="44" spans="1:26" ht="16.5" customHeight="1" x14ac:dyDescent="0.25">
      <c r="A44" s="938"/>
      <c r="B44" s="949"/>
      <c r="C44" s="940"/>
      <c r="D44" s="1789" t="s">
        <v>137</v>
      </c>
      <c r="E44" s="1346" t="s">
        <v>225</v>
      </c>
      <c r="F44" s="1198" t="s">
        <v>367</v>
      </c>
      <c r="G44" s="1623">
        <v>60</v>
      </c>
      <c r="H44" s="1199">
        <f>+G44</f>
        <v>60</v>
      </c>
      <c r="I44" s="1624">
        <f t="shared" si="4"/>
        <v>0</v>
      </c>
      <c r="J44" s="1623"/>
      <c r="K44" s="1619"/>
      <c r="L44" s="1624"/>
      <c r="M44" s="1625"/>
      <c r="N44" s="1619"/>
      <c r="O44" s="1625"/>
      <c r="P44" s="438" t="s">
        <v>76</v>
      </c>
      <c r="Q44" s="531">
        <v>1</v>
      </c>
      <c r="R44" s="495"/>
      <c r="S44" s="377"/>
      <c r="T44" s="240"/>
      <c r="U44" s="377"/>
      <c r="V44" s="393"/>
      <c r="W44" s="376"/>
    </row>
    <row r="45" spans="1:26" ht="25.5" customHeight="1" x14ac:dyDescent="0.25">
      <c r="A45" s="938"/>
      <c r="B45" s="949"/>
      <c r="C45" s="940"/>
      <c r="D45" s="1789"/>
      <c r="E45" s="906" t="s">
        <v>194</v>
      </c>
      <c r="F45" s="1198"/>
      <c r="G45" s="1616"/>
      <c r="H45" s="1617"/>
      <c r="I45" s="1618"/>
      <c r="J45" s="1617"/>
      <c r="K45" s="1200"/>
      <c r="L45" s="1618"/>
      <c r="M45" s="1626"/>
      <c r="N45" s="1203"/>
      <c r="O45" s="1203"/>
      <c r="P45" s="440" t="s">
        <v>321</v>
      </c>
      <c r="Q45" s="351"/>
      <c r="R45" s="202"/>
      <c r="S45" s="265"/>
      <c r="T45" s="265"/>
      <c r="U45" s="265">
        <v>30</v>
      </c>
      <c r="V45" s="225"/>
      <c r="W45" s="379"/>
    </row>
    <row r="46" spans="1:26" ht="25.4" customHeight="1" x14ac:dyDescent="0.25">
      <c r="A46" s="938"/>
      <c r="B46" s="949"/>
      <c r="C46" s="940"/>
      <c r="D46" s="1790"/>
      <c r="E46" s="194" t="s">
        <v>164</v>
      </c>
      <c r="F46" s="1198"/>
      <c r="G46" s="1616"/>
      <c r="H46" s="1617"/>
      <c r="I46" s="1618"/>
      <c r="J46" s="1617"/>
      <c r="K46" s="1200"/>
      <c r="L46" s="1618"/>
      <c r="M46" s="1202"/>
      <c r="N46" s="1204"/>
      <c r="O46" s="1204"/>
      <c r="P46" s="1857" t="s">
        <v>391</v>
      </c>
      <c r="Q46" s="532"/>
      <c r="R46" s="832"/>
      <c r="S46" s="240"/>
      <c r="T46" s="240"/>
      <c r="U46" s="255"/>
      <c r="V46" s="149"/>
      <c r="W46" s="149"/>
    </row>
    <row r="47" spans="1:26" ht="15" customHeight="1" x14ac:dyDescent="0.25">
      <c r="A47" s="938"/>
      <c r="B47" s="949"/>
      <c r="C47" s="940"/>
      <c r="D47" s="1790"/>
      <c r="E47" s="905" t="s">
        <v>43</v>
      </c>
      <c r="F47" s="1205" t="s">
        <v>375</v>
      </c>
      <c r="G47" s="1216"/>
      <c r="H47" s="1192"/>
      <c r="I47" s="1194"/>
      <c r="J47" s="1192"/>
      <c r="K47" s="1193"/>
      <c r="L47" s="1194"/>
      <c r="M47" s="1627">
        <v>1500</v>
      </c>
      <c r="N47" s="1207">
        <f>+M47</f>
        <v>1500</v>
      </c>
      <c r="O47" s="1207">
        <f>+N47-M47</f>
        <v>0</v>
      </c>
      <c r="P47" s="1858"/>
      <c r="Q47" s="363"/>
      <c r="R47" s="230"/>
      <c r="S47" s="242"/>
      <c r="T47" s="242"/>
      <c r="U47" s="242"/>
      <c r="V47" s="170"/>
      <c r="W47" s="170"/>
    </row>
    <row r="48" spans="1:26" ht="15.65" customHeight="1" x14ac:dyDescent="0.25">
      <c r="A48" s="938"/>
      <c r="B48" s="949"/>
      <c r="C48" s="940"/>
      <c r="D48" s="1712" t="s">
        <v>111</v>
      </c>
      <c r="E48" s="922" t="s">
        <v>225</v>
      </c>
      <c r="F48" s="1198" t="s">
        <v>366</v>
      </c>
      <c r="G48" s="1616">
        <f>219-24-195</f>
        <v>0</v>
      </c>
      <c r="H48" s="1617">
        <f>+G48</f>
        <v>0</v>
      </c>
      <c r="I48" s="1618">
        <f t="shared" ref="I48:I53" si="5">+H48-G48</f>
        <v>0</v>
      </c>
      <c r="J48" s="1617"/>
      <c r="K48" s="1200"/>
      <c r="L48" s="1618"/>
      <c r="M48" s="1199"/>
      <c r="N48" s="1619"/>
      <c r="O48" s="1208"/>
      <c r="P48" s="1859" t="s">
        <v>204</v>
      </c>
      <c r="Q48" s="351">
        <v>100</v>
      </c>
      <c r="R48" s="202"/>
      <c r="S48" s="240"/>
      <c r="T48" s="240"/>
      <c r="U48" s="240"/>
      <c r="V48" s="149"/>
      <c r="W48" s="1875"/>
    </row>
    <row r="49" spans="1:27" ht="15.65" customHeight="1" x14ac:dyDescent="0.25">
      <c r="A49" s="938"/>
      <c r="B49" s="949"/>
      <c r="C49" s="940"/>
      <c r="D49" s="1713"/>
      <c r="E49" s="905"/>
      <c r="F49" s="1198" t="s">
        <v>368</v>
      </c>
      <c r="G49" s="1617">
        <f>195-64.4</f>
        <v>130.6</v>
      </c>
      <c r="H49" s="1617">
        <f>195-64.4</f>
        <v>130.6</v>
      </c>
      <c r="I49" s="1618">
        <f t="shared" si="5"/>
        <v>0</v>
      </c>
      <c r="J49" s="1617"/>
      <c r="K49" s="1200"/>
      <c r="L49" s="1618"/>
      <c r="M49" s="1617"/>
      <c r="N49" s="1200"/>
      <c r="O49" s="1208"/>
      <c r="P49" s="1858"/>
      <c r="Q49" s="351"/>
      <c r="R49" s="202"/>
      <c r="S49" s="240"/>
      <c r="T49" s="240"/>
      <c r="U49" s="240"/>
      <c r="V49" s="149"/>
      <c r="W49" s="1876"/>
    </row>
    <row r="50" spans="1:27" ht="15.65" customHeight="1" x14ac:dyDescent="0.25">
      <c r="A50" s="938"/>
      <c r="B50" s="949"/>
      <c r="C50" s="940"/>
      <c r="D50" s="1713"/>
      <c r="E50" s="958" t="s">
        <v>194</v>
      </c>
      <c r="F50" s="1198" t="s">
        <v>372</v>
      </c>
      <c r="G50" s="1616">
        <f>76.6-76.6</f>
        <v>0</v>
      </c>
      <c r="H50" s="1617">
        <f>+G50</f>
        <v>0</v>
      </c>
      <c r="I50" s="1618">
        <f t="shared" si="5"/>
        <v>0</v>
      </c>
      <c r="J50" s="1617"/>
      <c r="K50" s="1200"/>
      <c r="L50" s="1618"/>
      <c r="M50" s="1617"/>
      <c r="N50" s="1200"/>
      <c r="O50" s="1208"/>
      <c r="P50" s="1858"/>
      <c r="Q50" s="351"/>
      <c r="R50" s="623"/>
      <c r="S50" s="240"/>
      <c r="T50" s="240"/>
      <c r="U50" s="240"/>
      <c r="V50" s="149"/>
      <c r="W50" s="1876"/>
    </row>
    <row r="51" spans="1:27" ht="15.65" customHeight="1" x14ac:dyDescent="0.25">
      <c r="A51" s="938"/>
      <c r="B51" s="949"/>
      <c r="C51" s="940"/>
      <c r="D51" s="1713"/>
      <c r="E51" s="907"/>
      <c r="F51" s="1187" t="s">
        <v>373</v>
      </c>
      <c r="G51" s="1616">
        <v>135</v>
      </c>
      <c r="H51" s="1617">
        <f>+G51</f>
        <v>135</v>
      </c>
      <c r="I51" s="1618">
        <f t="shared" si="5"/>
        <v>0</v>
      </c>
      <c r="J51" s="1617"/>
      <c r="K51" s="1200"/>
      <c r="L51" s="1618"/>
      <c r="M51" s="1617"/>
      <c r="N51" s="1200"/>
      <c r="O51" s="1208"/>
      <c r="P51" s="1858"/>
      <c r="Q51" s="351"/>
      <c r="R51" s="623"/>
      <c r="S51" s="240"/>
      <c r="T51" s="240"/>
      <c r="U51" s="240"/>
      <c r="V51" s="149"/>
      <c r="W51" s="1876"/>
    </row>
    <row r="52" spans="1:27" ht="15.65" customHeight="1" x14ac:dyDescent="0.25">
      <c r="A52" s="938"/>
      <c r="B52" s="949"/>
      <c r="C52" s="940"/>
      <c r="D52" s="1713"/>
      <c r="E52" s="907" t="s">
        <v>164</v>
      </c>
      <c r="F52" s="1198" t="s">
        <v>367</v>
      </c>
      <c r="G52" s="1617">
        <f>40.2-35.6</f>
        <v>4.5999999999999996</v>
      </c>
      <c r="H52" s="1617">
        <f>40.2-35.6</f>
        <v>4.5999999999999996</v>
      </c>
      <c r="I52" s="1618">
        <f t="shared" si="5"/>
        <v>0</v>
      </c>
      <c r="J52" s="1617"/>
      <c r="K52" s="1200"/>
      <c r="L52" s="1618"/>
      <c r="M52" s="1617"/>
      <c r="N52" s="1200"/>
      <c r="O52" s="1208"/>
      <c r="P52" s="1858"/>
      <c r="Q52" s="351"/>
      <c r="R52" s="623"/>
      <c r="S52" s="240"/>
      <c r="T52" s="240"/>
      <c r="U52" s="240"/>
      <c r="V52" s="149"/>
      <c r="W52" s="1876"/>
    </row>
    <row r="53" spans="1:27" ht="15.65" customHeight="1" x14ac:dyDescent="0.25">
      <c r="A53" s="938"/>
      <c r="B53" s="949"/>
      <c r="C53" s="940"/>
      <c r="D53" s="1713"/>
      <c r="E53" s="907"/>
      <c r="F53" s="1198" t="s">
        <v>371</v>
      </c>
      <c r="G53" s="1248">
        <v>11.9</v>
      </c>
      <c r="H53" s="1209">
        <f>+G53</f>
        <v>11.9</v>
      </c>
      <c r="I53" s="1188">
        <f t="shared" si="5"/>
        <v>0</v>
      </c>
      <c r="J53" s="1616"/>
      <c r="K53" s="1200"/>
      <c r="L53" s="1618"/>
      <c r="M53" s="1617"/>
      <c r="N53" s="1200"/>
      <c r="O53" s="1208"/>
      <c r="P53" s="945"/>
      <c r="Q53" s="351"/>
      <c r="R53" s="202"/>
      <c r="S53" s="240"/>
      <c r="T53" s="240"/>
      <c r="U53" s="240"/>
      <c r="V53" s="149"/>
      <c r="W53" s="1876"/>
    </row>
    <row r="54" spans="1:27" ht="0.65" customHeight="1" x14ac:dyDescent="0.25">
      <c r="A54" s="938"/>
      <c r="B54" s="949"/>
      <c r="C54" s="940"/>
      <c r="D54" s="1746"/>
      <c r="E54" s="905" t="s">
        <v>43</v>
      </c>
      <c r="F54" s="1210" t="s">
        <v>371</v>
      </c>
      <c r="G54" s="1216">
        <v>11.9</v>
      </c>
      <c r="H54" s="1192"/>
      <c r="I54" s="1194"/>
      <c r="J54" s="1192"/>
      <c r="K54" s="1193"/>
      <c r="L54" s="1620"/>
      <c r="M54" s="1216"/>
      <c r="N54" s="1193"/>
      <c r="O54" s="1197"/>
      <c r="P54" s="943"/>
      <c r="Q54" s="363"/>
      <c r="R54" s="230"/>
      <c r="S54" s="242"/>
      <c r="T54" s="242"/>
      <c r="U54" s="242"/>
      <c r="V54" s="170"/>
      <c r="W54" s="1877"/>
    </row>
    <row r="55" spans="1:27" ht="19.5" customHeight="1" x14ac:dyDescent="0.25">
      <c r="A55" s="938"/>
      <c r="B55" s="939"/>
      <c r="C55" s="85"/>
      <c r="D55" s="1712" t="s">
        <v>193</v>
      </c>
      <c r="E55" s="910" t="s">
        <v>225</v>
      </c>
      <c r="F55" s="1211" t="s">
        <v>366</v>
      </c>
      <c r="G55" s="1253"/>
      <c r="H55" s="1242"/>
      <c r="I55" s="1217"/>
      <c r="J55" s="1242">
        <v>140.80000000000001</v>
      </c>
      <c r="K55" s="1185">
        <f>+J55</f>
        <v>140.80000000000001</v>
      </c>
      <c r="L55" s="1217">
        <f>+K55-J55</f>
        <v>0</v>
      </c>
      <c r="M55" s="1242">
        <v>150</v>
      </c>
      <c r="N55" s="1185">
        <f>+M55</f>
        <v>150</v>
      </c>
      <c r="O55" s="1184">
        <f>+N55-M55</f>
        <v>0</v>
      </c>
      <c r="P55" s="967" t="s">
        <v>228</v>
      </c>
      <c r="Q55" s="526">
        <v>10</v>
      </c>
      <c r="R55" s="637"/>
      <c r="S55" s="378">
        <v>100</v>
      </c>
      <c r="T55" s="378"/>
      <c r="U55" s="243"/>
      <c r="V55" s="151"/>
      <c r="W55" s="151"/>
    </row>
    <row r="56" spans="1:27" ht="27.75" customHeight="1" x14ac:dyDescent="0.25">
      <c r="A56" s="938"/>
      <c r="B56" s="939"/>
      <c r="C56" s="85"/>
      <c r="D56" s="1746"/>
      <c r="E56" s="923" t="s">
        <v>384</v>
      </c>
      <c r="F56" s="1212" t="s">
        <v>367</v>
      </c>
      <c r="G56" s="1216">
        <v>24</v>
      </c>
      <c r="H56" s="1192">
        <f>+G56</f>
        <v>24</v>
      </c>
      <c r="I56" s="1194">
        <f>+H56-G56</f>
        <v>0</v>
      </c>
      <c r="J56" s="1192"/>
      <c r="K56" s="1193"/>
      <c r="L56" s="1194"/>
      <c r="M56" s="1192"/>
      <c r="N56" s="1193"/>
      <c r="O56" s="1206"/>
      <c r="P56" s="432" t="s">
        <v>258</v>
      </c>
      <c r="Q56" s="498"/>
      <c r="R56" s="497"/>
      <c r="S56" s="343"/>
      <c r="T56" s="343"/>
      <c r="U56" s="343">
        <v>100</v>
      </c>
      <c r="V56" s="1093"/>
      <c r="W56" s="528"/>
    </row>
    <row r="57" spans="1:27" ht="13.5" customHeight="1" x14ac:dyDescent="0.25">
      <c r="A57" s="938"/>
      <c r="B57" s="939"/>
      <c r="C57" s="86"/>
      <c r="D57" s="1712" t="s">
        <v>95</v>
      </c>
      <c r="E57" s="912" t="s">
        <v>225</v>
      </c>
      <c r="F57" s="1479" t="s">
        <v>366</v>
      </c>
      <c r="G57" s="1476">
        <f>158.2-27.1</f>
        <v>131.1</v>
      </c>
      <c r="H57" s="1480">
        <f>158.2-27.1-10.9</f>
        <v>120.2</v>
      </c>
      <c r="I57" s="1478">
        <f>+H57-G57</f>
        <v>-10.9</v>
      </c>
      <c r="J57" s="505"/>
      <c r="K57" s="307"/>
      <c r="L57" s="381"/>
      <c r="M57" s="505"/>
      <c r="N57" s="307"/>
      <c r="O57" s="113"/>
      <c r="P57" s="1860" t="s">
        <v>108</v>
      </c>
      <c r="Q57" s="459">
        <v>100</v>
      </c>
      <c r="R57" s="227"/>
      <c r="S57" s="245"/>
      <c r="T57" s="245"/>
      <c r="U57" s="245"/>
      <c r="V57" s="148"/>
      <c r="W57" s="1875" t="s">
        <v>460</v>
      </c>
      <c r="X57" s="1630"/>
      <c r="Y57" s="1631"/>
      <c r="Z57" s="1631"/>
      <c r="AA57" s="1631"/>
    </row>
    <row r="58" spans="1:27" ht="13.5" customHeight="1" x14ac:dyDescent="0.25">
      <c r="A58" s="938"/>
      <c r="B58" s="939"/>
      <c r="C58" s="86"/>
      <c r="D58" s="1713"/>
      <c r="E58" s="911" t="s">
        <v>194</v>
      </c>
      <c r="F58" s="1187" t="s">
        <v>376</v>
      </c>
      <c r="G58" s="1248">
        <v>22.9</v>
      </c>
      <c r="H58" s="1189">
        <f>+G58</f>
        <v>22.9</v>
      </c>
      <c r="I58" s="1191">
        <f>+H58-G58</f>
        <v>0</v>
      </c>
      <c r="J58" s="505"/>
      <c r="K58" s="307"/>
      <c r="L58" s="381"/>
      <c r="M58" s="505"/>
      <c r="N58" s="307"/>
      <c r="O58" s="47"/>
      <c r="P58" s="1860"/>
      <c r="Q58" s="459"/>
      <c r="R58" s="227"/>
      <c r="S58" s="245"/>
      <c r="T58" s="245"/>
      <c r="U58" s="245"/>
      <c r="V58" s="148"/>
      <c r="W58" s="1912"/>
      <c r="X58" s="1630"/>
      <c r="Y58" s="1631"/>
      <c r="Z58" s="1631"/>
      <c r="AA58" s="1631"/>
    </row>
    <row r="59" spans="1:27" ht="11.25" customHeight="1" x14ac:dyDescent="0.25">
      <c r="A59" s="938"/>
      <c r="B59" s="939"/>
      <c r="C59" s="86"/>
      <c r="D59" s="1713"/>
      <c r="E59" s="958" t="s">
        <v>164</v>
      </c>
      <c r="F59" s="19"/>
      <c r="G59" s="380"/>
      <c r="H59" s="505"/>
      <c r="I59" s="381"/>
      <c r="J59" s="505"/>
      <c r="K59" s="307"/>
      <c r="L59" s="381"/>
      <c r="M59" s="505"/>
      <c r="N59" s="307"/>
      <c r="O59" s="47"/>
      <c r="P59" s="1860"/>
      <c r="Q59" s="459"/>
      <c r="R59" s="227"/>
      <c r="S59" s="245"/>
      <c r="T59" s="245"/>
      <c r="U59" s="245"/>
      <c r="V59" s="148"/>
      <c r="W59" s="1912"/>
      <c r="X59" s="1630"/>
      <c r="Y59" s="1631"/>
      <c r="Z59" s="1631"/>
      <c r="AA59" s="1631"/>
    </row>
    <row r="60" spans="1:27" ht="3" customHeight="1" x14ac:dyDescent="0.25">
      <c r="A60" s="938"/>
      <c r="B60" s="939"/>
      <c r="C60" s="940"/>
      <c r="D60" s="1746"/>
      <c r="E60" s="924" t="s">
        <v>43</v>
      </c>
      <c r="F60" s="1417"/>
      <c r="G60" s="592"/>
      <c r="H60" s="1111"/>
      <c r="I60" s="863"/>
      <c r="J60" s="757"/>
      <c r="K60" s="300"/>
      <c r="L60" s="382"/>
      <c r="M60" s="757"/>
      <c r="N60" s="300"/>
      <c r="O60" s="46"/>
      <c r="P60" s="1856"/>
      <c r="Q60" s="458"/>
      <c r="R60" s="228"/>
      <c r="S60" s="244"/>
      <c r="T60" s="244"/>
      <c r="U60" s="244"/>
      <c r="V60" s="167"/>
      <c r="W60" s="1913"/>
      <c r="X60" s="1630"/>
      <c r="Y60" s="1631"/>
      <c r="Z60" s="1631"/>
      <c r="AA60" s="1631"/>
    </row>
    <row r="61" spans="1:27" ht="36.65" customHeight="1" x14ac:dyDescent="0.25">
      <c r="A61" s="938"/>
      <c r="B61" s="939"/>
      <c r="C61" s="86"/>
      <c r="D61" s="1760" t="s">
        <v>83</v>
      </c>
      <c r="E61" s="911" t="s">
        <v>225</v>
      </c>
      <c r="F61" s="1481" t="s">
        <v>366</v>
      </c>
      <c r="G61" s="1473">
        <v>300</v>
      </c>
      <c r="H61" s="1473">
        <f>300-153.4</f>
        <v>146.6</v>
      </c>
      <c r="I61" s="1478">
        <f>+H61-G61</f>
        <v>-153.4</v>
      </c>
      <c r="J61" s="1480">
        <v>512.70000000000005</v>
      </c>
      <c r="K61" s="1477">
        <f>512.7+140.7</f>
        <v>653.4</v>
      </c>
      <c r="L61" s="1478">
        <f>+K61-J61</f>
        <v>140.69999999999999</v>
      </c>
      <c r="M61" s="1480">
        <v>591.5</v>
      </c>
      <c r="N61" s="1477">
        <f>591.5-265.7</f>
        <v>325.8</v>
      </c>
      <c r="O61" s="1484">
        <f>+N61-M61</f>
        <v>-265.7</v>
      </c>
      <c r="P61" s="931" t="s">
        <v>86</v>
      </c>
      <c r="Q61" s="1482">
        <v>30</v>
      </c>
      <c r="R61" s="1483">
        <v>15</v>
      </c>
      <c r="S61" s="243">
        <v>70</v>
      </c>
      <c r="T61" s="243"/>
      <c r="U61" s="243">
        <v>100</v>
      </c>
      <c r="V61" s="151"/>
      <c r="W61" s="1875" t="s">
        <v>456</v>
      </c>
    </row>
    <row r="62" spans="1:27" ht="36.65" customHeight="1" x14ac:dyDescent="0.25">
      <c r="A62" s="938"/>
      <c r="B62" s="939"/>
      <c r="C62" s="86"/>
      <c r="D62" s="1760"/>
      <c r="E62" s="194" t="s">
        <v>164</v>
      </c>
      <c r="F62" s="19"/>
      <c r="G62" s="380"/>
      <c r="H62" s="505"/>
      <c r="I62" s="381"/>
      <c r="J62" s="505"/>
      <c r="K62" s="307"/>
      <c r="L62" s="381"/>
      <c r="M62" s="505"/>
      <c r="N62" s="307"/>
      <c r="O62" s="47"/>
      <c r="P62" s="931"/>
      <c r="Q62" s="459"/>
      <c r="R62" s="227"/>
      <c r="S62" s="245"/>
      <c r="T62" s="245"/>
      <c r="U62" s="245"/>
      <c r="V62" s="148"/>
      <c r="W62" s="1876"/>
    </row>
    <row r="63" spans="1:27" ht="77.25" customHeight="1" x14ac:dyDescent="0.25">
      <c r="A63" s="938"/>
      <c r="B63" s="939"/>
      <c r="C63" s="940"/>
      <c r="D63" s="1760"/>
      <c r="E63" s="924" t="s">
        <v>43</v>
      </c>
      <c r="F63" s="19"/>
      <c r="G63" s="504"/>
      <c r="H63" s="300"/>
      <c r="I63" s="381"/>
      <c r="J63" s="505"/>
      <c r="K63" s="307"/>
      <c r="L63" s="381"/>
      <c r="M63" s="505"/>
      <c r="N63" s="307"/>
      <c r="O63" s="47"/>
      <c r="P63" s="931"/>
      <c r="Q63" s="459"/>
      <c r="R63" s="227"/>
      <c r="S63" s="244"/>
      <c r="T63" s="244"/>
      <c r="U63" s="244"/>
      <c r="V63" s="167"/>
      <c r="W63" s="1877"/>
    </row>
    <row r="64" spans="1:27" ht="14.5" customHeight="1" x14ac:dyDescent="0.25">
      <c r="A64" s="938"/>
      <c r="B64" s="939"/>
      <c r="C64" s="85"/>
      <c r="D64" s="1712" t="s">
        <v>259</v>
      </c>
      <c r="E64" s="912" t="s">
        <v>225</v>
      </c>
      <c r="F64" s="1183" t="s">
        <v>366</v>
      </c>
      <c r="G64" s="1253">
        <f>200-100</f>
        <v>100</v>
      </c>
      <c r="H64" s="1185">
        <f>100+27.1</f>
        <v>127.1</v>
      </c>
      <c r="I64" s="1217">
        <f>+H64-G64</f>
        <v>27.1</v>
      </c>
      <c r="J64" s="1242">
        <f>200+100</f>
        <v>300</v>
      </c>
      <c r="K64" s="1185">
        <f>+J64</f>
        <v>300</v>
      </c>
      <c r="L64" s="1217">
        <f>+K64-J64</f>
        <v>0</v>
      </c>
      <c r="M64" s="1242"/>
      <c r="N64" s="1185"/>
      <c r="O64" s="1184"/>
      <c r="P64" s="1852" t="s">
        <v>260</v>
      </c>
      <c r="Q64" s="489">
        <v>25</v>
      </c>
      <c r="R64" s="232"/>
      <c r="S64" s="252">
        <v>100</v>
      </c>
      <c r="T64" s="252"/>
      <c r="U64" s="245"/>
      <c r="V64" s="148"/>
      <c r="W64" s="1875"/>
      <c r="X64" s="1630"/>
      <c r="Y64" s="1631"/>
      <c r="Z64" s="1631"/>
      <c r="AA64" s="1631"/>
    </row>
    <row r="65" spans="1:27" ht="14.5" customHeight="1" x14ac:dyDescent="0.25">
      <c r="A65" s="938"/>
      <c r="B65" s="939"/>
      <c r="C65" s="85"/>
      <c r="D65" s="1713"/>
      <c r="E65" s="194" t="s">
        <v>164</v>
      </c>
      <c r="F65" s="1187"/>
      <c r="G65" s="1248"/>
      <c r="H65" s="1189"/>
      <c r="I65" s="1191"/>
      <c r="J65" s="1209"/>
      <c r="K65" s="1189"/>
      <c r="L65" s="1191"/>
      <c r="M65" s="1209"/>
      <c r="N65" s="1189"/>
      <c r="O65" s="1188"/>
      <c r="P65" s="1854"/>
      <c r="Q65" s="615"/>
      <c r="R65" s="572"/>
      <c r="S65" s="925"/>
      <c r="T65" s="925"/>
      <c r="U65" s="245"/>
      <c r="V65" s="148"/>
      <c r="W65" s="1876"/>
      <c r="X65" s="1630"/>
      <c r="Y65" s="1631"/>
      <c r="Z65" s="1631"/>
      <c r="AA65" s="1631"/>
    </row>
    <row r="66" spans="1:27" ht="15.5" customHeight="1" x14ac:dyDescent="0.25">
      <c r="A66" s="938"/>
      <c r="B66" s="939"/>
      <c r="C66" s="85"/>
      <c r="D66" s="1746"/>
      <c r="E66" s="924" t="s">
        <v>43</v>
      </c>
      <c r="F66" s="1403"/>
      <c r="G66" s="504"/>
      <c r="H66" s="300"/>
      <c r="I66" s="382"/>
      <c r="J66" s="757"/>
      <c r="K66" s="300"/>
      <c r="L66" s="382"/>
      <c r="M66" s="757"/>
      <c r="N66" s="300"/>
      <c r="O66" s="46"/>
      <c r="P66" s="1856"/>
      <c r="Q66" s="621"/>
      <c r="R66" s="448"/>
      <c r="S66" s="276"/>
      <c r="T66" s="276"/>
      <c r="U66" s="245"/>
      <c r="V66" s="148"/>
      <c r="W66" s="1877"/>
      <c r="X66" s="1630"/>
      <c r="Y66" s="1631"/>
      <c r="Z66" s="1631"/>
      <c r="AA66" s="1631"/>
    </row>
    <row r="67" spans="1:27" ht="31" customHeight="1" x14ac:dyDescent="0.25">
      <c r="A67" s="938"/>
      <c r="B67" s="939"/>
      <c r="C67" s="85"/>
      <c r="D67" s="941" t="s">
        <v>261</v>
      </c>
      <c r="E67" s="926" t="s">
        <v>385</v>
      </c>
      <c r="F67" s="1195" t="s">
        <v>366</v>
      </c>
      <c r="G67" s="1193">
        <f>300-300</f>
        <v>0</v>
      </c>
      <c r="H67" s="1193">
        <f>300-300</f>
        <v>0</v>
      </c>
      <c r="I67" s="1194">
        <f>+H67-G67</f>
        <v>0</v>
      </c>
      <c r="J67" s="1192">
        <f>1500+200</f>
        <v>1700</v>
      </c>
      <c r="K67" s="1193">
        <f>+J67</f>
        <v>1700</v>
      </c>
      <c r="L67" s="1194">
        <f>+K67-J67</f>
        <v>0</v>
      </c>
      <c r="M67" s="1192">
        <v>1178.3</v>
      </c>
      <c r="N67" s="1193">
        <f>+M67</f>
        <v>1178.3</v>
      </c>
      <c r="O67" s="1206">
        <f>+N67-M67</f>
        <v>0</v>
      </c>
      <c r="P67" s="454" t="s">
        <v>262</v>
      </c>
      <c r="Q67" s="621">
        <v>0</v>
      </c>
      <c r="R67" s="448"/>
      <c r="S67" s="276">
        <v>60</v>
      </c>
      <c r="T67" s="276"/>
      <c r="U67" s="297">
        <v>100</v>
      </c>
      <c r="V67" s="289"/>
      <c r="W67" s="1325"/>
    </row>
    <row r="68" spans="1:27" ht="20.149999999999999" customHeight="1" x14ac:dyDescent="0.25">
      <c r="A68" s="938"/>
      <c r="B68" s="939"/>
      <c r="C68" s="85"/>
      <c r="D68" s="1713" t="s">
        <v>392</v>
      </c>
      <c r="E68" s="911" t="s">
        <v>194</v>
      </c>
      <c r="F68" s="1213" t="s">
        <v>366</v>
      </c>
      <c r="G68" s="1248"/>
      <c r="H68" s="1189"/>
      <c r="I68" s="1191"/>
      <c r="J68" s="1209"/>
      <c r="K68" s="1189"/>
      <c r="L68" s="1191"/>
      <c r="M68" s="1209"/>
      <c r="N68" s="1189"/>
      <c r="O68" s="1188"/>
      <c r="P68" s="738" t="s">
        <v>323</v>
      </c>
      <c r="Q68" s="588"/>
      <c r="R68" s="227"/>
      <c r="S68" s="378"/>
      <c r="T68" s="378"/>
      <c r="U68" s="1137"/>
      <c r="V68" s="1136"/>
      <c r="W68" s="643"/>
    </row>
    <row r="69" spans="1:27" ht="24.75" customHeight="1" x14ac:dyDescent="0.25">
      <c r="A69" s="938"/>
      <c r="B69" s="939"/>
      <c r="C69" s="85"/>
      <c r="D69" s="1746"/>
      <c r="E69" s="924" t="s">
        <v>43</v>
      </c>
      <c r="F69" s="1212" t="s">
        <v>375</v>
      </c>
      <c r="G69" s="1216"/>
      <c r="H69" s="1193"/>
      <c r="I69" s="1194"/>
      <c r="J69" s="1192"/>
      <c r="K69" s="1193"/>
      <c r="L69" s="1194"/>
      <c r="M69" s="1192"/>
      <c r="N69" s="1193"/>
      <c r="O69" s="1206"/>
      <c r="P69" s="739" t="s">
        <v>76</v>
      </c>
      <c r="Q69" s="833"/>
      <c r="R69" s="833"/>
      <c r="S69" s="644"/>
      <c r="T69" s="644"/>
      <c r="U69" s="244"/>
      <c r="V69" s="167"/>
      <c r="W69" s="167"/>
    </row>
    <row r="70" spans="1:27" ht="12.75" customHeight="1" x14ac:dyDescent="0.25">
      <c r="A70" s="938"/>
      <c r="B70" s="939"/>
      <c r="C70" s="85"/>
      <c r="D70" s="1784"/>
      <c r="E70" s="1785"/>
      <c r="F70" s="846"/>
      <c r="G70" s="147"/>
      <c r="H70" s="147"/>
      <c r="I70" s="147"/>
      <c r="J70" s="147"/>
      <c r="K70" s="147"/>
      <c r="L70" s="147"/>
      <c r="M70" s="1063"/>
      <c r="N70" s="147"/>
      <c r="O70" s="147"/>
      <c r="P70" s="845"/>
      <c r="Q70" s="844"/>
      <c r="R70" s="844"/>
      <c r="S70" s="627"/>
      <c r="T70" s="627"/>
      <c r="U70" s="844"/>
      <c r="V70" s="844"/>
      <c r="W70" s="628"/>
    </row>
    <row r="71" spans="1:27" ht="14.25" customHeight="1" x14ac:dyDescent="0.25">
      <c r="A71" s="938"/>
      <c r="B71" s="939"/>
      <c r="C71" s="940"/>
      <c r="D71" s="1713" t="s">
        <v>82</v>
      </c>
      <c r="E71" s="117"/>
      <c r="F71" s="1213" t="s">
        <v>366</v>
      </c>
      <c r="G71" s="1253">
        <v>146.80000000000001</v>
      </c>
      <c r="H71" s="1185">
        <f>+G71</f>
        <v>146.80000000000001</v>
      </c>
      <c r="I71" s="1217">
        <f>+H71-G71</f>
        <v>0</v>
      </c>
      <c r="J71" s="1209">
        <v>146.80000000000001</v>
      </c>
      <c r="K71" s="1189">
        <f>+J71</f>
        <v>146.80000000000001</v>
      </c>
      <c r="L71" s="1217">
        <f>+K71-J71</f>
        <v>0</v>
      </c>
      <c r="M71" s="1242">
        <v>146.80000000000001</v>
      </c>
      <c r="N71" s="1185">
        <f>+M71</f>
        <v>146.80000000000001</v>
      </c>
      <c r="O71" s="1188">
        <f>+N71-M71</f>
        <v>0</v>
      </c>
      <c r="P71" s="413" t="s">
        <v>136</v>
      </c>
      <c r="Q71" s="1134">
        <v>3.9</v>
      </c>
      <c r="R71" s="496"/>
      <c r="S71" s="365">
        <v>3.9</v>
      </c>
      <c r="T71" s="365"/>
      <c r="U71" s="1135">
        <v>3.9</v>
      </c>
      <c r="V71" s="207"/>
      <c r="W71" s="207"/>
    </row>
    <row r="72" spans="1:27" ht="15" customHeight="1" x14ac:dyDescent="0.25">
      <c r="A72" s="938"/>
      <c r="B72" s="939"/>
      <c r="C72" s="940"/>
      <c r="D72" s="1713"/>
      <c r="E72" s="117"/>
      <c r="F72" s="1213"/>
      <c r="G72" s="1248"/>
      <c r="H72" s="1189"/>
      <c r="I72" s="1191"/>
      <c r="J72" s="1209"/>
      <c r="K72" s="1189"/>
      <c r="L72" s="1191"/>
      <c r="M72" s="1209"/>
      <c r="N72" s="1189"/>
      <c r="O72" s="1188"/>
      <c r="P72" s="968" t="s">
        <v>163</v>
      </c>
      <c r="Q72" s="530">
        <v>357</v>
      </c>
      <c r="R72" s="410"/>
      <c r="S72" s="246">
        <v>357</v>
      </c>
      <c r="T72" s="246"/>
      <c r="U72" s="246">
        <v>357</v>
      </c>
      <c r="V72" s="208"/>
      <c r="W72" s="208"/>
    </row>
    <row r="73" spans="1:27" ht="15" customHeight="1" x14ac:dyDescent="0.25">
      <c r="A73" s="1705"/>
      <c r="B73" s="1706"/>
      <c r="C73" s="1745"/>
      <c r="D73" s="1712" t="s">
        <v>28</v>
      </c>
      <c r="E73" s="818" t="s">
        <v>225</v>
      </c>
      <c r="F73" s="1183" t="s">
        <v>366</v>
      </c>
      <c r="G73" s="1253">
        <v>49.4</v>
      </c>
      <c r="H73" s="1185">
        <f>+G73</f>
        <v>49.4</v>
      </c>
      <c r="I73" s="1217">
        <f>+H73-G73</f>
        <v>0</v>
      </c>
      <c r="J73" s="1242">
        <v>49.4</v>
      </c>
      <c r="K73" s="1185">
        <f>+J73</f>
        <v>49.4</v>
      </c>
      <c r="L73" s="1217">
        <f>+K73-J73</f>
        <v>0</v>
      </c>
      <c r="M73" s="1242">
        <v>49.4</v>
      </c>
      <c r="N73" s="1185">
        <f>+M73</f>
        <v>49.4</v>
      </c>
      <c r="O73" s="1184">
        <f>+N73-M73</f>
        <v>0</v>
      </c>
      <c r="P73" s="413" t="s">
        <v>30</v>
      </c>
      <c r="Q73" s="531">
        <v>7</v>
      </c>
      <c r="R73" s="495"/>
      <c r="S73" s="239">
        <v>7</v>
      </c>
      <c r="T73" s="239"/>
      <c r="U73" s="239">
        <v>7</v>
      </c>
      <c r="V73" s="168"/>
      <c r="W73" s="168"/>
    </row>
    <row r="74" spans="1:27" ht="16.5" customHeight="1" x14ac:dyDescent="0.25">
      <c r="A74" s="1705"/>
      <c r="B74" s="1706"/>
      <c r="C74" s="1745"/>
      <c r="D74" s="1713"/>
      <c r="E74" s="186"/>
      <c r="F74" s="1187"/>
      <c r="G74" s="1248"/>
      <c r="H74" s="1189"/>
      <c r="I74" s="1191"/>
      <c r="J74" s="1209"/>
      <c r="K74" s="1189"/>
      <c r="L74" s="1191"/>
      <c r="M74" s="1209"/>
      <c r="N74" s="1189"/>
      <c r="O74" s="1188"/>
      <c r="P74" s="969" t="s">
        <v>65</v>
      </c>
      <c r="Q74" s="384">
        <v>3</v>
      </c>
      <c r="R74" s="229"/>
      <c r="S74" s="265">
        <v>6</v>
      </c>
      <c r="T74" s="265"/>
      <c r="U74" s="265"/>
      <c r="V74" s="225"/>
      <c r="W74" s="379"/>
    </row>
    <row r="75" spans="1:27" ht="15.75" customHeight="1" x14ac:dyDescent="0.25">
      <c r="A75" s="1705"/>
      <c r="B75" s="1706"/>
      <c r="C75" s="1745"/>
      <c r="D75" s="1713"/>
      <c r="E75" s="186"/>
      <c r="F75" s="1187" t="s">
        <v>366</v>
      </c>
      <c r="G75" s="1216"/>
      <c r="H75" s="1193"/>
      <c r="I75" s="1194"/>
      <c r="J75" s="1209">
        <v>42.2</v>
      </c>
      <c r="K75" s="1189">
        <f>+J75</f>
        <v>42.2</v>
      </c>
      <c r="L75" s="1191">
        <f>+K75-J75</f>
        <v>0</v>
      </c>
      <c r="M75" s="1209"/>
      <c r="N75" s="1189"/>
      <c r="O75" s="1190"/>
      <c r="P75" s="968" t="s">
        <v>283</v>
      </c>
      <c r="Q75" s="532"/>
      <c r="R75" s="233"/>
      <c r="S75" s="255">
        <v>3</v>
      </c>
      <c r="T75" s="255"/>
      <c r="U75" s="240"/>
      <c r="V75" s="149"/>
      <c r="W75" s="149"/>
    </row>
    <row r="76" spans="1:27" ht="18" customHeight="1" x14ac:dyDescent="0.25">
      <c r="A76" s="938"/>
      <c r="B76" s="939"/>
      <c r="C76" s="940"/>
      <c r="D76" s="1712" t="s">
        <v>29</v>
      </c>
      <c r="E76" s="184"/>
      <c r="F76" s="1471" t="s">
        <v>366</v>
      </c>
      <c r="G76" s="1476">
        <v>89.7</v>
      </c>
      <c r="H76" s="1477">
        <f>+G76-60.4</f>
        <v>29.3</v>
      </c>
      <c r="I76" s="1478">
        <f>+H76-G76</f>
        <v>-60.4</v>
      </c>
      <c r="J76" s="838">
        <v>88.5</v>
      </c>
      <c r="K76" s="308">
        <f>+J76</f>
        <v>88.5</v>
      </c>
      <c r="L76" s="578">
        <f>+K76-J76</f>
        <v>0</v>
      </c>
      <c r="M76" s="838">
        <v>88.5</v>
      </c>
      <c r="N76" s="308">
        <f>+M76</f>
        <v>88.5</v>
      </c>
      <c r="O76" s="56">
        <f>+N76-M76</f>
        <v>0</v>
      </c>
      <c r="P76" s="883" t="s">
        <v>119</v>
      </c>
      <c r="Q76" s="350"/>
      <c r="R76" s="470"/>
      <c r="S76" s="239"/>
      <c r="T76" s="239"/>
      <c r="U76" s="239"/>
      <c r="V76" s="168"/>
      <c r="W76" s="1875" t="s">
        <v>446</v>
      </c>
    </row>
    <row r="77" spans="1:27" ht="26.25" customHeight="1" x14ac:dyDescent="0.25">
      <c r="A77" s="938"/>
      <c r="B77" s="939"/>
      <c r="C77" s="940"/>
      <c r="D77" s="1714"/>
      <c r="E77" s="185"/>
      <c r="F77" s="1187" t="s">
        <v>367</v>
      </c>
      <c r="G77" s="1248">
        <v>45.9</v>
      </c>
      <c r="H77" s="1189">
        <f>+G77</f>
        <v>45.9</v>
      </c>
      <c r="I77" s="1191">
        <f>+H77-G77</f>
        <v>0</v>
      </c>
      <c r="J77" s="1209"/>
      <c r="K77" s="1189"/>
      <c r="L77" s="1191"/>
      <c r="M77" s="1209"/>
      <c r="N77" s="1189"/>
      <c r="O77" s="1188"/>
      <c r="P77" s="969" t="s">
        <v>120</v>
      </c>
      <c r="Q77" s="384">
        <v>20</v>
      </c>
      <c r="R77" s="229"/>
      <c r="S77" s="241">
        <v>20</v>
      </c>
      <c r="T77" s="241"/>
      <c r="U77" s="241">
        <v>20</v>
      </c>
      <c r="V77" s="169"/>
      <c r="W77" s="1876"/>
    </row>
    <row r="78" spans="1:27" ht="25.5" customHeight="1" x14ac:dyDescent="0.25">
      <c r="A78" s="938"/>
      <c r="B78" s="939"/>
      <c r="C78" s="940"/>
      <c r="D78" s="1714"/>
      <c r="E78" s="1779"/>
      <c r="F78" s="1187"/>
      <c r="G78" s="1248"/>
      <c r="H78" s="1189"/>
      <c r="I78" s="1191"/>
      <c r="J78" s="1209"/>
      <c r="K78" s="1189"/>
      <c r="L78" s="1191"/>
      <c r="M78" s="1209"/>
      <c r="N78" s="1189"/>
      <c r="O78" s="1188"/>
      <c r="P78" s="969" t="s">
        <v>104</v>
      </c>
      <c r="Q78" s="533">
        <v>30</v>
      </c>
      <c r="R78" s="229"/>
      <c r="S78" s="241">
        <v>30</v>
      </c>
      <c r="T78" s="241"/>
      <c r="U78" s="265">
        <v>30</v>
      </c>
      <c r="V78" s="169"/>
      <c r="W78" s="1876"/>
    </row>
    <row r="79" spans="1:27" ht="15" customHeight="1" x14ac:dyDescent="0.25">
      <c r="A79" s="938"/>
      <c r="B79" s="939"/>
      <c r="C79" s="940"/>
      <c r="D79" s="1714"/>
      <c r="E79" s="1779"/>
      <c r="F79" s="1187"/>
      <c r="G79" s="1248"/>
      <c r="H79" s="1189"/>
      <c r="I79" s="1191"/>
      <c r="J79" s="1209"/>
      <c r="K79" s="1189"/>
      <c r="L79" s="1191"/>
      <c r="M79" s="1209"/>
      <c r="N79" s="1189"/>
      <c r="O79" s="1188"/>
      <c r="P79" s="417" t="s">
        <v>121</v>
      </c>
      <c r="Q79" s="742"/>
      <c r="R79" s="412"/>
      <c r="S79" s="248"/>
      <c r="T79" s="248"/>
      <c r="U79" s="248"/>
      <c r="V79" s="210"/>
      <c r="W79" s="1876"/>
    </row>
    <row r="80" spans="1:27" ht="13.5" customHeight="1" x14ac:dyDescent="0.25">
      <c r="A80" s="938"/>
      <c r="B80" s="939"/>
      <c r="C80" s="940"/>
      <c r="D80" s="59"/>
      <c r="E80" s="1779"/>
      <c r="F80" s="1187"/>
      <c r="G80" s="1248"/>
      <c r="H80" s="1189"/>
      <c r="I80" s="1191"/>
      <c r="J80" s="1209"/>
      <c r="K80" s="1189"/>
      <c r="L80" s="1191"/>
      <c r="M80" s="1209"/>
      <c r="N80" s="1189"/>
      <c r="O80" s="1188"/>
      <c r="P80" s="969" t="s">
        <v>79</v>
      </c>
      <c r="Q80" s="384">
        <v>10</v>
      </c>
      <c r="R80" s="1574"/>
      <c r="S80" s="241"/>
      <c r="T80" s="241"/>
      <c r="U80" s="240">
        <v>20</v>
      </c>
      <c r="V80" s="149"/>
      <c r="W80" s="1876"/>
    </row>
    <row r="81" spans="1:23" ht="13.5" customHeight="1" x14ac:dyDescent="0.25">
      <c r="A81" s="938"/>
      <c r="B81" s="939"/>
      <c r="C81" s="940"/>
      <c r="D81" s="59"/>
      <c r="E81" s="1779"/>
      <c r="F81" s="1187"/>
      <c r="G81" s="1248"/>
      <c r="H81" s="1189"/>
      <c r="I81" s="1191"/>
      <c r="J81" s="1209"/>
      <c r="K81" s="1189"/>
      <c r="L81" s="1191"/>
      <c r="M81" s="1209"/>
      <c r="N81" s="1189"/>
      <c r="O81" s="1188"/>
      <c r="P81" s="970" t="s">
        <v>31</v>
      </c>
      <c r="Q81" s="1488">
        <v>40</v>
      </c>
      <c r="R81" s="1490">
        <v>10</v>
      </c>
      <c r="S81" s="299">
        <v>20</v>
      </c>
      <c r="T81" s="197"/>
      <c r="U81" s="246">
        <v>30</v>
      </c>
      <c r="V81" s="210"/>
      <c r="W81" s="1876"/>
    </row>
    <row r="82" spans="1:23" ht="13.5" customHeight="1" x14ac:dyDescent="0.25">
      <c r="A82" s="938"/>
      <c r="B82" s="939"/>
      <c r="C82" s="940"/>
      <c r="D82" s="59"/>
      <c r="E82" s="1779"/>
      <c r="F82" s="1187"/>
      <c r="G82" s="1248"/>
      <c r="H82" s="1189"/>
      <c r="I82" s="1191"/>
      <c r="J82" s="1209"/>
      <c r="K82" s="1189"/>
      <c r="L82" s="1191"/>
      <c r="M82" s="1209"/>
      <c r="N82" s="1189"/>
      <c r="O82" s="1188"/>
      <c r="P82" s="970" t="s">
        <v>64</v>
      </c>
      <c r="Q82" s="1489">
        <v>40</v>
      </c>
      <c r="R82" s="1491">
        <v>20</v>
      </c>
      <c r="S82" s="1413">
        <v>20</v>
      </c>
      <c r="T82" s="373"/>
      <c r="U82" s="1413">
        <v>40</v>
      </c>
      <c r="V82" s="386"/>
      <c r="W82" s="1876"/>
    </row>
    <row r="83" spans="1:23" ht="13.5" customHeight="1" x14ac:dyDescent="0.25">
      <c r="A83" s="938"/>
      <c r="B83" s="939"/>
      <c r="C83" s="940"/>
      <c r="D83" s="59"/>
      <c r="E83" s="185"/>
      <c r="F83" s="1187"/>
      <c r="G83" s="1248"/>
      <c r="H83" s="1189"/>
      <c r="I83" s="1191"/>
      <c r="J83" s="1209"/>
      <c r="K83" s="1189"/>
      <c r="L83" s="1191"/>
      <c r="M83" s="1209"/>
      <c r="N83" s="1189"/>
      <c r="O83" s="1188"/>
      <c r="P83" s="433" t="s">
        <v>145</v>
      </c>
      <c r="Q83" s="535"/>
      <c r="R83" s="492"/>
      <c r="S83" s="299">
        <v>20</v>
      </c>
      <c r="T83" s="197"/>
      <c r="U83" s="197"/>
      <c r="V83" s="211"/>
      <c r="W83" s="1876"/>
    </row>
    <row r="84" spans="1:23" ht="14.25" customHeight="1" x14ac:dyDescent="0.25">
      <c r="A84" s="938"/>
      <c r="B84" s="939"/>
      <c r="C84" s="940"/>
      <c r="D84" s="59"/>
      <c r="E84" s="185"/>
      <c r="F84" s="1187"/>
      <c r="G84" s="1248"/>
      <c r="H84" s="1189"/>
      <c r="I84" s="1191"/>
      <c r="J84" s="1209"/>
      <c r="K84" s="1189"/>
      <c r="L84" s="1191"/>
      <c r="M84" s="1209"/>
      <c r="N84" s="1189"/>
      <c r="O84" s="1188"/>
      <c r="P84" s="417" t="s">
        <v>122</v>
      </c>
      <c r="Q84" s="742"/>
      <c r="R84" s="412"/>
      <c r="S84" s="248"/>
      <c r="T84" s="248"/>
      <c r="U84" s="248"/>
      <c r="V84" s="210"/>
      <c r="W84" s="1876"/>
    </row>
    <row r="85" spans="1:23" ht="13.5" customHeight="1" x14ac:dyDescent="0.25">
      <c r="A85" s="938"/>
      <c r="B85" s="939"/>
      <c r="C85" s="940"/>
      <c r="D85" s="59"/>
      <c r="E85" s="185"/>
      <c r="F85" s="1187"/>
      <c r="G85" s="1248"/>
      <c r="H85" s="1189"/>
      <c r="I85" s="1191"/>
      <c r="J85" s="1209"/>
      <c r="K85" s="1189"/>
      <c r="L85" s="1191"/>
      <c r="M85" s="1209"/>
      <c r="N85" s="1189"/>
      <c r="O85" s="1188"/>
      <c r="P85" s="942" t="s">
        <v>106</v>
      </c>
      <c r="Q85" s="1133">
        <v>30</v>
      </c>
      <c r="R85" s="494"/>
      <c r="S85" s="354">
        <v>30</v>
      </c>
      <c r="T85" s="354"/>
      <c r="U85" s="354">
        <v>30</v>
      </c>
      <c r="V85" s="639"/>
      <c r="W85" s="1876"/>
    </row>
    <row r="86" spans="1:23" ht="15" customHeight="1" x14ac:dyDescent="0.25">
      <c r="A86" s="938"/>
      <c r="B86" s="939"/>
      <c r="C86" s="940"/>
      <c r="D86" s="59"/>
      <c r="E86" s="185"/>
      <c r="F86" s="1187"/>
      <c r="G86" s="1248"/>
      <c r="H86" s="1189"/>
      <c r="I86" s="1191"/>
      <c r="J86" s="1209"/>
      <c r="K86" s="1189"/>
      <c r="L86" s="1191"/>
      <c r="M86" s="1209"/>
      <c r="N86" s="1189"/>
      <c r="O86" s="1188"/>
      <c r="P86" s="433" t="s">
        <v>105</v>
      </c>
      <c r="Q86" s="1416">
        <v>70</v>
      </c>
      <c r="R86" s="431"/>
      <c r="S86" s="1414">
        <v>70</v>
      </c>
      <c r="T86" s="250"/>
      <c r="U86" s="1414">
        <v>70</v>
      </c>
      <c r="V86" s="213"/>
      <c r="W86" s="1876"/>
    </row>
    <row r="87" spans="1:23" ht="27" customHeight="1" x14ac:dyDescent="0.25">
      <c r="A87" s="938"/>
      <c r="B87" s="939"/>
      <c r="C87" s="940"/>
      <c r="D87" s="59"/>
      <c r="E87" s="185"/>
      <c r="F87" s="1187" t="s">
        <v>367</v>
      </c>
      <c r="G87" s="1248">
        <v>48.2</v>
      </c>
      <c r="H87" s="1189">
        <f>+G87</f>
        <v>48.2</v>
      </c>
      <c r="I87" s="1191">
        <f>+H87-G87</f>
        <v>0</v>
      </c>
      <c r="J87" s="1209"/>
      <c r="K87" s="1189"/>
      <c r="L87" s="1191"/>
      <c r="M87" s="1209"/>
      <c r="N87" s="1189"/>
      <c r="O87" s="1188"/>
      <c r="P87" s="970" t="s">
        <v>393</v>
      </c>
      <c r="Q87" s="1415">
        <v>268</v>
      </c>
      <c r="R87" s="492"/>
      <c r="S87" s="373"/>
      <c r="T87" s="373"/>
      <c r="U87" s="197"/>
      <c r="V87" s="211"/>
      <c r="W87" s="1876"/>
    </row>
    <row r="88" spans="1:23" ht="16.399999999999999" customHeight="1" x14ac:dyDescent="0.25">
      <c r="A88" s="938"/>
      <c r="B88" s="939"/>
      <c r="C88" s="940"/>
      <c r="D88" s="59"/>
      <c r="E88" s="185"/>
      <c r="F88" s="1187"/>
      <c r="G88" s="1248"/>
      <c r="H88" s="1189"/>
      <c r="I88" s="1191"/>
      <c r="J88" s="1209"/>
      <c r="K88" s="1189"/>
      <c r="L88" s="1191"/>
      <c r="M88" s="1209"/>
      <c r="N88" s="1189"/>
      <c r="O88" s="1188"/>
      <c r="P88" s="417" t="s">
        <v>123</v>
      </c>
      <c r="Q88" s="537"/>
      <c r="R88" s="430"/>
      <c r="S88" s="249"/>
      <c r="T88" s="249"/>
      <c r="U88" s="262"/>
      <c r="V88" s="221"/>
      <c r="W88" s="1876"/>
    </row>
    <row r="89" spans="1:23" ht="28.5" customHeight="1" x14ac:dyDescent="0.25">
      <c r="A89" s="938"/>
      <c r="B89" s="939"/>
      <c r="C89" s="940"/>
      <c r="D89" s="59"/>
      <c r="E89" s="185"/>
      <c r="F89" s="1187"/>
      <c r="G89" s="1248"/>
      <c r="H89" s="1189"/>
      <c r="I89" s="1191"/>
      <c r="J89" s="1209"/>
      <c r="K89" s="1189"/>
      <c r="L89" s="1191"/>
      <c r="M89" s="1209"/>
      <c r="N89" s="1189"/>
      <c r="O89" s="1188"/>
      <c r="P89" s="942" t="s">
        <v>168</v>
      </c>
      <c r="Q89" s="1133">
        <v>281</v>
      </c>
      <c r="R89" s="743"/>
      <c r="S89" s="354"/>
      <c r="T89" s="354"/>
      <c r="U89" s="249"/>
      <c r="V89" s="212"/>
      <c r="W89" s="1876"/>
    </row>
    <row r="90" spans="1:23" ht="27.75" customHeight="1" x14ac:dyDescent="0.25">
      <c r="A90" s="938"/>
      <c r="B90" s="939"/>
      <c r="C90" s="940"/>
      <c r="D90" s="59"/>
      <c r="E90" s="185"/>
      <c r="F90" s="1187" t="s">
        <v>366</v>
      </c>
      <c r="G90" s="1248">
        <f>145-50.4</f>
        <v>94.6</v>
      </c>
      <c r="H90" s="1189">
        <f>+G90</f>
        <v>94.6</v>
      </c>
      <c r="I90" s="1191">
        <f>+H90-G90</f>
        <v>0</v>
      </c>
      <c r="J90" s="1209"/>
      <c r="K90" s="1189"/>
      <c r="L90" s="1191"/>
      <c r="M90" s="1209">
        <v>15</v>
      </c>
      <c r="N90" s="1189">
        <f>+M90</f>
        <v>15</v>
      </c>
      <c r="O90" s="1188">
        <f>+N90-M90</f>
        <v>0</v>
      </c>
      <c r="P90" s="433" t="s">
        <v>169</v>
      </c>
      <c r="Q90" s="539">
        <v>0.3</v>
      </c>
      <c r="R90" s="419"/>
      <c r="S90" s="251"/>
      <c r="T90" s="251"/>
      <c r="U90" s="251">
        <v>0.5</v>
      </c>
      <c r="V90" s="214"/>
      <c r="W90" s="1877"/>
    </row>
    <row r="91" spans="1:23" ht="21.65" customHeight="1" x14ac:dyDescent="0.25">
      <c r="A91" s="1705"/>
      <c r="B91" s="1749"/>
      <c r="C91" s="1745"/>
      <c r="D91" s="1712" t="s">
        <v>172</v>
      </c>
      <c r="E91" s="1780"/>
      <c r="F91" s="1183" t="s">
        <v>366</v>
      </c>
      <c r="G91" s="1253">
        <f>161.1-2.4</f>
        <v>158.69999999999999</v>
      </c>
      <c r="H91" s="1185">
        <f>+G91</f>
        <v>158.69999999999999</v>
      </c>
      <c r="I91" s="1217">
        <f>+H91-G91</f>
        <v>0</v>
      </c>
      <c r="J91" s="1242">
        <f>176.7-2.4</f>
        <v>174.3</v>
      </c>
      <c r="K91" s="1185">
        <f>+J91</f>
        <v>174.3</v>
      </c>
      <c r="L91" s="1217">
        <f>+K91-J91</f>
        <v>0</v>
      </c>
      <c r="M91" s="1242">
        <f>176.7-2.4</f>
        <v>174.3</v>
      </c>
      <c r="N91" s="1185">
        <f>+M91</f>
        <v>174.3</v>
      </c>
      <c r="O91" s="1184">
        <f>+N91-M91</f>
        <v>0</v>
      </c>
      <c r="P91" s="413" t="s">
        <v>90</v>
      </c>
      <c r="Q91" s="531">
        <v>185</v>
      </c>
      <c r="R91" s="495"/>
      <c r="S91" s="377">
        <v>198</v>
      </c>
      <c r="T91" s="377"/>
      <c r="U91" s="377">
        <v>198</v>
      </c>
      <c r="V91" s="393"/>
      <c r="W91" s="1875"/>
    </row>
    <row r="92" spans="1:23" ht="21.65" customHeight="1" x14ac:dyDescent="0.25">
      <c r="A92" s="1705"/>
      <c r="B92" s="1749"/>
      <c r="C92" s="1745"/>
      <c r="D92" s="1713"/>
      <c r="E92" s="1781"/>
      <c r="F92" s="1187" t="s">
        <v>366</v>
      </c>
      <c r="G92" s="1248"/>
      <c r="H92" s="1189"/>
      <c r="I92" s="1191"/>
      <c r="J92" s="1209">
        <v>18.600000000000001</v>
      </c>
      <c r="K92" s="1189">
        <f>+J92</f>
        <v>18.600000000000001</v>
      </c>
      <c r="L92" s="1191">
        <f>+K92-J92</f>
        <v>0</v>
      </c>
      <c r="M92" s="1209">
        <v>74.400000000000006</v>
      </c>
      <c r="N92" s="1189">
        <f>+M92</f>
        <v>74.400000000000006</v>
      </c>
      <c r="O92" s="1188">
        <f>+N92-M92</f>
        <v>0</v>
      </c>
      <c r="P92" s="969" t="s">
        <v>285</v>
      </c>
      <c r="Q92" s="533"/>
      <c r="R92" s="831"/>
      <c r="S92" s="265">
        <v>62</v>
      </c>
      <c r="T92" s="265"/>
      <c r="U92" s="265">
        <v>62</v>
      </c>
      <c r="V92" s="379"/>
      <c r="W92" s="1876"/>
    </row>
    <row r="93" spans="1:23" ht="28.5" customHeight="1" x14ac:dyDescent="0.25">
      <c r="A93" s="1705"/>
      <c r="B93" s="1749"/>
      <c r="C93" s="1745"/>
      <c r="D93" s="1713"/>
      <c r="E93" s="1781"/>
      <c r="F93" s="1187" t="s">
        <v>366</v>
      </c>
      <c r="G93" s="1189">
        <v>5.4</v>
      </c>
      <c r="H93" s="1189">
        <v>5.4</v>
      </c>
      <c r="I93" s="1191">
        <f>+H93-G93</f>
        <v>0</v>
      </c>
      <c r="J93" s="1189">
        <v>12.4</v>
      </c>
      <c r="K93" s="1189">
        <v>12.4</v>
      </c>
      <c r="L93" s="1191">
        <f>+K93-J93</f>
        <v>0</v>
      </c>
      <c r="M93" s="1189">
        <v>12.4</v>
      </c>
      <c r="N93" s="1189">
        <v>12.4</v>
      </c>
      <c r="O93" s="1190">
        <f>+N93-M93</f>
        <v>0</v>
      </c>
      <c r="P93" s="414" t="s">
        <v>439</v>
      </c>
      <c r="Q93" s="533">
        <v>4</v>
      </c>
      <c r="R93" s="831"/>
      <c r="S93" s="255">
        <v>4</v>
      </c>
      <c r="T93" s="255"/>
      <c r="U93" s="240">
        <v>4</v>
      </c>
      <c r="V93" s="149"/>
      <c r="W93" s="1876"/>
    </row>
    <row r="94" spans="1:23" ht="21.65" customHeight="1" x14ac:dyDescent="0.25">
      <c r="A94" s="1705"/>
      <c r="B94" s="1749"/>
      <c r="C94" s="1745"/>
      <c r="D94" s="1713"/>
      <c r="E94" s="1781"/>
      <c r="F94" s="1187" t="s">
        <v>366</v>
      </c>
      <c r="G94" s="1248"/>
      <c r="H94" s="1189"/>
      <c r="I94" s="1191"/>
      <c r="J94" s="1209">
        <v>231.2</v>
      </c>
      <c r="K94" s="1189">
        <f>+J94</f>
        <v>231.2</v>
      </c>
      <c r="L94" s="1191">
        <f>+K94-J94</f>
        <v>0</v>
      </c>
      <c r="M94" s="1209"/>
      <c r="N94" s="1189"/>
      <c r="O94" s="1190"/>
      <c r="P94" s="414" t="s">
        <v>286</v>
      </c>
      <c r="Q94" s="351"/>
      <c r="R94" s="202"/>
      <c r="S94" s="255">
        <v>62</v>
      </c>
      <c r="T94" s="255"/>
      <c r="U94" s="265"/>
      <c r="V94" s="225"/>
      <c r="W94" s="1876"/>
    </row>
    <row r="95" spans="1:23" ht="21.65" customHeight="1" x14ac:dyDescent="0.25">
      <c r="A95" s="1705"/>
      <c r="B95" s="1749"/>
      <c r="C95" s="1745"/>
      <c r="D95" s="1713"/>
      <c r="E95" s="1781"/>
      <c r="F95" s="1187" t="s">
        <v>366</v>
      </c>
      <c r="G95" s="1248"/>
      <c r="H95" s="1189"/>
      <c r="I95" s="1191"/>
      <c r="J95" s="1188">
        <v>12.1</v>
      </c>
      <c r="K95" s="1218">
        <f>+J95</f>
        <v>12.1</v>
      </c>
      <c r="L95" s="1191">
        <f>+K95-J95</f>
        <v>0</v>
      </c>
      <c r="M95" s="1209"/>
      <c r="N95" s="1189"/>
      <c r="O95" s="1188"/>
      <c r="P95" s="414" t="s">
        <v>287</v>
      </c>
      <c r="Q95" s="533"/>
      <c r="R95" s="831"/>
      <c r="S95" s="255">
        <v>1</v>
      </c>
      <c r="T95" s="255"/>
      <c r="U95" s="240"/>
      <c r="V95" s="149"/>
      <c r="W95" s="1876"/>
    </row>
    <row r="96" spans="1:23" ht="21" customHeight="1" x14ac:dyDescent="0.25">
      <c r="A96" s="1705"/>
      <c r="B96" s="1749"/>
      <c r="C96" s="1745"/>
      <c r="D96" s="1713"/>
      <c r="E96" s="1781"/>
      <c r="F96" s="1187" t="s">
        <v>366</v>
      </c>
      <c r="G96" s="1248">
        <v>24.2</v>
      </c>
      <c r="H96" s="1189">
        <f>+G96</f>
        <v>24.2</v>
      </c>
      <c r="I96" s="1191">
        <f>+H96-G96</f>
        <v>0</v>
      </c>
      <c r="J96" s="1188"/>
      <c r="K96" s="1218"/>
      <c r="L96" s="1191"/>
      <c r="M96" s="1209"/>
      <c r="N96" s="1189"/>
      <c r="O96" s="1188"/>
      <c r="P96" s="937" t="s">
        <v>328</v>
      </c>
      <c r="Q96" s="532">
        <v>1</v>
      </c>
      <c r="R96" s="832"/>
      <c r="S96" s="255"/>
      <c r="T96" s="255"/>
      <c r="U96" s="265"/>
      <c r="V96" s="225"/>
      <c r="W96" s="1876"/>
    </row>
    <row r="97" spans="1:23" ht="19.5" customHeight="1" x14ac:dyDescent="0.25">
      <c r="A97" s="1705"/>
      <c r="B97" s="1749"/>
      <c r="C97" s="1745"/>
      <c r="D97" s="1746"/>
      <c r="E97" s="1782"/>
      <c r="F97" s="1187" t="s">
        <v>366</v>
      </c>
      <c r="G97" s="1250"/>
      <c r="H97" s="1251"/>
      <c r="I97" s="1252"/>
      <c r="J97" s="1575">
        <v>12.1</v>
      </c>
      <c r="K97" s="1576">
        <f>+J97</f>
        <v>12.1</v>
      </c>
      <c r="L97" s="1577">
        <f>+K97-J97</f>
        <v>0</v>
      </c>
      <c r="M97" s="1578"/>
      <c r="N97" s="1251"/>
      <c r="O97" s="1219"/>
      <c r="P97" s="1288" t="s">
        <v>288</v>
      </c>
      <c r="Q97" s="1289"/>
      <c r="R97" s="1290"/>
      <c r="S97" s="1290">
        <v>1</v>
      </c>
      <c r="T97" s="1291"/>
      <c r="U97" s="1291"/>
      <c r="V97" s="1180"/>
      <c r="W97" s="1877"/>
    </row>
    <row r="98" spans="1:23" ht="27" customHeight="1" x14ac:dyDescent="0.25">
      <c r="A98" s="938"/>
      <c r="B98" s="949"/>
      <c r="C98" s="940"/>
      <c r="D98" s="1712" t="s">
        <v>143</v>
      </c>
      <c r="E98" s="957" t="s">
        <v>164</v>
      </c>
      <c r="F98" s="1183" t="s">
        <v>367</v>
      </c>
      <c r="G98" s="1253">
        <v>10</v>
      </c>
      <c r="H98" s="1185">
        <f>+G98</f>
        <v>10</v>
      </c>
      <c r="I98" s="1217">
        <f>+H98-G98</f>
        <v>0</v>
      </c>
      <c r="J98" s="1242"/>
      <c r="K98" s="1185"/>
      <c r="L98" s="1217"/>
      <c r="M98" s="1242"/>
      <c r="N98" s="1185"/>
      <c r="O98" s="1186"/>
      <c r="P98" s="438" t="s">
        <v>76</v>
      </c>
      <c r="Q98" s="531">
        <v>1</v>
      </c>
      <c r="R98" s="201"/>
      <c r="S98" s="377"/>
      <c r="T98" s="377"/>
      <c r="U98" s="239"/>
      <c r="V98" s="168"/>
      <c r="W98" s="168"/>
    </row>
    <row r="99" spans="1:23" ht="24.75" customHeight="1" x14ac:dyDescent="0.25">
      <c r="A99" s="938"/>
      <c r="B99" s="949"/>
      <c r="C99" s="940"/>
      <c r="D99" s="1746"/>
      <c r="E99" s="909" t="s">
        <v>386</v>
      </c>
      <c r="F99" s="1187" t="s">
        <v>366</v>
      </c>
      <c r="G99" s="1248"/>
      <c r="H99" s="1189"/>
      <c r="I99" s="1191"/>
      <c r="J99" s="1209">
        <v>84</v>
      </c>
      <c r="K99" s="1189">
        <f>+J99</f>
        <v>84</v>
      </c>
      <c r="L99" s="1191">
        <f>+K99-J99</f>
        <v>0</v>
      </c>
      <c r="M99" s="1209"/>
      <c r="N99" s="1189"/>
      <c r="O99" s="1190"/>
      <c r="P99" s="942" t="s">
        <v>263</v>
      </c>
      <c r="Q99" s="485"/>
      <c r="R99" s="485"/>
      <c r="S99" s="240">
        <v>1</v>
      </c>
      <c r="T99" s="240"/>
      <c r="U99" s="247"/>
      <c r="V99" s="209"/>
      <c r="W99" s="645"/>
    </row>
    <row r="100" spans="1:23" ht="17.5" customHeight="1" x14ac:dyDescent="0.25">
      <c r="A100" s="1305"/>
      <c r="B100" s="1311"/>
      <c r="C100" s="1306"/>
      <c r="D100" s="1304" t="s">
        <v>394</v>
      </c>
      <c r="E100" s="1310"/>
      <c r="F100" s="1183" t="s">
        <v>367</v>
      </c>
      <c r="G100" s="1253">
        <v>10</v>
      </c>
      <c r="H100" s="1185">
        <f>10</f>
        <v>10</v>
      </c>
      <c r="I100" s="1217">
        <f>+H100-G100</f>
        <v>0</v>
      </c>
      <c r="J100" s="1242"/>
      <c r="K100" s="1185"/>
      <c r="L100" s="1217"/>
      <c r="M100" s="1242"/>
      <c r="N100" s="1185"/>
      <c r="O100" s="1186"/>
      <c r="P100" s="435" t="s">
        <v>76</v>
      </c>
      <c r="Q100" s="350">
        <v>1</v>
      </c>
      <c r="R100" s="377"/>
      <c r="S100" s="377"/>
      <c r="T100" s="239"/>
      <c r="U100" s="377"/>
      <c r="V100" s="376"/>
      <c r="W100" s="1312"/>
    </row>
    <row r="101" spans="1:23" ht="95.5" customHeight="1" x14ac:dyDescent="0.25">
      <c r="A101" s="1322"/>
      <c r="B101" s="1324"/>
      <c r="C101" s="1323"/>
      <c r="D101" s="982" t="s">
        <v>355</v>
      </c>
      <c r="E101" s="913" t="s">
        <v>194</v>
      </c>
      <c r="F101" s="1471" t="s">
        <v>366</v>
      </c>
      <c r="G101" s="1472">
        <v>100</v>
      </c>
      <c r="H101" s="1473">
        <v>0</v>
      </c>
      <c r="I101" s="1492">
        <f>+H101-G101</f>
        <v>-100</v>
      </c>
      <c r="J101" s="1493">
        <v>100</v>
      </c>
      <c r="K101" s="1473">
        <f>+J101+50</f>
        <v>150</v>
      </c>
      <c r="L101" s="1492">
        <f>+K101-J101</f>
        <v>50</v>
      </c>
      <c r="M101" s="1571">
        <v>100</v>
      </c>
      <c r="N101" s="1572">
        <f>100+50</f>
        <v>150</v>
      </c>
      <c r="O101" s="1573">
        <f>+N101-M101</f>
        <v>50</v>
      </c>
      <c r="P101" s="1410" t="s">
        <v>356</v>
      </c>
      <c r="Q101" s="1494">
        <v>5</v>
      </c>
      <c r="R101" s="1495">
        <v>0</v>
      </c>
      <c r="S101" s="1496">
        <v>5</v>
      </c>
      <c r="T101" s="1497">
        <v>3</v>
      </c>
      <c r="U101" s="239">
        <v>5</v>
      </c>
      <c r="V101" s="1175"/>
      <c r="W101" s="1498" t="s">
        <v>447</v>
      </c>
    </row>
    <row r="102" spans="1:23" ht="13.5" customHeight="1" x14ac:dyDescent="0.25">
      <c r="A102" s="938"/>
      <c r="B102" s="949"/>
      <c r="C102" s="940"/>
      <c r="D102" s="1772"/>
      <c r="E102" s="1772"/>
      <c r="F102" s="146"/>
      <c r="G102" s="146"/>
      <c r="H102" s="146"/>
      <c r="I102" s="146"/>
      <c r="J102" s="146"/>
      <c r="K102" s="146"/>
      <c r="L102" s="146"/>
      <c r="M102" s="146"/>
      <c r="N102" s="146"/>
      <c r="O102" s="146"/>
      <c r="P102" s="847"/>
      <c r="Q102" s="231"/>
      <c r="R102" s="231"/>
      <c r="S102" s="231"/>
      <c r="T102" s="231"/>
      <c r="U102" s="231"/>
      <c r="V102" s="231"/>
      <c r="W102" s="171"/>
    </row>
    <row r="103" spans="1:23" ht="29.25" customHeight="1" x14ac:dyDescent="0.25">
      <c r="A103" s="938"/>
      <c r="B103" s="949"/>
      <c r="C103" s="940"/>
      <c r="D103" s="1712" t="s">
        <v>84</v>
      </c>
      <c r="E103" s="153"/>
      <c r="F103" s="115" t="s">
        <v>366</v>
      </c>
      <c r="G103" s="525">
        <v>10</v>
      </c>
      <c r="H103" s="838">
        <f>+G103</f>
        <v>10</v>
      </c>
      <c r="I103" s="578">
        <f>+H103-G103</f>
        <v>0</v>
      </c>
      <c r="J103" s="838">
        <v>10</v>
      </c>
      <c r="K103" s="308">
        <v>10</v>
      </c>
      <c r="L103" s="578">
        <f>+K103-J103</f>
        <v>0</v>
      </c>
      <c r="M103" s="838">
        <v>10</v>
      </c>
      <c r="N103" s="308">
        <f>+M103</f>
        <v>10</v>
      </c>
      <c r="O103" s="56">
        <f>+N103-M103</f>
        <v>0</v>
      </c>
      <c r="P103" s="1852" t="s">
        <v>231</v>
      </c>
      <c r="Q103" s="489">
        <v>1</v>
      </c>
      <c r="R103" s="232"/>
      <c r="S103" s="252">
        <v>1</v>
      </c>
      <c r="T103" s="252"/>
      <c r="U103" s="252">
        <v>1</v>
      </c>
      <c r="V103" s="172"/>
      <c r="W103" s="1141"/>
    </row>
    <row r="104" spans="1:23" ht="11.25" customHeight="1" x14ac:dyDescent="0.25">
      <c r="A104" s="938"/>
      <c r="B104" s="949"/>
      <c r="C104" s="85"/>
      <c r="D104" s="1746"/>
      <c r="E104" s="160"/>
      <c r="F104" s="1327"/>
      <c r="G104" s="504"/>
      <c r="H104" s="757"/>
      <c r="I104" s="382"/>
      <c r="J104" s="757"/>
      <c r="K104" s="300"/>
      <c r="L104" s="382"/>
      <c r="M104" s="757"/>
      <c r="N104" s="300"/>
      <c r="O104" s="55"/>
      <c r="P104" s="1856"/>
      <c r="Q104" s="363"/>
      <c r="R104" s="230"/>
      <c r="S104" s="242"/>
      <c r="T104" s="242"/>
      <c r="U104" s="242"/>
      <c r="V104" s="170"/>
      <c r="W104" s="170"/>
    </row>
    <row r="105" spans="1:23" ht="27" customHeight="1" x14ac:dyDescent="0.25">
      <c r="A105" s="938"/>
      <c r="B105" s="949"/>
      <c r="C105" s="85"/>
      <c r="D105" s="1712" t="s">
        <v>68</v>
      </c>
      <c r="E105" s="915" t="s">
        <v>225</v>
      </c>
      <c r="F105" s="1183" t="s">
        <v>366</v>
      </c>
      <c r="G105" s="1209">
        <f>835+16.3</f>
        <v>851.3</v>
      </c>
      <c r="H105" s="1209">
        <f>835+16.3</f>
        <v>851.3</v>
      </c>
      <c r="I105" s="1191">
        <f>+H105-G105</f>
        <v>0</v>
      </c>
      <c r="J105" s="1209">
        <v>870.9</v>
      </c>
      <c r="K105" s="1189">
        <v>870.9</v>
      </c>
      <c r="L105" s="1191">
        <f>+K105-J105</f>
        <v>0</v>
      </c>
      <c r="M105" s="1209">
        <v>865.2</v>
      </c>
      <c r="N105" s="1189">
        <f>+M105</f>
        <v>865.2</v>
      </c>
      <c r="O105" s="1190">
        <f>+N105-M105</f>
        <v>0</v>
      </c>
      <c r="P105" s="659" t="s">
        <v>436</v>
      </c>
      <c r="Q105" s="660">
        <v>21</v>
      </c>
      <c r="R105" s="661"/>
      <c r="S105" s="662">
        <v>21</v>
      </c>
      <c r="T105" s="662"/>
      <c r="U105" s="1338">
        <v>21</v>
      </c>
      <c r="V105" s="1313"/>
      <c r="W105" s="1903" t="s">
        <v>448</v>
      </c>
    </row>
    <row r="106" spans="1:23" ht="15.75" customHeight="1" x14ac:dyDescent="0.25">
      <c r="A106" s="938"/>
      <c r="B106" s="949"/>
      <c r="C106" s="145"/>
      <c r="D106" s="1713"/>
      <c r="E106" s="194" t="s">
        <v>164</v>
      </c>
      <c r="F106" s="1187" t="s">
        <v>377</v>
      </c>
      <c r="G106" s="1248">
        <v>7.7</v>
      </c>
      <c r="H106" s="1209">
        <f>+G106</f>
        <v>7.7</v>
      </c>
      <c r="I106" s="1191">
        <f>+H106-G106</f>
        <v>0</v>
      </c>
      <c r="J106" s="1209">
        <v>7.7</v>
      </c>
      <c r="K106" s="1189">
        <v>7.7</v>
      </c>
      <c r="L106" s="1191">
        <f>+K106-J106</f>
        <v>0</v>
      </c>
      <c r="M106" s="1209">
        <v>7.7</v>
      </c>
      <c r="N106" s="1189">
        <f>+M106</f>
        <v>7.7</v>
      </c>
      <c r="O106" s="1190">
        <f>+N106-M106</f>
        <v>0</v>
      </c>
      <c r="P106" s="1309" t="s">
        <v>437</v>
      </c>
      <c r="Q106" s="545">
        <v>98</v>
      </c>
      <c r="R106" s="428"/>
      <c r="S106" s="388">
        <v>98</v>
      </c>
      <c r="T106" s="388"/>
      <c r="U106" s="1339">
        <v>98</v>
      </c>
      <c r="V106" s="1314"/>
      <c r="W106" s="1904"/>
    </row>
    <row r="107" spans="1:23" ht="15.75" customHeight="1" x14ac:dyDescent="0.25">
      <c r="A107" s="938"/>
      <c r="B107" s="939"/>
      <c r="C107" s="145"/>
      <c r="D107" s="1713"/>
      <c r="E107" s="914"/>
      <c r="F107" s="1187" t="s">
        <v>367</v>
      </c>
      <c r="G107" s="1248"/>
      <c r="H107" s="1209"/>
      <c r="I107" s="1191"/>
      <c r="J107" s="1209"/>
      <c r="K107" s="1189"/>
      <c r="L107" s="1191"/>
      <c r="M107" s="1209"/>
      <c r="N107" s="1189"/>
      <c r="O107" s="1190"/>
      <c r="P107" s="440" t="s">
        <v>87</v>
      </c>
      <c r="Q107" s="546">
        <v>6</v>
      </c>
      <c r="R107" s="488"/>
      <c r="S107" s="390">
        <v>6</v>
      </c>
      <c r="T107" s="390"/>
      <c r="U107" s="390">
        <v>6</v>
      </c>
      <c r="V107" s="1132"/>
      <c r="W107" s="1904"/>
    </row>
    <row r="108" spans="1:23" ht="15.75" customHeight="1" x14ac:dyDescent="0.25">
      <c r="A108" s="938"/>
      <c r="B108" s="949"/>
      <c r="C108" s="145"/>
      <c r="D108" s="1713"/>
      <c r="E108" s="914"/>
      <c r="F108" s="1187"/>
      <c r="G108" s="1248"/>
      <c r="H108" s="1209"/>
      <c r="I108" s="1191"/>
      <c r="J108" s="1209"/>
      <c r="K108" s="1189"/>
      <c r="L108" s="1191"/>
      <c r="M108" s="1209"/>
      <c r="N108" s="1189"/>
      <c r="O108" s="1190"/>
      <c r="P108" s="1308" t="s">
        <v>125</v>
      </c>
      <c r="Q108" s="1418">
        <v>40</v>
      </c>
      <c r="R108" s="488"/>
      <c r="S108" s="1469">
        <v>40</v>
      </c>
      <c r="T108" s="390"/>
      <c r="U108" s="390">
        <v>40</v>
      </c>
      <c r="V108" s="1132"/>
      <c r="W108" s="1904"/>
    </row>
    <row r="109" spans="1:23" ht="15.75" customHeight="1" x14ac:dyDescent="0.25">
      <c r="A109" s="938"/>
      <c r="B109" s="949"/>
      <c r="C109" s="145"/>
      <c r="D109" s="1713"/>
      <c r="E109" s="914"/>
      <c r="F109" s="1187"/>
      <c r="G109" s="1248"/>
      <c r="H109" s="1209"/>
      <c r="I109" s="1191"/>
      <c r="J109" s="1209"/>
      <c r="K109" s="1189"/>
      <c r="L109" s="1191"/>
      <c r="M109" s="1209"/>
      <c r="N109" s="1189"/>
      <c r="O109" s="1190"/>
      <c r="P109" s="440" t="s">
        <v>395</v>
      </c>
      <c r="Q109" s="1419">
        <v>10</v>
      </c>
      <c r="R109" s="429"/>
      <c r="S109" s="1470">
        <v>10</v>
      </c>
      <c r="T109" s="253"/>
      <c r="U109" s="253">
        <v>10</v>
      </c>
      <c r="V109" s="216"/>
      <c r="W109" s="1904"/>
    </row>
    <row r="110" spans="1:23" ht="28" customHeight="1" x14ac:dyDescent="0.25">
      <c r="A110" s="938"/>
      <c r="B110" s="949"/>
      <c r="C110" s="145"/>
      <c r="D110" s="1713"/>
      <c r="E110" s="914"/>
      <c r="F110" s="1187"/>
      <c r="G110" s="1248"/>
      <c r="H110" s="1209"/>
      <c r="I110" s="1191"/>
      <c r="J110" s="1209"/>
      <c r="K110" s="1189"/>
      <c r="L110" s="1191"/>
      <c r="M110" s="1209"/>
      <c r="N110" s="1189"/>
      <c r="O110" s="1190"/>
      <c r="P110" s="1307" t="s">
        <v>396</v>
      </c>
      <c r="Q110" s="535">
        <v>1</v>
      </c>
      <c r="R110" s="427"/>
      <c r="S110" s="197">
        <v>1</v>
      </c>
      <c r="T110" s="373"/>
      <c r="U110" s="299">
        <v>1</v>
      </c>
      <c r="V110" s="211"/>
      <c r="W110" s="1904"/>
    </row>
    <row r="111" spans="1:23" ht="17.5" customHeight="1" x14ac:dyDescent="0.25">
      <c r="A111" s="938"/>
      <c r="B111" s="949"/>
      <c r="C111" s="145"/>
      <c r="D111" s="950"/>
      <c r="E111" s="914"/>
      <c r="F111" s="1187"/>
      <c r="G111" s="1248"/>
      <c r="H111" s="1209"/>
      <c r="I111" s="1191"/>
      <c r="J111" s="1209"/>
      <c r="K111" s="1189"/>
      <c r="L111" s="1191"/>
      <c r="M111" s="1209"/>
      <c r="N111" s="1189"/>
      <c r="O111" s="1190"/>
      <c r="P111" s="1340" t="s">
        <v>431</v>
      </c>
      <c r="Q111" s="384">
        <v>1</v>
      </c>
      <c r="R111" s="1316"/>
      <c r="S111" s="1293"/>
      <c r="T111" s="1294"/>
      <c r="U111" s="1293"/>
      <c r="V111" s="1295"/>
      <c r="W111" s="1904"/>
    </row>
    <row r="112" spans="1:23" ht="15.65" customHeight="1" x14ac:dyDescent="0.25">
      <c r="A112" s="938"/>
      <c r="B112" s="949"/>
      <c r="C112" s="145"/>
      <c r="D112" s="930"/>
      <c r="E112" s="1502"/>
      <c r="F112" s="1228"/>
      <c r="G112" s="1579"/>
      <c r="H112" s="1580"/>
      <c r="I112" s="1230"/>
      <c r="J112" s="1580"/>
      <c r="K112" s="1229"/>
      <c r="L112" s="1230"/>
      <c r="M112" s="1580"/>
      <c r="N112" s="1229"/>
      <c r="O112" s="1226"/>
      <c r="P112" s="414" t="s">
        <v>235</v>
      </c>
      <c r="Q112" s="1420">
        <v>3</v>
      </c>
      <c r="R112" s="492"/>
      <c r="S112" s="808"/>
      <c r="T112" s="808"/>
      <c r="U112" s="808"/>
      <c r="V112" s="809"/>
      <c r="W112" s="1904"/>
    </row>
    <row r="113" spans="1:23" ht="16.5" customHeight="1" x14ac:dyDescent="0.25">
      <c r="A113" s="1405"/>
      <c r="B113" s="1408"/>
      <c r="C113" s="145"/>
      <c r="D113" s="1404"/>
      <c r="E113" s="1503"/>
      <c r="F113" s="1245"/>
      <c r="G113" s="1579"/>
      <c r="H113" s="1580"/>
      <c r="I113" s="1230"/>
      <c r="J113" s="1580"/>
      <c r="K113" s="1229"/>
      <c r="L113" s="1230"/>
      <c r="M113" s="1581"/>
      <c r="N113" s="1189"/>
      <c r="O113" s="1190"/>
      <c r="P113" s="1501" t="s">
        <v>444</v>
      </c>
      <c r="Q113" s="1491"/>
      <c r="R113" s="1491">
        <v>1</v>
      </c>
      <c r="S113" s="808"/>
      <c r="T113" s="1499"/>
      <c r="U113" s="1500"/>
      <c r="V113" s="809"/>
      <c r="W113" s="1904"/>
    </row>
    <row r="114" spans="1:23" ht="28" customHeight="1" x14ac:dyDescent="0.25">
      <c r="A114" s="1405"/>
      <c r="B114" s="1408"/>
      <c r="C114" s="145"/>
      <c r="D114" s="1404"/>
      <c r="E114" s="1502"/>
      <c r="F114" s="1245"/>
      <c r="G114" s="1579"/>
      <c r="H114" s="1580"/>
      <c r="I114" s="1230"/>
      <c r="J114" s="1580"/>
      <c r="K114" s="1229"/>
      <c r="L114" s="1230"/>
      <c r="M114" s="1581"/>
      <c r="N114" s="1232"/>
      <c r="O114" s="1582"/>
      <c r="P114" s="1501" t="s">
        <v>445</v>
      </c>
      <c r="Q114" s="1491"/>
      <c r="R114" s="1491">
        <v>100</v>
      </c>
      <c r="S114" s="1499"/>
      <c r="T114" s="808"/>
      <c r="U114" s="1500"/>
      <c r="V114" s="809"/>
      <c r="W114" s="1904"/>
    </row>
    <row r="115" spans="1:23" ht="26.15" customHeight="1" x14ac:dyDescent="0.25">
      <c r="A115" s="938"/>
      <c r="B115" s="949"/>
      <c r="C115" s="145"/>
      <c r="D115" s="930"/>
      <c r="E115" s="916"/>
      <c r="F115" s="1583" t="s">
        <v>366</v>
      </c>
      <c r="G115" s="1581"/>
      <c r="H115" s="1231"/>
      <c r="I115" s="1233"/>
      <c r="J115" s="1231"/>
      <c r="K115" s="1232"/>
      <c r="L115" s="1233"/>
      <c r="M115" s="1209">
        <v>5</v>
      </c>
      <c r="N115" s="1189">
        <f>+M115</f>
        <v>5</v>
      </c>
      <c r="O115" s="1233">
        <f>+N115-M115</f>
        <v>0</v>
      </c>
      <c r="P115" s="968" t="s">
        <v>397</v>
      </c>
      <c r="Q115" s="492"/>
      <c r="R115" s="492"/>
      <c r="S115" s="373"/>
      <c r="T115" s="197"/>
      <c r="U115" s="248">
        <v>5</v>
      </c>
      <c r="V115" s="210"/>
      <c r="W115" s="1904"/>
    </row>
    <row r="116" spans="1:23" ht="26.9" customHeight="1" x14ac:dyDescent="0.25">
      <c r="A116" s="938"/>
      <c r="B116" s="949"/>
      <c r="C116" s="145"/>
      <c r="D116" s="930"/>
      <c r="E116" s="916"/>
      <c r="F116" s="1583" t="s">
        <v>366</v>
      </c>
      <c r="G116" s="1248"/>
      <c r="H116" s="1209"/>
      <c r="I116" s="1191"/>
      <c r="J116" s="1209"/>
      <c r="K116" s="1189"/>
      <c r="L116" s="1191"/>
      <c r="M116" s="1231">
        <v>5</v>
      </c>
      <c r="N116" s="1232">
        <f>+M116</f>
        <v>5</v>
      </c>
      <c r="O116" s="1584">
        <f>+N116-M116</f>
        <v>0</v>
      </c>
      <c r="P116" s="414" t="s">
        <v>294</v>
      </c>
      <c r="Q116" s="492"/>
      <c r="R116" s="492"/>
      <c r="S116" s="373"/>
      <c r="T116" s="373"/>
      <c r="U116" s="373">
        <v>5</v>
      </c>
      <c r="V116" s="386"/>
      <c r="W116" s="1904"/>
    </row>
    <row r="117" spans="1:23" ht="26.9" customHeight="1" x14ac:dyDescent="0.25">
      <c r="A117" s="938"/>
      <c r="B117" s="949"/>
      <c r="C117" s="145"/>
      <c r="D117" s="930"/>
      <c r="E117" s="916"/>
      <c r="F117" s="1583" t="s">
        <v>366</v>
      </c>
      <c r="G117" s="1581"/>
      <c r="H117" s="1231"/>
      <c r="I117" s="1233"/>
      <c r="J117" s="1231">
        <v>9</v>
      </c>
      <c r="K117" s="1232">
        <v>9</v>
      </c>
      <c r="L117" s="1233">
        <f>+K117-J117</f>
        <v>0</v>
      </c>
      <c r="M117" s="1231"/>
      <c r="N117" s="1232"/>
      <c r="O117" s="1584"/>
      <c r="P117" s="553" t="s">
        <v>398</v>
      </c>
      <c r="Q117" s="492"/>
      <c r="R117" s="373"/>
      <c r="S117" s="373">
        <v>100</v>
      </c>
      <c r="T117" s="373"/>
      <c r="U117" s="373"/>
      <c r="V117" s="386"/>
      <c r="W117" s="1904"/>
    </row>
    <row r="118" spans="1:23" ht="25.5" customHeight="1" x14ac:dyDescent="0.25">
      <c r="A118" s="938"/>
      <c r="B118" s="949"/>
      <c r="C118" s="145"/>
      <c r="D118" s="930"/>
      <c r="E118" s="916"/>
      <c r="F118" s="1234" t="s">
        <v>366</v>
      </c>
      <c r="G118" s="1248"/>
      <c r="H118" s="1209"/>
      <c r="I118" s="1230"/>
      <c r="J118" s="1209">
        <v>55.1</v>
      </c>
      <c r="K118" s="1189">
        <v>55.1</v>
      </c>
      <c r="L118" s="1230">
        <f>+K118-J118</f>
        <v>0</v>
      </c>
      <c r="M118" s="1209"/>
      <c r="N118" s="1189"/>
      <c r="O118" s="1190"/>
      <c r="P118" s="557" t="s">
        <v>399</v>
      </c>
      <c r="Q118" s="427"/>
      <c r="R118" s="197"/>
      <c r="S118" s="299">
        <v>100</v>
      </c>
      <c r="T118" s="197"/>
      <c r="U118" s="197"/>
      <c r="V118" s="211"/>
      <c r="W118" s="1904"/>
    </row>
    <row r="119" spans="1:23" ht="25.5" customHeight="1" x14ac:dyDescent="0.25">
      <c r="A119" s="938"/>
      <c r="B119" s="949"/>
      <c r="C119" s="145"/>
      <c r="D119" s="954"/>
      <c r="E119" s="917"/>
      <c r="F119" s="1583" t="s">
        <v>366</v>
      </c>
      <c r="G119" s="1581"/>
      <c r="H119" s="1231"/>
      <c r="I119" s="1233"/>
      <c r="J119" s="1231"/>
      <c r="K119" s="1232"/>
      <c r="L119" s="1233"/>
      <c r="M119" s="1231">
        <v>59.8</v>
      </c>
      <c r="N119" s="1232">
        <f>+M119</f>
        <v>59.8</v>
      </c>
      <c r="O119" s="1584">
        <f>+N119-M119</f>
        <v>0</v>
      </c>
      <c r="P119" s="554" t="s">
        <v>291</v>
      </c>
      <c r="Q119" s="1129"/>
      <c r="R119" s="373"/>
      <c r="S119" s="373"/>
      <c r="T119" s="373"/>
      <c r="U119" s="1413">
        <v>100</v>
      </c>
      <c r="V119" s="386"/>
      <c r="W119" s="1904"/>
    </row>
    <row r="120" spans="1:23" ht="16.399999999999999" customHeight="1" x14ac:dyDescent="0.25">
      <c r="A120" s="938"/>
      <c r="B120" s="949"/>
      <c r="C120" s="145"/>
      <c r="D120" s="1777" t="s">
        <v>248</v>
      </c>
      <c r="E120" s="166" t="s">
        <v>194</v>
      </c>
      <c r="F120" s="1235"/>
      <c r="G120" s="1585"/>
      <c r="H120" s="1586"/>
      <c r="I120" s="1582"/>
      <c r="J120" s="1586"/>
      <c r="K120" s="1237"/>
      <c r="L120" s="1582"/>
      <c r="M120" s="1586"/>
      <c r="N120" s="1237"/>
      <c r="O120" s="1238"/>
      <c r="P120" s="1857"/>
      <c r="Q120" s="1053"/>
      <c r="R120" s="793"/>
      <c r="S120" s="793"/>
      <c r="T120" s="793"/>
      <c r="U120" s="793"/>
      <c r="V120" s="218"/>
      <c r="W120" s="1904"/>
    </row>
    <row r="121" spans="1:23" ht="16.399999999999999" customHeight="1" x14ac:dyDescent="0.25">
      <c r="A121" s="938"/>
      <c r="B121" s="949"/>
      <c r="C121" s="145"/>
      <c r="D121" s="1778"/>
      <c r="E121" s="163" t="s">
        <v>164</v>
      </c>
      <c r="F121" s="1195"/>
      <c r="G121" s="1216"/>
      <c r="H121" s="1192"/>
      <c r="I121" s="1194"/>
      <c r="J121" s="1192"/>
      <c r="K121" s="1193"/>
      <c r="L121" s="1194"/>
      <c r="M121" s="1192"/>
      <c r="N121" s="1193"/>
      <c r="O121" s="1197"/>
      <c r="P121" s="1861"/>
      <c r="Q121" s="1055"/>
      <c r="R121" s="795"/>
      <c r="S121" s="796"/>
      <c r="T121" s="796"/>
      <c r="U121" s="796"/>
      <c r="V121" s="1131"/>
      <c r="W121" s="1905"/>
    </row>
    <row r="122" spans="1:23" ht="15.75" customHeight="1" x14ac:dyDescent="0.25">
      <c r="A122" s="1705"/>
      <c r="B122" s="1706"/>
      <c r="C122" s="145"/>
      <c r="D122" s="1712" t="s">
        <v>139</v>
      </c>
      <c r="E122" s="1771"/>
      <c r="F122" s="1187" t="s">
        <v>366</v>
      </c>
      <c r="G122" s="1248">
        <v>25.4</v>
      </c>
      <c r="H122" s="1209">
        <v>25.4</v>
      </c>
      <c r="I122" s="1191">
        <f t="shared" ref="I122:I127" si="6">+H122-G122</f>
        <v>0</v>
      </c>
      <c r="J122" s="1209">
        <v>26</v>
      </c>
      <c r="K122" s="1189">
        <v>26</v>
      </c>
      <c r="L122" s="1191">
        <f>+K122-J122</f>
        <v>0</v>
      </c>
      <c r="M122" s="1209">
        <v>26.5</v>
      </c>
      <c r="N122" s="1189">
        <f>+M122</f>
        <v>26.5</v>
      </c>
      <c r="O122" s="1190">
        <f>+N122-M122</f>
        <v>0</v>
      </c>
      <c r="P122" s="952" t="s">
        <v>99</v>
      </c>
      <c r="Q122" s="201">
        <v>2</v>
      </c>
      <c r="R122" s="239"/>
      <c r="S122" s="240">
        <v>2</v>
      </c>
      <c r="T122" s="240"/>
      <c r="U122" s="239">
        <v>2</v>
      </c>
      <c r="V122" s="168"/>
      <c r="W122" s="60"/>
    </row>
    <row r="123" spans="1:23" ht="15.75" customHeight="1" x14ac:dyDescent="0.25">
      <c r="A123" s="1705"/>
      <c r="B123" s="1706"/>
      <c r="C123" s="145"/>
      <c r="D123" s="1713"/>
      <c r="E123" s="1771"/>
      <c r="F123" s="1239" t="s">
        <v>378</v>
      </c>
      <c r="G123" s="1248">
        <v>1.4</v>
      </c>
      <c r="H123" s="1209">
        <v>1.4</v>
      </c>
      <c r="I123" s="1191">
        <f t="shared" si="6"/>
        <v>0</v>
      </c>
      <c r="J123" s="1209"/>
      <c r="K123" s="1189"/>
      <c r="L123" s="1191"/>
      <c r="M123" s="1209"/>
      <c r="N123" s="1189"/>
      <c r="O123" s="1190"/>
      <c r="P123" s="969"/>
      <c r="Q123" s="1130"/>
      <c r="R123" s="241"/>
      <c r="S123" s="241"/>
      <c r="T123" s="241"/>
      <c r="U123" s="241"/>
      <c r="V123" s="169"/>
      <c r="W123" s="103"/>
    </row>
    <row r="124" spans="1:23" ht="15.75" customHeight="1" x14ac:dyDescent="0.25">
      <c r="A124" s="1705"/>
      <c r="B124" s="1706"/>
      <c r="C124" s="145"/>
      <c r="D124" s="1746"/>
      <c r="E124" s="1771"/>
      <c r="F124" s="1187" t="s">
        <v>377</v>
      </c>
      <c r="G124" s="1248">
        <v>5</v>
      </c>
      <c r="H124" s="1209">
        <v>5</v>
      </c>
      <c r="I124" s="1191">
        <f t="shared" si="6"/>
        <v>0</v>
      </c>
      <c r="J124" s="1209">
        <v>5</v>
      </c>
      <c r="K124" s="1189">
        <v>5</v>
      </c>
      <c r="L124" s="1191">
        <f>+K124-J124</f>
        <v>0</v>
      </c>
      <c r="M124" s="1209">
        <v>5</v>
      </c>
      <c r="N124" s="1189">
        <f>+M124</f>
        <v>5</v>
      </c>
      <c r="O124" s="1190">
        <f>+N124-M124</f>
        <v>0</v>
      </c>
      <c r="P124" s="415" t="s">
        <v>437</v>
      </c>
      <c r="Q124" s="202">
        <v>5</v>
      </c>
      <c r="R124" s="242"/>
      <c r="S124" s="247">
        <v>5</v>
      </c>
      <c r="T124" s="247"/>
      <c r="U124" s="247">
        <v>5</v>
      </c>
      <c r="V124" s="209"/>
      <c r="W124" s="645"/>
    </row>
    <row r="125" spans="1:23" ht="15" customHeight="1" x14ac:dyDescent="0.25">
      <c r="A125" s="938"/>
      <c r="B125" s="949"/>
      <c r="C125" s="145"/>
      <c r="D125" s="1713" t="s">
        <v>55</v>
      </c>
      <c r="E125" s="829"/>
      <c r="F125" s="1183" t="s">
        <v>377</v>
      </c>
      <c r="G125" s="1253">
        <v>21</v>
      </c>
      <c r="H125" s="1242">
        <v>21</v>
      </c>
      <c r="I125" s="1217">
        <f t="shared" si="6"/>
        <v>0</v>
      </c>
      <c r="J125" s="1242">
        <v>21</v>
      </c>
      <c r="K125" s="1185">
        <v>21</v>
      </c>
      <c r="L125" s="1217">
        <f>+K125-J125</f>
        <v>0</v>
      </c>
      <c r="M125" s="1242">
        <v>21</v>
      </c>
      <c r="N125" s="1185">
        <f>+M125</f>
        <v>21</v>
      </c>
      <c r="O125" s="1186">
        <f>+N125-M125</f>
        <v>0</v>
      </c>
      <c r="P125" s="937" t="s">
        <v>436</v>
      </c>
      <c r="Q125" s="350">
        <v>2</v>
      </c>
      <c r="R125" s="201"/>
      <c r="S125" s="239">
        <v>2</v>
      </c>
      <c r="T125" s="239"/>
      <c r="U125" s="239">
        <v>2</v>
      </c>
      <c r="V125" s="168"/>
      <c r="W125" s="168"/>
    </row>
    <row r="126" spans="1:23" ht="15" customHeight="1" x14ac:dyDescent="0.25">
      <c r="A126" s="938"/>
      <c r="B126" s="949"/>
      <c r="C126" s="85"/>
      <c r="D126" s="1746"/>
      <c r="E126" s="160"/>
      <c r="F126" s="1227" t="s">
        <v>378</v>
      </c>
      <c r="G126" s="1216">
        <v>1.3</v>
      </c>
      <c r="H126" s="1192">
        <v>1.3</v>
      </c>
      <c r="I126" s="1194">
        <f t="shared" si="6"/>
        <v>0</v>
      </c>
      <c r="J126" s="1192"/>
      <c r="K126" s="1193"/>
      <c r="L126" s="1194"/>
      <c r="M126" s="1192"/>
      <c r="N126" s="1193"/>
      <c r="O126" s="1197"/>
      <c r="P126" s="953"/>
      <c r="Q126" s="363"/>
      <c r="R126" s="230"/>
      <c r="S126" s="242"/>
      <c r="T126" s="242"/>
      <c r="U126" s="242"/>
      <c r="V126" s="170"/>
      <c r="W126" s="170"/>
    </row>
    <row r="127" spans="1:23" ht="28.4" customHeight="1" x14ac:dyDescent="0.25">
      <c r="A127" s="938"/>
      <c r="B127" s="949"/>
      <c r="C127" s="85"/>
      <c r="D127" s="930" t="s">
        <v>185</v>
      </c>
      <c r="E127" s="1767" t="s">
        <v>225</v>
      </c>
      <c r="F127" s="1504" t="s">
        <v>366</v>
      </c>
      <c r="G127" s="1476">
        <f>135-85</f>
        <v>50</v>
      </c>
      <c r="H127" s="1480">
        <f>135-85-50</f>
        <v>0</v>
      </c>
      <c r="I127" s="1478">
        <f t="shared" si="6"/>
        <v>-50</v>
      </c>
      <c r="J127" s="505">
        <f>155+60</f>
        <v>215</v>
      </c>
      <c r="K127" s="307">
        <f>155+60</f>
        <v>215</v>
      </c>
      <c r="L127" s="381">
        <f>+K127-J127</f>
        <v>0</v>
      </c>
      <c r="M127" s="505">
        <v>60</v>
      </c>
      <c r="N127" s="307">
        <f>+M127</f>
        <v>60</v>
      </c>
      <c r="O127" s="113">
        <f>+N127-M127</f>
        <v>0</v>
      </c>
      <c r="P127" s="443" t="s">
        <v>295</v>
      </c>
      <c r="Q127" s="1505">
        <v>1</v>
      </c>
      <c r="R127" s="1506">
        <v>0</v>
      </c>
      <c r="S127" s="1507">
        <v>2</v>
      </c>
      <c r="T127" s="1507">
        <v>3</v>
      </c>
      <c r="U127" s="566">
        <v>2</v>
      </c>
      <c r="V127" s="1128"/>
      <c r="W127" s="1906" t="s">
        <v>451</v>
      </c>
    </row>
    <row r="128" spans="1:23" ht="28.5" customHeight="1" x14ac:dyDescent="0.25">
      <c r="A128" s="938"/>
      <c r="B128" s="949"/>
      <c r="C128" s="940"/>
      <c r="D128" s="944"/>
      <c r="E128" s="1768"/>
      <c r="F128" s="1412"/>
      <c r="G128" s="380"/>
      <c r="H128" s="1508"/>
      <c r="I128" s="1509"/>
      <c r="J128" s="505"/>
      <c r="K128" s="307"/>
      <c r="L128" s="381"/>
      <c r="M128" s="505"/>
      <c r="N128" s="307"/>
      <c r="O128" s="113"/>
      <c r="P128" s="414" t="s">
        <v>233</v>
      </c>
      <c r="Q128" s="568"/>
      <c r="R128" s="418"/>
      <c r="S128" s="257"/>
      <c r="T128" s="257"/>
      <c r="U128" s="257"/>
      <c r="V128" s="178"/>
      <c r="W128" s="1909"/>
    </row>
    <row r="129" spans="1:25" ht="87" customHeight="1" x14ac:dyDescent="0.25">
      <c r="A129" s="938"/>
      <c r="B129" s="949"/>
      <c r="C129" s="85"/>
      <c r="D129" s="930"/>
      <c r="E129" s="980"/>
      <c r="F129" s="1510" t="s">
        <v>367</v>
      </c>
      <c r="G129" s="1511">
        <v>77.5</v>
      </c>
      <c r="H129" s="1512">
        <f>77.5-67.5</f>
        <v>10</v>
      </c>
      <c r="I129" s="1513">
        <f>+H129-G129</f>
        <v>-67.5</v>
      </c>
      <c r="J129" s="1512"/>
      <c r="K129" s="1514">
        <v>117.5</v>
      </c>
      <c r="L129" s="1513">
        <f>+K129</f>
        <v>117.5</v>
      </c>
      <c r="M129" s="757"/>
      <c r="N129" s="300"/>
      <c r="O129" s="55"/>
      <c r="P129" s="432" t="s">
        <v>184</v>
      </c>
      <c r="Q129" s="1515">
        <v>1</v>
      </c>
      <c r="R129" s="1516">
        <v>0</v>
      </c>
      <c r="S129" s="258"/>
      <c r="T129" s="1315">
        <v>1</v>
      </c>
      <c r="U129" s="258"/>
      <c r="V129" s="175"/>
      <c r="W129" s="1907"/>
    </row>
    <row r="130" spans="1:25" ht="53.25" customHeight="1" x14ac:dyDescent="0.25">
      <c r="A130" s="938"/>
      <c r="B130" s="949"/>
      <c r="C130" s="85"/>
      <c r="D130" s="131" t="s">
        <v>264</v>
      </c>
      <c r="E130" s="918" t="s">
        <v>387</v>
      </c>
      <c r="F130" s="1241" t="s">
        <v>366</v>
      </c>
      <c r="G130" s="1206"/>
      <c r="H130" s="1225"/>
      <c r="I130" s="1194"/>
      <c r="J130" s="1192"/>
      <c r="K130" s="1193"/>
      <c r="L130" s="1194"/>
      <c r="M130" s="1192">
        <v>459.2</v>
      </c>
      <c r="N130" s="1193">
        <f>+M130</f>
        <v>459.2</v>
      </c>
      <c r="O130" s="1197">
        <f>+N130-M130</f>
        <v>0</v>
      </c>
      <c r="P130" s="668" t="s">
        <v>265</v>
      </c>
      <c r="Q130" s="748"/>
      <c r="R130" s="749"/>
      <c r="S130" s="750"/>
      <c r="T130" s="750"/>
      <c r="U130" s="259">
        <v>100</v>
      </c>
      <c r="V130" s="176"/>
      <c r="W130" s="176"/>
    </row>
    <row r="131" spans="1:25" ht="28.5" customHeight="1" x14ac:dyDescent="0.25">
      <c r="A131" s="938"/>
      <c r="B131" s="949"/>
      <c r="C131" s="85"/>
      <c r="D131" s="929" t="s">
        <v>196</v>
      </c>
      <c r="E131" s="570"/>
      <c r="F131" s="1479" t="s">
        <v>366</v>
      </c>
      <c r="G131" s="1493">
        <f>85.7+6.3</f>
        <v>92</v>
      </c>
      <c r="H131" s="1493">
        <f>85.7+6.3-92</f>
        <v>0</v>
      </c>
      <c r="I131" s="1517">
        <f>+H131-G131</f>
        <v>-92</v>
      </c>
      <c r="J131" s="1480"/>
      <c r="K131" s="1477">
        <v>8.4</v>
      </c>
      <c r="L131" s="1478">
        <f>+K131</f>
        <v>8.4</v>
      </c>
      <c r="M131" s="838"/>
      <c r="N131" s="47"/>
      <c r="O131" s="578"/>
      <c r="P131" s="1410" t="s">
        <v>400</v>
      </c>
      <c r="Q131" s="1518">
        <v>1</v>
      </c>
      <c r="R131" s="1519">
        <v>0</v>
      </c>
      <c r="S131" s="1520"/>
      <c r="T131" s="1521">
        <v>1</v>
      </c>
      <c r="U131" s="252"/>
      <c r="V131" s="1298"/>
      <c r="W131" s="1906" t="s">
        <v>452</v>
      </c>
    </row>
    <row r="132" spans="1:25" ht="108" customHeight="1" x14ac:dyDescent="0.25">
      <c r="A132" s="938"/>
      <c r="B132" s="949"/>
      <c r="C132" s="85"/>
      <c r="D132" s="941"/>
      <c r="E132" s="571"/>
      <c r="F132" s="1510" t="s">
        <v>367</v>
      </c>
      <c r="G132" s="1511">
        <v>16</v>
      </c>
      <c r="H132" s="1522">
        <f>16-9.3</f>
        <v>6.7</v>
      </c>
      <c r="I132" s="1513">
        <f>+H132-G132</f>
        <v>-9.3000000000000007</v>
      </c>
      <c r="J132" s="1512"/>
      <c r="K132" s="1514">
        <v>102</v>
      </c>
      <c r="L132" s="1513">
        <f>+K132</f>
        <v>102</v>
      </c>
      <c r="M132" s="46"/>
      <c r="N132" s="300"/>
      <c r="O132" s="382"/>
      <c r="P132" s="432" t="s">
        <v>432</v>
      </c>
      <c r="Q132" s="751">
        <v>1</v>
      </c>
      <c r="R132" s="1315"/>
      <c r="S132" s="1523"/>
      <c r="T132" s="259"/>
      <c r="U132" s="1297"/>
      <c r="V132" s="1296"/>
      <c r="W132" s="1907"/>
    </row>
    <row r="133" spans="1:25" ht="15" customHeight="1" thickBot="1" x14ac:dyDescent="0.3">
      <c r="A133" s="22"/>
      <c r="B133" s="156"/>
      <c r="C133" s="1022"/>
      <c r="D133" s="1035"/>
      <c r="E133" s="1027"/>
      <c r="F133" s="18" t="s">
        <v>5</v>
      </c>
      <c r="G133" s="314">
        <f t="shared" ref="G133:O133" si="7">+G15+G16+G17+G18+G19+G20+G21+G22+G23+G24+G25+G26</f>
        <v>8265.4</v>
      </c>
      <c r="H133" s="407">
        <f t="shared" si="7"/>
        <v>7721.9</v>
      </c>
      <c r="I133" s="406">
        <f t="shared" si="7"/>
        <v>-543.5</v>
      </c>
      <c r="J133" s="1066">
        <f t="shared" si="7"/>
        <v>8515.7999999999993</v>
      </c>
      <c r="K133" s="514">
        <f t="shared" si="7"/>
        <v>8934.4</v>
      </c>
      <c r="L133" s="406">
        <f t="shared" si="7"/>
        <v>418.6</v>
      </c>
      <c r="M133" s="314">
        <f t="shared" si="7"/>
        <v>11711.9</v>
      </c>
      <c r="N133" s="514">
        <f t="shared" si="7"/>
        <v>11496.2</v>
      </c>
      <c r="O133" s="406">
        <f t="shared" si="7"/>
        <v>-215.7</v>
      </c>
      <c r="P133" s="979"/>
      <c r="Q133" s="1030"/>
      <c r="R133" s="1040"/>
      <c r="S133" s="1032"/>
      <c r="T133" s="1034"/>
      <c r="U133" s="1028"/>
      <c r="V133" s="1029"/>
      <c r="W133" s="1029"/>
    </row>
    <row r="134" spans="1:25" ht="16.5" customHeight="1" x14ac:dyDescent="0.25">
      <c r="A134" s="938" t="s">
        <v>4</v>
      </c>
      <c r="B134" s="949" t="s">
        <v>4</v>
      </c>
      <c r="C134" s="940" t="s">
        <v>6</v>
      </c>
      <c r="D134" s="1764" t="s">
        <v>47</v>
      </c>
      <c r="E134" s="878"/>
      <c r="F134" s="1524" t="s">
        <v>23</v>
      </c>
      <c r="G134" s="1486">
        <f>3380.9+24</f>
        <v>3404.9</v>
      </c>
      <c r="H134" s="1486">
        <f>3380.9+24+310.8-30-150-91.4</f>
        <v>3444.3</v>
      </c>
      <c r="I134" s="1485">
        <f t="shared" ref="I134:I138" si="8">+H134-G134</f>
        <v>39.4</v>
      </c>
      <c r="J134" s="1486">
        <f>3308.9+42</f>
        <v>3350.9</v>
      </c>
      <c r="K134" s="1486">
        <f>3308.9+42+225.4</f>
        <v>3576.3</v>
      </c>
      <c r="L134" s="1485">
        <f>+K134-J134</f>
        <v>225.4</v>
      </c>
      <c r="M134" s="880">
        <f>3258.9+42</f>
        <v>3300.9</v>
      </c>
      <c r="N134" s="880">
        <f>3258.9+42</f>
        <v>3300.9</v>
      </c>
      <c r="O134" s="301">
        <f>+N134-M134</f>
        <v>0</v>
      </c>
      <c r="P134" s="881"/>
      <c r="Q134" s="509"/>
      <c r="R134" s="880"/>
      <c r="S134" s="306"/>
      <c r="T134" s="306"/>
      <c r="U134" s="306"/>
      <c r="V134" s="301"/>
      <c r="W134" s="879"/>
    </row>
    <row r="135" spans="1:25" ht="16.5" customHeight="1" x14ac:dyDescent="0.25">
      <c r="A135" s="938"/>
      <c r="B135" s="949"/>
      <c r="C135" s="940"/>
      <c r="D135" s="1765"/>
      <c r="E135" s="117"/>
      <c r="F135" s="1412" t="s">
        <v>38</v>
      </c>
      <c r="G135" s="380">
        <v>2</v>
      </c>
      <c r="H135" s="505">
        <v>2</v>
      </c>
      <c r="I135" s="381">
        <f t="shared" si="8"/>
        <v>0</v>
      </c>
      <c r="J135" s="505">
        <v>2</v>
      </c>
      <c r="K135" s="505">
        <v>2</v>
      </c>
      <c r="L135" s="381">
        <f>+K135-J135</f>
        <v>0</v>
      </c>
      <c r="M135" s="505">
        <v>2</v>
      </c>
      <c r="N135" s="505">
        <v>2</v>
      </c>
      <c r="O135" s="113">
        <f>+N135-M135</f>
        <v>0</v>
      </c>
      <c r="P135" s="882"/>
      <c r="Q135" s="380"/>
      <c r="R135" s="505"/>
      <c r="S135" s="307"/>
      <c r="T135" s="307"/>
      <c r="U135" s="307"/>
      <c r="V135" s="113"/>
      <c r="W135" s="381"/>
      <c r="Y135" s="885"/>
    </row>
    <row r="136" spans="1:25" ht="16.5" customHeight="1" x14ac:dyDescent="0.25">
      <c r="A136" s="938"/>
      <c r="B136" s="949"/>
      <c r="C136" s="940"/>
      <c r="D136" s="1766"/>
      <c r="E136" s="117"/>
      <c r="F136" s="1525" t="s">
        <v>51</v>
      </c>
      <c r="G136" s="1476">
        <v>162</v>
      </c>
      <c r="H136" s="1480">
        <f>162+9.3</f>
        <v>171.3</v>
      </c>
      <c r="I136" s="1478">
        <f t="shared" si="8"/>
        <v>9.3000000000000007</v>
      </c>
      <c r="J136" s="1480"/>
      <c r="K136" s="1480">
        <f>94.6+150+30</f>
        <v>274.60000000000002</v>
      </c>
      <c r="L136" s="1478">
        <f>+K136</f>
        <v>274.60000000000002</v>
      </c>
      <c r="M136" s="505"/>
      <c r="N136" s="505"/>
      <c r="O136" s="113"/>
      <c r="P136" s="48"/>
      <c r="Q136" s="380"/>
      <c r="R136" s="505"/>
      <c r="S136" s="307"/>
      <c r="T136" s="307"/>
      <c r="U136" s="300"/>
      <c r="V136" s="55"/>
      <c r="W136" s="382"/>
    </row>
    <row r="137" spans="1:25" ht="78.650000000000006" customHeight="1" x14ac:dyDescent="0.25">
      <c r="A137" s="1705"/>
      <c r="B137" s="1749"/>
      <c r="C137" s="1745"/>
      <c r="D137" s="1712" t="s">
        <v>58</v>
      </c>
      <c r="E137" s="1762"/>
      <c r="F137" s="1471" t="s">
        <v>366</v>
      </c>
      <c r="G137" s="1472">
        <f>2931-150.7</f>
        <v>2780.3</v>
      </c>
      <c r="H137" s="1493">
        <f>+G137+323.1-9.3-3</f>
        <v>3091.1</v>
      </c>
      <c r="I137" s="1517">
        <f t="shared" si="8"/>
        <v>310.8</v>
      </c>
      <c r="J137" s="838">
        <v>2931</v>
      </c>
      <c r="K137" s="308">
        <f>+J137</f>
        <v>2931</v>
      </c>
      <c r="L137" s="578">
        <f>+K137-J137</f>
        <v>0</v>
      </c>
      <c r="M137" s="838">
        <v>2931</v>
      </c>
      <c r="N137" s="308">
        <f>+M137</f>
        <v>2931</v>
      </c>
      <c r="O137" s="56">
        <f>+N137-M137</f>
        <v>0</v>
      </c>
      <c r="P137" s="967" t="s">
        <v>135</v>
      </c>
      <c r="Q137" s="581">
        <v>8.9</v>
      </c>
      <c r="R137" s="392"/>
      <c r="S137" s="666">
        <v>8.9</v>
      </c>
      <c r="T137" s="666"/>
      <c r="U137" s="666">
        <v>8.9</v>
      </c>
      <c r="V137" s="1127"/>
      <c r="W137" s="1910" t="s">
        <v>458</v>
      </c>
    </row>
    <row r="138" spans="1:25" ht="105" customHeight="1" x14ac:dyDescent="0.25">
      <c r="A138" s="1705"/>
      <c r="B138" s="1749"/>
      <c r="C138" s="1745"/>
      <c r="D138" s="1761"/>
      <c r="E138" s="1763"/>
      <c r="F138" s="1475" t="s">
        <v>367</v>
      </c>
      <c r="G138" s="1476">
        <v>150.69999999999999</v>
      </c>
      <c r="H138" s="1477">
        <f>+G138+9.3</f>
        <v>160</v>
      </c>
      <c r="I138" s="1478">
        <f t="shared" si="8"/>
        <v>9.3000000000000007</v>
      </c>
      <c r="J138" s="505"/>
      <c r="K138" s="307"/>
      <c r="L138" s="381"/>
      <c r="M138" s="505"/>
      <c r="N138" s="307"/>
      <c r="O138" s="113"/>
      <c r="P138" s="432" t="s">
        <v>115</v>
      </c>
      <c r="Q138" s="534">
        <v>425</v>
      </c>
      <c r="R138" s="485"/>
      <c r="S138" s="247">
        <v>425</v>
      </c>
      <c r="T138" s="247"/>
      <c r="U138" s="240">
        <v>425</v>
      </c>
      <c r="V138" s="149"/>
      <c r="W138" s="1894"/>
    </row>
    <row r="139" spans="1:25" ht="16.5" customHeight="1" x14ac:dyDescent="0.25">
      <c r="A139" s="1705"/>
      <c r="B139" s="1749"/>
      <c r="C139" s="1745"/>
      <c r="D139" s="1757" t="s">
        <v>35</v>
      </c>
      <c r="E139" s="955"/>
      <c r="F139" s="1222" t="s">
        <v>366</v>
      </c>
      <c r="G139" s="1253">
        <v>150</v>
      </c>
      <c r="H139" s="1185">
        <f t="shared" ref="H139:H140" si="9">+G139</f>
        <v>150</v>
      </c>
      <c r="I139" s="1217">
        <f t="shared" ref="I139:I143" si="10">+H139-G139</f>
        <v>0</v>
      </c>
      <c r="J139" s="1242">
        <v>150</v>
      </c>
      <c r="K139" s="1185">
        <f>+J139</f>
        <v>150</v>
      </c>
      <c r="L139" s="1217">
        <f>+K139-J139</f>
        <v>0</v>
      </c>
      <c r="M139" s="1242">
        <v>150</v>
      </c>
      <c r="N139" s="1185">
        <f>+M139</f>
        <v>150</v>
      </c>
      <c r="O139" s="1186">
        <f>+N139-M139</f>
        <v>0</v>
      </c>
      <c r="P139" s="937" t="s">
        <v>37</v>
      </c>
      <c r="Q139" s="384">
        <v>60</v>
      </c>
      <c r="R139" s="202"/>
      <c r="S139" s="240">
        <v>60</v>
      </c>
      <c r="T139" s="240"/>
      <c r="U139" s="377">
        <v>60</v>
      </c>
      <c r="V139" s="376"/>
      <c r="W139" s="1875" t="s">
        <v>453</v>
      </c>
    </row>
    <row r="140" spans="1:25" ht="26.25" customHeight="1" x14ac:dyDescent="0.25">
      <c r="A140" s="1705"/>
      <c r="B140" s="1749"/>
      <c r="C140" s="1745"/>
      <c r="D140" s="1760"/>
      <c r="E140" s="956"/>
      <c r="F140" s="1187" t="s">
        <v>377</v>
      </c>
      <c r="G140" s="1248">
        <v>2</v>
      </c>
      <c r="H140" s="1189">
        <f t="shared" si="9"/>
        <v>2</v>
      </c>
      <c r="I140" s="1191">
        <f t="shared" si="10"/>
        <v>0</v>
      </c>
      <c r="J140" s="1209">
        <v>2</v>
      </c>
      <c r="K140" s="1189">
        <f>+J140</f>
        <v>2</v>
      </c>
      <c r="L140" s="1191">
        <f>+K140-J140</f>
        <v>0</v>
      </c>
      <c r="M140" s="1209">
        <v>2</v>
      </c>
      <c r="N140" s="1189">
        <f>+M140</f>
        <v>2</v>
      </c>
      <c r="O140" s="1190">
        <f>+N140-M140</f>
        <v>0</v>
      </c>
      <c r="P140" s="968" t="s">
        <v>59</v>
      </c>
      <c r="Q140" s="574">
        <v>1500</v>
      </c>
      <c r="R140" s="424"/>
      <c r="S140" s="262">
        <v>1500</v>
      </c>
      <c r="T140" s="262"/>
      <c r="U140" s="262">
        <v>1500</v>
      </c>
      <c r="V140" s="221"/>
      <c r="W140" s="1876"/>
    </row>
    <row r="141" spans="1:25" ht="16" customHeight="1" x14ac:dyDescent="0.25">
      <c r="A141" s="938"/>
      <c r="B141" s="949"/>
      <c r="C141" s="940"/>
      <c r="D141" s="944"/>
      <c r="E141" s="956"/>
      <c r="F141" s="1526" t="s">
        <v>366</v>
      </c>
      <c r="G141" s="1527">
        <v>30</v>
      </c>
      <c r="H141" s="1528">
        <f>+G141-30</f>
        <v>0</v>
      </c>
      <c r="I141" s="1529">
        <f t="shared" si="10"/>
        <v>-30</v>
      </c>
      <c r="J141" s="1421"/>
      <c r="K141" s="552"/>
      <c r="L141" s="558"/>
      <c r="M141" s="1421"/>
      <c r="N141" s="552"/>
      <c r="O141" s="1422"/>
      <c r="P141" s="1873" t="s">
        <v>245</v>
      </c>
      <c r="Q141" s="1534">
        <v>1</v>
      </c>
      <c r="R141" s="1537">
        <v>0</v>
      </c>
      <c r="S141" s="1537"/>
      <c r="T141" s="1537">
        <v>1</v>
      </c>
      <c r="U141" s="262"/>
      <c r="V141" s="221"/>
      <c r="W141" s="1876"/>
    </row>
    <row r="142" spans="1:25" ht="16" customHeight="1" x14ac:dyDescent="0.25">
      <c r="A142" s="1405"/>
      <c r="B142" s="1408"/>
      <c r="C142" s="1406"/>
      <c r="D142" s="1407"/>
      <c r="E142" s="1409"/>
      <c r="F142" s="1475" t="s">
        <v>367</v>
      </c>
      <c r="G142" s="1476"/>
      <c r="H142" s="1477"/>
      <c r="I142" s="1478"/>
      <c r="J142" s="1421"/>
      <c r="K142" s="1528">
        <v>30</v>
      </c>
      <c r="L142" s="1529">
        <f>+K142-J142</f>
        <v>30</v>
      </c>
      <c r="M142" s="747"/>
      <c r="N142" s="307"/>
      <c r="O142" s="113"/>
      <c r="P142" s="1874"/>
      <c r="Q142" s="1535"/>
      <c r="R142" s="1536"/>
      <c r="S142" s="1538"/>
      <c r="T142" s="1538"/>
      <c r="U142" s="354"/>
      <c r="V142" s="387"/>
      <c r="W142" s="1876"/>
    </row>
    <row r="143" spans="1:25" ht="16" customHeight="1" x14ac:dyDescent="0.25">
      <c r="A143" s="938"/>
      <c r="B143" s="949"/>
      <c r="C143" s="940"/>
      <c r="D143" s="944"/>
      <c r="E143" s="956"/>
      <c r="F143" s="1530" t="s">
        <v>366</v>
      </c>
      <c r="G143" s="1531">
        <v>150</v>
      </c>
      <c r="H143" s="1528">
        <f>+G143-150</f>
        <v>0</v>
      </c>
      <c r="I143" s="1532">
        <f t="shared" si="10"/>
        <v>-150</v>
      </c>
      <c r="J143" s="1421"/>
      <c r="K143" s="1528"/>
      <c r="L143" s="1529"/>
      <c r="M143" s="505"/>
      <c r="N143" s="329"/>
      <c r="O143" s="558"/>
      <c r="P143" s="1873" t="s">
        <v>279</v>
      </c>
      <c r="Q143" s="1534">
        <v>1</v>
      </c>
      <c r="R143" s="1539">
        <v>0</v>
      </c>
      <c r="S143" s="1537"/>
      <c r="T143" s="1537">
        <v>1</v>
      </c>
      <c r="U143" s="262"/>
      <c r="V143" s="221"/>
      <c r="W143" s="1876"/>
    </row>
    <row r="144" spans="1:25" ht="16" customHeight="1" x14ac:dyDescent="0.25">
      <c r="A144" s="1405"/>
      <c r="B144" s="1408"/>
      <c r="C144" s="1406"/>
      <c r="D144" s="1407"/>
      <c r="E144" s="1409"/>
      <c r="F144" s="1475" t="s">
        <v>367</v>
      </c>
      <c r="G144" s="1527"/>
      <c r="H144" s="1528"/>
      <c r="I144" s="1529"/>
      <c r="J144" s="505"/>
      <c r="K144" s="1528">
        <v>150</v>
      </c>
      <c r="L144" s="1529">
        <f>+K144-J144</f>
        <v>150</v>
      </c>
      <c r="M144" s="747"/>
      <c r="N144" s="552"/>
      <c r="O144" s="113"/>
      <c r="P144" s="1874"/>
      <c r="Q144" s="1133"/>
      <c r="R144" s="354"/>
      <c r="S144" s="354"/>
      <c r="T144" s="354"/>
      <c r="U144" s="354"/>
      <c r="V144" s="387"/>
      <c r="W144" s="1876"/>
    </row>
    <row r="145" spans="1:23" ht="15" customHeight="1" x14ac:dyDescent="0.25">
      <c r="A145" s="938"/>
      <c r="B145" s="949"/>
      <c r="C145" s="940"/>
      <c r="D145" s="944"/>
      <c r="E145" s="956"/>
      <c r="F145" s="1241" t="s">
        <v>366</v>
      </c>
      <c r="G145" s="1587"/>
      <c r="H145" s="1588"/>
      <c r="I145" s="1247"/>
      <c r="J145" s="1587">
        <v>50</v>
      </c>
      <c r="K145" s="1189">
        <f>+J145</f>
        <v>50</v>
      </c>
      <c r="L145" s="1191">
        <f>+K145-J145</f>
        <v>0</v>
      </c>
      <c r="M145" s="1246"/>
      <c r="N145" s="1588"/>
      <c r="O145" s="1589"/>
      <c r="P145" s="414" t="s">
        <v>266</v>
      </c>
      <c r="Q145" s="568"/>
      <c r="R145" s="418"/>
      <c r="S145" s="354">
        <v>1</v>
      </c>
      <c r="T145" s="354"/>
      <c r="U145" s="354"/>
      <c r="V145" s="639"/>
      <c r="W145" s="1877"/>
    </row>
    <row r="146" spans="1:23" ht="24.75" customHeight="1" x14ac:dyDescent="0.25">
      <c r="A146" s="938"/>
      <c r="B146" s="949"/>
      <c r="C146" s="940"/>
      <c r="D146" s="1757" t="s">
        <v>85</v>
      </c>
      <c r="E146" s="955"/>
      <c r="F146" s="1183" t="s">
        <v>366</v>
      </c>
      <c r="G146" s="1253">
        <v>89.6</v>
      </c>
      <c r="H146" s="1185">
        <f>+G146</f>
        <v>89.6</v>
      </c>
      <c r="I146" s="1217">
        <f>+H146-G146</f>
        <v>0</v>
      </c>
      <c r="J146" s="1242">
        <v>89.6</v>
      </c>
      <c r="K146" s="1185">
        <f>+J146</f>
        <v>89.6</v>
      </c>
      <c r="L146" s="1217">
        <f>+K146-J146</f>
        <v>0</v>
      </c>
      <c r="M146" s="1242">
        <v>89.6</v>
      </c>
      <c r="N146" s="1185">
        <f>+M146</f>
        <v>89.6</v>
      </c>
      <c r="O146" s="1186">
        <f>+N146-M146</f>
        <v>0</v>
      </c>
      <c r="P146" s="435" t="s">
        <v>102</v>
      </c>
      <c r="Q146" s="1423">
        <v>1300</v>
      </c>
      <c r="R146" s="425"/>
      <c r="S146" s="1424">
        <v>1300</v>
      </c>
      <c r="T146" s="263"/>
      <c r="U146" s="1424">
        <v>1300</v>
      </c>
      <c r="V146" s="222"/>
      <c r="W146" s="222"/>
    </row>
    <row r="147" spans="1:23" ht="28.4" customHeight="1" x14ac:dyDescent="0.25">
      <c r="A147" s="938"/>
      <c r="B147" s="949"/>
      <c r="C147" s="940"/>
      <c r="D147" s="1758"/>
      <c r="E147" s="780"/>
      <c r="F147" s="1195"/>
      <c r="G147" s="1248"/>
      <c r="H147" s="1189"/>
      <c r="I147" s="1191"/>
      <c r="J147" s="1209"/>
      <c r="K147" s="1189"/>
      <c r="L147" s="1191"/>
      <c r="M147" s="1209"/>
      <c r="N147" s="1189"/>
      <c r="O147" s="1190"/>
      <c r="P147" s="942" t="s">
        <v>103</v>
      </c>
      <c r="Q147" s="896">
        <v>400</v>
      </c>
      <c r="R147" s="426"/>
      <c r="S147" s="1425">
        <v>400</v>
      </c>
      <c r="T147" s="198"/>
      <c r="U147" s="1425">
        <v>400</v>
      </c>
      <c r="V147" s="223"/>
      <c r="W147" s="223"/>
    </row>
    <row r="148" spans="1:23" ht="18.649999999999999" customHeight="1" x14ac:dyDescent="0.25">
      <c r="A148" s="938"/>
      <c r="B148" s="949"/>
      <c r="C148" s="940"/>
      <c r="D148" s="1712" t="s">
        <v>50</v>
      </c>
      <c r="E148" s="956"/>
      <c r="F148" s="1183" t="s">
        <v>366</v>
      </c>
      <c r="G148" s="1253">
        <v>81</v>
      </c>
      <c r="H148" s="1185">
        <f>+G148</f>
        <v>81</v>
      </c>
      <c r="I148" s="1217">
        <f>+H148-G148</f>
        <v>0</v>
      </c>
      <c r="J148" s="1242">
        <v>88.3</v>
      </c>
      <c r="K148" s="1185">
        <f>+J148</f>
        <v>88.3</v>
      </c>
      <c r="L148" s="1217">
        <f>+K148-J148</f>
        <v>0</v>
      </c>
      <c r="M148" s="1242">
        <v>88.3</v>
      </c>
      <c r="N148" s="1185">
        <f>+M148</f>
        <v>88.3</v>
      </c>
      <c r="O148" s="1186">
        <f>+N148-M148</f>
        <v>0</v>
      </c>
      <c r="P148" s="967" t="s">
        <v>36</v>
      </c>
      <c r="Q148" s="350">
        <v>15</v>
      </c>
      <c r="R148" s="201"/>
      <c r="S148" s="239">
        <v>15</v>
      </c>
      <c r="T148" s="239"/>
      <c r="U148" s="239">
        <v>15</v>
      </c>
      <c r="V148" s="168"/>
      <c r="W148" s="168"/>
    </row>
    <row r="149" spans="1:23" ht="18.649999999999999" customHeight="1" x14ac:dyDescent="0.25">
      <c r="A149" s="938"/>
      <c r="B149" s="949"/>
      <c r="C149" s="85"/>
      <c r="D149" s="1746"/>
      <c r="E149" s="780"/>
      <c r="F149" s="1195" t="s">
        <v>367</v>
      </c>
      <c r="G149" s="1248">
        <v>7.3</v>
      </c>
      <c r="H149" s="1209">
        <f>+G149</f>
        <v>7.3</v>
      </c>
      <c r="I149" s="1191">
        <f>+H149-G149</f>
        <v>0</v>
      </c>
      <c r="J149" s="1192"/>
      <c r="K149" s="1193"/>
      <c r="L149" s="1194"/>
      <c r="M149" s="1209"/>
      <c r="N149" s="1189"/>
      <c r="O149" s="1190"/>
      <c r="P149" s="434"/>
      <c r="Q149" s="363"/>
      <c r="R149" s="486"/>
      <c r="S149" s="240"/>
      <c r="T149" s="240"/>
      <c r="U149" s="242"/>
      <c r="V149" s="170"/>
      <c r="W149" s="579"/>
    </row>
    <row r="150" spans="1:23" ht="15.65" customHeight="1" x14ac:dyDescent="0.25">
      <c r="A150" s="938"/>
      <c r="B150" s="949"/>
      <c r="C150" s="940"/>
      <c r="D150" s="1712" t="s">
        <v>160</v>
      </c>
      <c r="E150" s="956"/>
      <c r="F150" s="115" t="s">
        <v>367</v>
      </c>
      <c r="G150" s="525">
        <v>4</v>
      </c>
      <c r="H150" s="838">
        <f>+G150</f>
        <v>4</v>
      </c>
      <c r="I150" s="578">
        <f>+H150-G150</f>
        <v>0</v>
      </c>
      <c r="J150" s="1493"/>
      <c r="K150" s="1473">
        <v>94.6</v>
      </c>
      <c r="L150" s="1517">
        <f>+K150-J150</f>
        <v>94.6</v>
      </c>
      <c r="M150" s="838"/>
      <c r="N150" s="308"/>
      <c r="O150" s="56"/>
      <c r="P150" s="438" t="s">
        <v>76</v>
      </c>
      <c r="Q150" s="531">
        <v>1</v>
      </c>
      <c r="R150" s="422"/>
      <c r="S150" s="377"/>
      <c r="T150" s="377"/>
      <c r="U150" s="377"/>
      <c r="V150" s="393"/>
      <c r="W150" s="1875" t="s">
        <v>449</v>
      </c>
    </row>
    <row r="151" spans="1:23" ht="91.5" customHeight="1" x14ac:dyDescent="0.25">
      <c r="A151" s="21"/>
      <c r="B151" s="1178"/>
      <c r="C151" s="1177"/>
      <c r="D151" s="1713"/>
      <c r="E151" s="1179"/>
      <c r="F151" s="1475" t="s">
        <v>366</v>
      </c>
      <c r="G151" s="1476">
        <v>100</v>
      </c>
      <c r="H151" s="1480">
        <f>+G151-91.4</f>
        <v>8.6</v>
      </c>
      <c r="I151" s="1513">
        <f>+H151-G151</f>
        <v>-91.4</v>
      </c>
      <c r="J151" s="1480"/>
      <c r="K151" s="1477">
        <v>225.4</v>
      </c>
      <c r="L151" s="1478">
        <f>+K151-J151</f>
        <v>225.4</v>
      </c>
      <c r="M151" s="505"/>
      <c r="N151" s="307"/>
      <c r="O151" s="113"/>
      <c r="P151" s="434" t="s">
        <v>267</v>
      </c>
      <c r="Q151" s="1540">
        <v>100</v>
      </c>
      <c r="R151" s="1541">
        <v>0</v>
      </c>
      <c r="S151" s="1542"/>
      <c r="T151" s="1542">
        <v>100</v>
      </c>
      <c r="U151" s="247"/>
      <c r="V151" s="645"/>
      <c r="W151" s="1877"/>
    </row>
    <row r="152" spans="1:23" ht="44.15" customHeight="1" x14ac:dyDescent="0.25">
      <c r="A152" s="21"/>
      <c r="B152" s="949"/>
      <c r="C152" s="940"/>
      <c r="D152" s="78" t="s">
        <v>433</v>
      </c>
      <c r="E152" s="1299"/>
      <c r="F152" s="1224" t="s">
        <v>366</v>
      </c>
      <c r="G152" s="1225">
        <v>24</v>
      </c>
      <c r="H152" s="1225">
        <v>24</v>
      </c>
      <c r="I152" s="1194">
        <f>+H152-G152</f>
        <v>0</v>
      </c>
      <c r="J152" s="1225">
        <v>42</v>
      </c>
      <c r="K152" s="1225">
        <v>42</v>
      </c>
      <c r="L152" s="1223">
        <f>+K152-J152</f>
        <v>0</v>
      </c>
      <c r="M152" s="1225">
        <v>42</v>
      </c>
      <c r="N152" s="1225">
        <v>42</v>
      </c>
      <c r="O152" s="1223">
        <f>+N152-M152</f>
        <v>0</v>
      </c>
      <c r="P152" s="1344" t="s">
        <v>440</v>
      </c>
      <c r="Q152" s="1345">
        <v>15</v>
      </c>
      <c r="R152" s="1174"/>
      <c r="S152" s="1174">
        <v>15</v>
      </c>
      <c r="T152" s="1174"/>
      <c r="U152" s="242">
        <v>15</v>
      </c>
      <c r="V152" s="1317"/>
      <c r="W152" s="1318"/>
    </row>
    <row r="153" spans="1:23" ht="15" customHeight="1" thickBot="1" x14ac:dyDescent="0.3">
      <c r="A153" s="22"/>
      <c r="B153" s="156"/>
      <c r="C153" s="1022"/>
      <c r="D153" s="1037"/>
      <c r="E153" s="1025"/>
      <c r="F153" s="18" t="s">
        <v>5</v>
      </c>
      <c r="G153" s="506">
        <f>+G134+G135+G136</f>
        <v>3568.9</v>
      </c>
      <c r="H153" s="1064">
        <f>+H134+H135+H136</f>
        <v>3617.6</v>
      </c>
      <c r="I153" s="1081">
        <f t="shared" ref="I153:O153" si="11">+I134+I135+I136</f>
        <v>48.7</v>
      </c>
      <c r="J153" s="513">
        <f>+J134+J135+J136</f>
        <v>3352.9</v>
      </c>
      <c r="K153" s="407">
        <f t="shared" si="11"/>
        <v>3852.9</v>
      </c>
      <c r="L153" s="406">
        <f t="shared" si="11"/>
        <v>500</v>
      </c>
      <c r="M153" s="1066">
        <f>+M134+M135+M136</f>
        <v>3302.9</v>
      </c>
      <c r="N153" s="1065">
        <f t="shared" si="11"/>
        <v>3302.9</v>
      </c>
      <c r="O153" s="406">
        <f t="shared" si="11"/>
        <v>0</v>
      </c>
      <c r="P153" s="1039"/>
      <c r="Q153" s="1030"/>
      <c r="R153" s="1026"/>
      <c r="S153" s="1028"/>
      <c r="T153" s="1028"/>
      <c r="U153" s="1034"/>
      <c r="V153" s="1033"/>
      <c r="W153" s="1029"/>
    </row>
    <row r="154" spans="1:23" ht="18" customHeight="1" x14ac:dyDescent="0.25">
      <c r="A154" s="1747" t="s">
        <v>4</v>
      </c>
      <c r="B154" s="1748" t="s">
        <v>4</v>
      </c>
      <c r="C154" s="1750" t="s">
        <v>25</v>
      </c>
      <c r="D154" s="1751" t="s">
        <v>48</v>
      </c>
      <c r="E154" s="1753" t="s">
        <v>225</v>
      </c>
      <c r="F154" s="1471" t="s">
        <v>23</v>
      </c>
      <c r="G154" s="1486">
        <f>2429.3+0.6+25.3</f>
        <v>2455.1999999999998</v>
      </c>
      <c r="H154" s="1486">
        <f>2429.3+0.6+25.3+12.4</f>
        <v>2467.6</v>
      </c>
      <c r="I154" s="1485">
        <f t="shared" ref="I154:I161" si="12">+H154-G154</f>
        <v>12.4</v>
      </c>
      <c r="J154" s="880">
        <f>2945.2+6</f>
        <v>2951.2</v>
      </c>
      <c r="K154" s="880">
        <f>2945.2+6</f>
        <v>2951.2</v>
      </c>
      <c r="L154" s="879">
        <f>+K154-J154</f>
        <v>0</v>
      </c>
      <c r="M154" s="1328">
        <f>3086.3+6</f>
        <v>3092.3</v>
      </c>
      <c r="N154" s="1328">
        <f>3086.3+6</f>
        <v>3092.3</v>
      </c>
      <c r="O154" s="879">
        <f>+N154-M154</f>
        <v>0</v>
      </c>
      <c r="P154" s="1901"/>
      <c r="Q154" s="1737"/>
      <c r="R154" s="1737"/>
      <c r="S154" s="1741"/>
      <c r="T154" s="1741"/>
      <c r="U154" s="1741"/>
      <c r="V154" s="1895"/>
      <c r="W154" s="1908"/>
    </row>
    <row r="155" spans="1:23" ht="18" customHeight="1" x14ac:dyDescent="0.25">
      <c r="A155" s="1705"/>
      <c r="B155" s="1749"/>
      <c r="C155" s="1745"/>
      <c r="D155" s="1752"/>
      <c r="E155" s="1754"/>
      <c r="F155" s="1403" t="s">
        <v>51</v>
      </c>
      <c r="G155" s="504">
        <v>277.60000000000002</v>
      </c>
      <c r="H155" s="505">
        <v>277.60000000000002</v>
      </c>
      <c r="I155" s="381">
        <f t="shared" si="12"/>
        <v>0</v>
      </c>
      <c r="J155" s="505"/>
      <c r="K155" s="307"/>
      <c r="L155" s="381"/>
      <c r="M155" s="47"/>
      <c r="N155" s="307"/>
      <c r="O155" s="47"/>
      <c r="P155" s="1882"/>
      <c r="Q155" s="1738"/>
      <c r="R155" s="1738"/>
      <c r="S155" s="1742"/>
      <c r="T155" s="1742"/>
      <c r="U155" s="1742"/>
      <c r="V155" s="1896"/>
      <c r="W155" s="1881"/>
    </row>
    <row r="156" spans="1:23" ht="15.75" customHeight="1" x14ac:dyDescent="0.25">
      <c r="A156" s="1705"/>
      <c r="B156" s="1706"/>
      <c r="C156" s="1745"/>
      <c r="D156" s="1713" t="s">
        <v>77</v>
      </c>
      <c r="E156" s="1755"/>
      <c r="F156" s="1183" t="s">
        <v>366</v>
      </c>
      <c r="G156" s="1253">
        <f>2473.3-264.1</f>
        <v>2209.1999999999998</v>
      </c>
      <c r="H156" s="1242">
        <f>+G156</f>
        <v>2209.1999999999998</v>
      </c>
      <c r="I156" s="1217">
        <f t="shared" si="12"/>
        <v>0</v>
      </c>
      <c r="J156" s="1242">
        <v>2597</v>
      </c>
      <c r="K156" s="1185">
        <f>+J156</f>
        <v>2597</v>
      </c>
      <c r="L156" s="1217">
        <f>+K156-J156</f>
        <v>0</v>
      </c>
      <c r="M156" s="1184">
        <v>2726.8</v>
      </c>
      <c r="N156" s="1185">
        <f>+M156</f>
        <v>2726.8</v>
      </c>
      <c r="O156" s="1184">
        <f>+N156-M156</f>
        <v>0</v>
      </c>
      <c r="P156" s="937" t="s">
        <v>60</v>
      </c>
      <c r="Q156" s="632">
        <v>18.100000000000001</v>
      </c>
      <c r="R156" s="633"/>
      <c r="S156" s="634">
        <v>18.899999999999999</v>
      </c>
      <c r="T156" s="634"/>
      <c r="U156" s="634">
        <v>19.600000000000001</v>
      </c>
      <c r="V156" s="1126"/>
      <c r="W156" s="1545"/>
    </row>
    <row r="157" spans="1:23" ht="15.75" customHeight="1" x14ac:dyDescent="0.25">
      <c r="A157" s="1705"/>
      <c r="B157" s="1706"/>
      <c r="C157" s="1745"/>
      <c r="D157" s="1746"/>
      <c r="E157" s="1756"/>
      <c r="F157" s="1195" t="s">
        <v>367</v>
      </c>
      <c r="G157" s="1216">
        <v>264.10000000000002</v>
      </c>
      <c r="H157" s="1192">
        <f>+G157</f>
        <v>264.10000000000002</v>
      </c>
      <c r="I157" s="1194">
        <f t="shared" si="12"/>
        <v>0</v>
      </c>
      <c r="J157" s="1192"/>
      <c r="K157" s="1193"/>
      <c r="L157" s="1194"/>
      <c r="M157" s="1206"/>
      <c r="N157" s="1193"/>
      <c r="O157" s="1206"/>
      <c r="P157" s="432" t="s">
        <v>401</v>
      </c>
      <c r="Q157" s="1125">
        <v>9.6999999999999993</v>
      </c>
      <c r="R157" s="484"/>
      <c r="S157" s="264">
        <v>10.1</v>
      </c>
      <c r="T157" s="264"/>
      <c r="U157" s="264">
        <v>10.5</v>
      </c>
      <c r="V157" s="224"/>
      <c r="W157" s="1544"/>
    </row>
    <row r="158" spans="1:23" ht="18" customHeight="1" x14ac:dyDescent="0.25">
      <c r="A158" s="938"/>
      <c r="B158" s="949"/>
      <c r="C158" s="940"/>
      <c r="D158" s="1712" t="s">
        <v>116</v>
      </c>
      <c r="E158" s="141"/>
      <c r="F158" s="1187" t="s">
        <v>366</v>
      </c>
      <c r="G158" s="1253">
        <v>38.4</v>
      </c>
      <c r="H158" s="1242">
        <f>+G158</f>
        <v>38.4</v>
      </c>
      <c r="I158" s="1217">
        <f t="shared" si="12"/>
        <v>0</v>
      </c>
      <c r="J158" s="1242">
        <v>41.1</v>
      </c>
      <c r="K158" s="1185">
        <f>+J158</f>
        <v>41.1</v>
      </c>
      <c r="L158" s="1217">
        <f>+K158-J158</f>
        <v>0</v>
      </c>
      <c r="M158" s="1184">
        <v>44</v>
      </c>
      <c r="N158" s="1185">
        <f>+M158</f>
        <v>44</v>
      </c>
      <c r="O158" s="1186">
        <f>+N158-M158</f>
        <v>0</v>
      </c>
      <c r="P158" s="952" t="s">
        <v>401</v>
      </c>
      <c r="Q158" s="581">
        <v>0.3</v>
      </c>
      <c r="R158" s="392"/>
      <c r="S158" s="261">
        <v>0.3</v>
      </c>
      <c r="T158" s="261"/>
      <c r="U158" s="261">
        <v>0.3</v>
      </c>
      <c r="V158" s="220"/>
      <c r="W158" s="1543"/>
    </row>
    <row r="159" spans="1:23" ht="28" customHeight="1" x14ac:dyDescent="0.25">
      <c r="A159" s="938"/>
      <c r="B159" s="949"/>
      <c r="C159" s="940"/>
      <c r="D159" s="1713"/>
      <c r="E159" s="961"/>
      <c r="F159" s="1187" t="s">
        <v>366</v>
      </c>
      <c r="G159" s="1248">
        <v>147.80000000000001</v>
      </c>
      <c r="H159" s="1209">
        <f>+G159</f>
        <v>147.80000000000001</v>
      </c>
      <c r="I159" s="1191">
        <f t="shared" si="12"/>
        <v>0</v>
      </c>
      <c r="J159" s="1209">
        <v>149.19999999999999</v>
      </c>
      <c r="K159" s="1189">
        <f>+J159</f>
        <v>149.19999999999999</v>
      </c>
      <c r="L159" s="1191">
        <f>+K159-J159</f>
        <v>0</v>
      </c>
      <c r="M159" s="1188">
        <v>150.6</v>
      </c>
      <c r="N159" s="1189">
        <f>+M159</f>
        <v>150.6</v>
      </c>
      <c r="O159" s="1190">
        <f>+N159-M159</f>
        <v>0</v>
      </c>
      <c r="P159" s="433" t="s">
        <v>170</v>
      </c>
      <c r="Q159" s="568">
        <v>1632</v>
      </c>
      <c r="R159" s="418"/>
      <c r="S159" s="257">
        <v>1632</v>
      </c>
      <c r="T159" s="257"/>
      <c r="U159" s="257">
        <v>1632</v>
      </c>
      <c r="V159" s="178"/>
      <c r="W159" s="1543"/>
    </row>
    <row r="160" spans="1:23" ht="29.15" customHeight="1" x14ac:dyDescent="0.25">
      <c r="A160" s="938"/>
      <c r="B160" s="939"/>
      <c r="C160" s="940"/>
      <c r="D160" s="1713"/>
      <c r="E160" s="961"/>
      <c r="F160" s="1187" t="s">
        <v>366</v>
      </c>
      <c r="G160" s="1248">
        <v>3.9</v>
      </c>
      <c r="H160" s="1209">
        <f>+G160</f>
        <v>3.9</v>
      </c>
      <c r="I160" s="1191">
        <f t="shared" si="12"/>
        <v>0</v>
      </c>
      <c r="J160" s="1209">
        <v>3.9</v>
      </c>
      <c r="K160" s="1189">
        <f>+J160</f>
        <v>3.9</v>
      </c>
      <c r="L160" s="1191">
        <f>+K160-J160</f>
        <v>0</v>
      </c>
      <c r="M160" s="1188">
        <v>3.9</v>
      </c>
      <c r="N160" s="1189">
        <f>+M160</f>
        <v>3.9</v>
      </c>
      <c r="O160" s="1190">
        <f>+N160-M160</f>
        <v>0</v>
      </c>
      <c r="P160" s="433" t="s">
        <v>171</v>
      </c>
      <c r="Q160" s="539">
        <v>17.5</v>
      </c>
      <c r="R160" s="419"/>
      <c r="S160" s="251">
        <v>17.5</v>
      </c>
      <c r="T160" s="251"/>
      <c r="U160" s="1142">
        <v>17.5</v>
      </c>
      <c r="V160" s="214"/>
      <c r="W160" s="1543"/>
    </row>
    <row r="161" spans="1:23" ht="28" customHeight="1" x14ac:dyDescent="0.25">
      <c r="A161" s="938"/>
      <c r="B161" s="949"/>
      <c r="C161" s="940"/>
      <c r="D161" s="1734"/>
      <c r="E161" s="978"/>
      <c r="F161" s="1187" t="s">
        <v>366</v>
      </c>
      <c r="G161" s="1590">
        <v>0.6</v>
      </c>
      <c r="H161" s="1590">
        <v>0.6</v>
      </c>
      <c r="I161" s="1577">
        <f t="shared" si="12"/>
        <v>0</v>
      </c>
      <c r="J161" s="1591">
        <v>6</v>
      </c>
      <c r="K161" s="1591">
        <v>6</v>
      </c>
      <c r="L161" s="1577">
        <f>+K161-J161</f>
        <v>0</v>
      </c>
      <c r="M161" s="1591">
        <v>6</v>
      </c>
      <c r="N161" s="1591">
        <v>6</v>
      </c>
      <c r="O161" s="1592">
        <f>+N161-M161</f>
        <v>0</v>
      </c>
      <c r="P161" s="434" t="s">
        <v>187</v>
      </c>
      <c r="Q161" s="363">
        <v>5</v>
      </c>
      <c r="R161" s="230"/>
      <c r="S161" s="242">
        <v>5</v>
      </c>
      <c r="T161" s="242"/>
      <c r="U161" s="242">
        <v>5</v>
      </c>
      <c r="V161" s="170"/>
      <c r="W161" s="1543"/>
    </row>
    <row r="162" spans="1:23" ht="28.5" customHeight="1" x14ac:dyDescent="0.25">
      <c r="A162" s="938"/>
      <c r="B162" s="949"/>
      <c r="C162" s="940"/>
      <c r="D162" s="966" t="s">
        <v>379</v>
      </c>
      <c r="E162" s="154"/>
      <c r="F162" s="840"/>
      <c r="G162" s="504"/>
      <c r="H162" s="757"/>
      <c r="I162" s="1326"/>
      <c r="J162" s="1329"/>
      <c r="K162" s="318"/>
      <c r="L162" s="1326"/>
      <c r="M162" s="341"/>
      <c r="N162" s="318"/>
      <c r="O162" s="315"/>
      <c r="P162" s="967"/>
      <c r="Q162" s="350"/>
      <c r="R162" s="201"/>
      <c r="S162" s="239"/>
      <c r="T162" s="239"/>
      <c r="U162" s="239"/>
      <c r="V162" s="168"/>
      <c r="W162" s="1546"/>
    </row>
    <row r="163" spans="1:23" ht="42" customHeight="1" x14ac:dyDescent="0.25">
      <c r="A163" s="21"/>
      <c r="B163" s="949"/>
      <c r="C163" s="85"/>
      <c r="D163" s="929" t="s">
        <v>339</v>
      </c>
      <c r="E163" s="829"/>
      <c r="F163" s="1475" t="s">
        <v>366</v>
      </c>
      <c r="G163" s="1493">
        <f>30+25.3</f>
        <v>55.3</v>
      </c>
      <c r="H163" s="1493">
        <f>30+25.3+12.4</f>
        <v>67.7</v>
      </c>
      <c r="I163" s="1517">
        <f>+H163-G163</f>
        <v>12.4</v>
      </c>
      <c r="J163" s="838"/>
      <c r="K163" s="308"/>
      <c r="L163" s="578"/>
      <c r="M163" s="53"/>
      <c r="N163" s="308"/>
      <c r="O163" s="56"/>
      <c r="P163" s="435" t="s">
        <v>148</v>
      </c>
      <c r="Q163" s="399">
        <v>100</v>
      </c>
      <c r="R163" s="421"/>
      <c r="S163" s="275"/>
      <c r="T163" s="275"/>
      <c r="U163" s="239"/>
      <c r="V163" s="168"/>
      <c r="W163" s="1878" t="s">
        <v>450</v>
      </c>
    </row>
    <row r="164" spans="1:23" ht="183" customHeight="1" x14ac:dyDescent="0.25">
      <c r="A164" s="21"/>
      <c r="B164" s="949"/>
      <c r="C164" s="85"/>
      <c r="D164" s="941"/>
      <c r="E164" s="780"/>
      <c r="F164" s="1187" t="s">
        <v>367</v>
      </c>
      <c r="G164" s="1248">
        <v>13.5</v>
      </c>
      <c r="H164" s="1209">
        <f>+G164</f>
        <v>13.5</v>
      </c>
      <c r="I164" s="1191">
        <f>+H164-G164</f>
        <v>0</v>
      </c>
      <c r="J164" s="505"/>
      <c r="K164" s="307"/>
      <c r="L164" s="381"/>
      <c r="M164" s="47"/>
      <c r="N164" s="307"/>
      <c r="O164" s="47"/>
      <c r="P164" s="434" t="s">
        <v>154</v>
      </c>
      <c r="Q164" s="876">
        <v>4</v>
      </c>
      <c r="R164" s="1048"/>
      <c r="S164" s="877"/>
      <c r="T164" s="877"/>
      <c r="U164" s="247"/>
      <c r="V164" s="209"/>
      <c r="W164" s="1879"/>
    </row>
    <row r="165" spans="1:23" ht="26.25" customHeight="1" x14ac:dyDescent="0.25">
      <c r="A165" s="21"/>
      <c r="B165" s="949"/>
      <c r="C165" s="85"/>
      <c r="D165" s="946" t="s">
        <v>301</v>
      </c>
      <c r="E165" s="117"/>
      <c r="F165" s="1183" t="s">
        <v>366</v>
      </c>
      <c r="G165" s="1253"/>
      <c r="H165" s="1242"/>
      <c r="I165" s="1217"/>
      <c r="J165" s="1242">
        <v>145.4</v>
      </c>
      <c r="K165" s="1185">
        <f>+J165</f>
        <v>145.4</v>
      </c>
      <c r="L165" s="1217">
        <f>+K165-J165</f>
        <v>0</v>
      </c>
      <c r="M165" s="1184"/>
      <c r="N165" s="1185"/>
      <c r="O165" s="1186"/>
      <c r="P165" s="435" t="s">
        <v>148</v>
      </c>
      <c r="Q165" s="350"/>
      <c r="R165" s="201"/>
      <c r="S165" s="239">
        <v>100</v>
      </c>
      <c r="T165" s="239"/>
      <c r="U165" s="239"/>
      <c r="V165" s="168"/>
      <c r="W165" s="1880"/>
    </row>
    <row r="166" spans="1:23" ht="17.25" customHeight="1" x14ac:dyDescent="0.3">
      <c r="A166" s="21"/>
      <c r="B166" s="949"/>
      <c r="C166" s="85"/>
      <c r="D166" s="110" t="s">
        <v>302</v>
      </c>
      <c r="E166" s="117"/>
      <c r="F166" s="1187" t="s">
        <v>366</v>
      </c>
      <c r="G166" s="1248"/>
      <c r="H166" s="1209"/>
      <c r="I166" s="1191"/>
      <c r="J166" s="1209">
        <v>8.6</v>
      </c>
      <c r="K166" s="1189">
        <f>+J166</f>
        <v>8.6</v>
      </c>
      <c r="L166" s="1191">
        <f>+K166-J166</f>
        <v>0</v>
      </c>
      <c r="M166" s="1188"/>
      <c r="N166" s="1189"/>
      <c r="O166" s="1188"/>
      <c r="P166" s="675" t="s">
        <v>154</v>
      </c>
      <c r="Q166" s="532"/>
      <c r="R166" s="832"/>
      <c r="S166" s="255">
        <v>8</v>
      </c>
      <c r="T166" s="255"/>
      <c r="U166" s="255"/>
      <c r="V166" s="173"/>
      <c r="W166" s="1881"/>
    </row>
    <row r="167" spans="1:23" ht="29.25" customHeight="1" x14ac:dyDescent="0.25">
      <c r="A167" s="21"/>
      <c r="B167" s="949"/>
      <c r="C167" s="85"/>
      <c r="D167" s="110" t="s">
        <v>402</v>
      </c>
      <c r="E167" s="117"/>
      <c r="F167" s="1402"/>
      <c r="G167" s="380"/>
      <c r="H167" s="505"/>
      <c r="I167" s="381"/>
      <c r="J167" s="505"/>
      <c r="K167" s="307"/>
      <c r="L167" s="381"/>
      <c r="M167" s="47"/>
      <c r="N167" s="307"/>
      <c r="O167" s="47"/>
      <c r="P167" s="942"/>
      <c r="Q167" s="351"/>
      <c r="R167" s="202"/>
      <c r="S167" s="240"/>
      <c r="T167" s="240"/>
      <c r="U167" s="240"/>
      <c r="V167" s="149"/>
      <c r="W167" s="1881"/>
    </row>
    <row r="168" spans="1:23" ht="17.25" customHeight="1" x14ac:dyDescent="0.25">
      <c r="A168" s="21"/>
      <c r="B168" s="949"/>
      <c r="C168" s="85"/>
      <c r="D168" s="110" t="s">
        <v>304</v>
      </c>
      <c r="E168" s="117"/>
      <c r="F168" s="1402"/>
      <c r="G168" s="380"/>
      <c r="H168" s="505"/>
      <c r="I168" s="381"/>
      <c r="J168" s="505"/>
      <c r="K168" s="307"/>
      <c r="L168" s="381"/>
      <c r="M168" s="47"/>
      <c r="N168" s="307"/>
      <c r="O168" s="47"/>
      <c r="P168" s="942"/>
      <c r="Q168" s="351"/>
      <c r="R168" s="202"/>
      <c r="S168" s="240"/>
      <c r="T168" s="240"/>
      <c r="U168" s="240"/>
      <c r="V168" s="149"/>
      <c r="W168" s="149"/>
    </row>
    <row r="169" spans="1:23" ht="17.25" customHeight="1" x14ac:dyDescent="0.25">
      <c r="A169" s="21"/>
      <c r="B169" s="949"/>
      <c r="C169" s="85"/>
      <c r="D169" s="110" t="s">
        <v>305</v>
      </c>
      <c r="E169" s="117"/>
      <c r="F169" s="1402"/>
      <c r="G169" s="380"/>
      <c r="H169" s="505"/>
      <c r="I169" s="381"/>
      <c r="J169" s="505"/>
      <c r="K169" s="307"/>
      <c r="L169" s="381"/>
      <c r="M169" s="47"/>
      <c r="N169" s="307"/>
      <c r="O169" s="47"/>
      <c r="P169" s="942"/>
      <c r="Q169" s="351"/>
      <c r="R169" s="202"/>
      <c r="S169" s="240"/>
      <c r="T169" s="240"/>
      <c r="U169" s="240"/>
      <c r="V169" s="149"/>
      <c r="W169" s="149"/>
    </row>
    <row r="170" spans="1:23" ht="17.25" customHeight="1" x14ac:dyDescent="0.25">
      <c r="A170" s="21"/>
      <c r="B170" s="949"/>
      <c r="C170" s="85"/>
      <c r="D170" s="110" t="s">
        <v>306</v>
      </c>
      <c r="E170" s="117"/>
      <c r="F170" s="1402"/>
      <c r="G170" s="380"/>
      <c r="H170" s="505"/>
      <c r="I170" s="381"/>
      <c r="J170" s="505"/>
      <c r="K170" s="307"/>
      <c r="L170" s="381"/>
      <c r="M170" s="47"/>
      <c r="N170" s="307"/>
      <c r="O170" s="47"/>
      <c r="P170" s="942"/>
      <c r="Q170" s="351"/>
      <c r="R170" s="202"/>
      <c r="S170" s="240"/>
      <c r="T170" s="240"/>
      <c r="U170" s="240"/>
      <c r="V170" s="149"/>
      <c r="W170" s="149"/>
    </row>
    <row r="171" spans="1:23" ht="17.899999999999999" customHeight="1" x14ac:dyDescent="0.25">
      <c r="A171" s="21"/>
      <c r="B171" s="949"/>
      <c r="C171" s="85"/>
      <c r="D171" s="676" t="s">
        <v>296</v>
      </c>
      <c r="E171" s="117"/>
      <c r="F171" s="1402"/>
      <c r="G171" s="380"/>
      <c r="H171" s="505"/>
      <c r="I171" s="381"/>
      <c r="J171" s="505"/>
      <c r="K171" s="307"/>
      <c r="L171" s="381"/>
      <c r="M171" s="47"/>
      <c r="N171" s="307"/>
      <c r="O171" s="47"/>
      <c r="P171" s="942"/>
      <c r="Q171" s="351"/>
      <c r="R171" s="202"/>
      <c r="S171" s="240"/>
      <c r="T171" s="240"/>
      <c r="U171" s="240"/>
      <c r="V171" s="149"/>
      <c r="W171" s="149"/>
    </row>
    <row r="172" spans="1:23" ht="17.899999999999999" customHeight="1" x14ac:dyDescent="0.25">
      <c r="A172" s="21"/>
      <c r="B172" s="949"/>
      <c r="C172" s="85"/>
      <c r="D172" s="677" t="s">
        <v>403</v>
      </c>
      <c r="E172" s="117"/>
      <c r="F172" s="1402"/>
      <c r="G172" s="380"/>
      <c r="H172" s="505"/>
      <c r="I172" s="381"/>
      <c r="J172" s="505"/>
      <c r="K172" s="307"/>
      <c r="L172" s="381"/>
      <c r="M172" s="47"/>
      <c r="N172" s="307"/>
      <c r="O172" s="47"/>
      <c r="P172" s="942"/>
      <c r="Q172" s="351"/>
      <c r="R172" s="202"/>
      <c r="S172" s="240"/>
      <c r="T172" s="240"/>
      <c r="U172" s="240"/>
      <c r="V172" s="149"/>
      <c r="W172" s="149"/>
    </row>
    <row r="173" spans="1:23" ht="17.899999999999999" customHeight="1" x14ac:dyDescent="0.25">
      <c r="A173" s="21"/>
      <c r="B173" s="949"/>
      <c r="C173" s="85"/>
      <c r="D173" s="678" t="s">
        <v>404</v>
      </c>
      <c r="E173" s="117"/>
      <c r="F173" s="1402"/>
      <c r="G173" s="380"/>
      <c r="H173" s="505"/>
      <c r="I173" s="381"/>
      <c r="J173" s="505"/>
      <c r="K173" s="307"/>
      <c r="L173" s="381"/>
      <c r="M173" s="47"/>
      <c r="N173" s="307"/>
      <c r="O173" s="47"/>
      <c r="P173" s="942"/>
      <c r="Q173" s="351"/>
      <c r="R173" s="202"/>
      <c r="S173" s="240"/>
      <c r="T173" s="240"/>
      <c r="U173" s="240"/>
      <c r="V173" s="149"/>
      <c r="W173" s="149"/>
    </row>
    <row r="174" spans="1:23" ht="28.4" customHeight="1" x14ac:dyDescent="0.25">
      <c r="A174" s="21"/>
      <c r="B174" s="949"/>
      <c r="C174" s="85"/>
      <c r="D174" s="678" t="s">
        <v>405</v>
      </c>
      <c r="E174" s="117"/>
      <c r="F174" s="1402"/>
      <c r="G174" s="380"/>
      <c r="H174" s="505"/>
      <c r="I174" s="381"/>
      <c r="J174" s="505"/>
      <c r="K174" s="307"/>
      <c r="L174" s="381"/>
      <c r="M174" s="47"/>
      <c r="N174" s="307"/>
      <c r="O174" s="47"/>
      <c r="P174" s="942"/>
      <c r="Q174" s="351"/>
      <c r="R174" s="202"/>
      <c r="S174" s="240"/>
      <c r="T174" s="240"/>
      <c r="U174" s="240"/>
      <c r="V174" s="149"/>
      <c r="W174" s="149"/>
    </row>
    <row r="175" spans="1:23" ht="28.4" customHeight="1" x14ac:dyDescent="0.25">
      <c r="A175" s="21"/>
      <c r="B175" s="949"/>
      <c r="C175" s="85"/>
      <c r="D175" s="676" t="s">
        <v>406</v>
      </c>
      <c r="E175" s="117"/>
      <c r="F175" s="1402"/>
      <c r="G175" s="380"/>
      <c r="H175" s="505"/>
      <c r="I175" s="381"/>
      <c r="J175" s="505"/>
      <c r="K175" s="307"/>
      <c r="L175" s="381"/>
      <c r="M175" s="47"/>
      <c r="N175" s="307"/>
      <c r="O175" s="47"/>
      <c r="P175" s="942"/>
      <c r="Q175" s="351"/>
      <c r="R175" s="202"/>
      <c r="S175" s="240"/>
      <c r="T175" s="240"/>
      <c r="U175" s="240"/>
      <c r="V175" s="149"/>
      <c r="W175" s="149"/>
    </row>
    <row r="176" spans="1:23" ht="28.4" customHeight="1" x14ac:dyDescent="0.25">
      <c r="A176" s="21"/>
      <c r="B176" s="949"/>
      <c r="C176" s="85"/>
      <c r="D176" s="679" t="s">
        <v>407</v>
      </c>
      <c r="E176" s="646"/>
      <c r="F176" s="1403"/>
      <c r="G176" s="504"/>
      <c r="H176" s="757"/>
      <c r="I176" s="382"/>
      <c r="J176" s="757"/>
      <c r="K176" s="300"/>
      <c r="L176" s="382"/>
      <c r="M176" s="46"/>
      <c r="N176" s="300"/>
      <c r="O176" s="55"/>
      <c r="P176" s="942"/>
      <c r="Q176" s="363"/>
      <c r="R176" s="486"/>
      <c r="S176" s="242"/>
      <c r="T176" s="242"/>
      <c r="U176" s="242"/>
      <c r="V176" s="149"/>
      <c r="W176" s="149"/>
    </row>
    <row r="177" spans="1:24" ht="17.25" customHeight="1" x14ac:dyDescent="0.25">
      <c r="A177" s="21"/>
      <c r="B177" s="949"/>
      <c r="C177" s="85"/>
      <c r="D177" s="355" t="s">
        <v>307</v>
      </c>
      <c r="E177" s="117"/>
      <c r="F177" s="1187" t="s">
        <v>366</v>
      </c>
      <c r="G177" s="1248"/>
      <c r="H177" s="1209"/>
      <c r="I177" s="1191"/>
      <c r="J177" s="1209"/>
      <c r="K177" s="1189"/>
      <c r="L177" s="1191"/>
      <c r="M177" s="1188">
        <v>161</v>
      </c>
      <c r="N177" s="1189">
        <v>161</v>
      </c>
      <c r="O177" s="1188">
        <f>+N177-M177</f>
        <v>0</v>
      </c>
      <c r="P177" s="967" t="s">
        <v>148</v>
      </c>
      <c r="Q177" s="350"/>
      <c r="R177" s="202"/>
      <c r="S177" s="240"/>
      <c r="T177" s="240"/>
      <c r="U177" s="239">
        <v>100</v>
      </c>
      <c r="V177" s="168"/>
      <c r="W177" s="60"/>
    </row>
    <row r="178" spans="1:24" ht="26.9" customHeight="1" x14ac:dyDescent="0.25">
      <c r="A178" s="21"/>
      <c r="B178" s="949"/>
      <c r="C178" s="85"/>
      <c r="D178" s="110" t="s">
        <v>308</v>
      </c>
      <c r="E178" s="117"/>
      <c r="F178" s="1402"/>
      <c r="G178" s="380"/>
      <c r="H178" s="505"/>
      <c r="I178" s="381"/>
      <c r="J178" s="505"/>
      <c r="K178" s="307"/>
      <c r="L178" s="381"/>
      <c r="M178" s="47"/>
      <c r="N178" s="307"/>
      <c r="O178" s="47"/>
      <c r="P178" s="942"/>
      <c r="Q178" s="351"/>
      <c r="R178" s="202"/>
      <c r="S178" s="240"/>
      <c r="T178" s="240"/>
      <c r="U178" s="240"/>
      <c r="V178" s="149"/>
      <c r="W178" s="149"/>
    </row>
    <row r="179" spans="1:24" ht="26.9" customHeight="1" x14ac:dyDescent="0.25">
      <c r="A179" s="21"/>
      <c r="B179" s="949"/>
      <c r="C179" s="85"/>
      <c r="D179" s="110" t="s">
        <v>309</v>
      </c>
      <c r="E179" s="117"/>
      <c r="F179" s="1402"/>
      <c r="G179" s="380"/>
      <c r="H179" s="505"/>
      <c r="I179" s="381"/>
      <c r="J179" s="505"/>
      <c r="K179" s="307"/>
      <c r="L179" s="381"/>
      <c r="M179" s="505"/>
      <c r="N179" s="307"/>
      <c r="O179" s="47"/>
      <c r="P179" s="942"/>
      <c r="Q179" s="351"/>
      <c r="R179" s="202"/>
      <c r="S179" s="240"/>
      <c r="T179" s="240"/>
      <c r="U179" s="240"/>
      <c r="V179" s="149"/>
      <c r="W179" s="149"/>
    </row>
    <row r="180" spans="1:24" ht="26.9" customHeight="1" x14ac:dyDescent="0.25">
      <c r="A180" s="21"/>
      <c r="B180" s="949"/>
      <c r="C180" s="85"/>
      <c r="D180" s="110" t="s">
        <v>314</v>
      </c>
      <c r="E180" s="117"/>
      <c r="F180" s="1402"/>
      <c r="G180" s="380"/>
      <c r="H180" s="505"/>
      <c r="I180" s="381"/>
      <c r="J180" s="505"/>
      <c r="K180" s="307"/>
      <c r="L180" s="381"/>
      <c r="M180" s="505"/>
      <c r="N180" s="307"/>
      <c r="O180" s="47"/>
      <c r="P180" s="942"/>
      <c r="Q180" s="351"/>
      <c r="R180" s="202"/>
      <c r="S180" s="240"/>
      <c r="T180" s="240"/>
      <c r="U180" s="240"/>
      <c r="V180" s="149"/>
      <c r="W180" s="149"/>
    </row>
    <row r="181" spans="1:24" ht="26.9" customHeight="1" x14ac:dyDescent="0.25">
      <c r="A181" s="21"/>
      <c r="B181" s="949"/>
      <c r="C181" s="85"/>
      <c r="D181" s="110" t="s">
        <v>310</v>
      </c>
      <c r="E181" s="117"/>
      <c r="F181" s="1402"/>
      <c r="G181" s="380"/>
      <c r="H181" s="505"/>
      <c r="I181" s="381"/>
      <c r="J181" s="505"/>
      <c r="K181" s="307"/>
      <c r="L181" s="381"/>
      <c r="M181" s="505"/>
      <c r="N181" s="307"/>
      <c r="O181" s="47"/>
      <c r="P181" s="942"/>
      <c r="Q181" s="351"/>
      <c r="R181" s="202"/>
      <c r="S181" s="240"/>
      <c r="T181" s="240"/>
      <c r="U181" s="240"/>
      <c r="V181" s="149"/>
      <c r="W181" s="149"/>
    </row>
    <row r="182" spans="1:24" ht="26.9" customHeight="1" x14ac:dyDescent="0.25">
      <c r="A182" s="21"/>
      <c r="B182" s="949"/>
      <c r="C182" s="85"/>
      <c r="D182" s="110" t="s">
        <v>408</v>
      </c>
      <c r="E182" s="117"/>
      <c r="F182" s="1402"/>
      <c r="G182" s="380"/>
      <c r="H182" s="505"/>
      <c r="I182" s="381"/>
      <c r="J182" s="505"/>
      <c r="K182" s="307"/>
      <c r="L182" s="381"/>
      <c r="M182" s="505"/>
      <c r="N182" s="307"/>
      <c r="O182" s="47"/>
      <c r="P182" s="942"/>
      <c r="Q182" s="351"/>
      <c r="R182" s="202"/>
      <c r="S182" s="240"/>
      <c r="T182" s="240"/>
      <c r="U182" s="240"/>
      <c r="V182" s="149"/>
      <c r="W182" s="149"/>
    </row>
    <row r="183" spans="1:24" ht="15" customHeight="1" x14ac:dyDescent="0.25">
      <c r="A183" s="21"/>
      <c r="B183" s="949"/>
      <c r="C183" s="85"/>
      <c r="D183" s="110" t="s">
        <v>311</v>
      </c>
      <c r="E183" s="117"/>
      <c r="F183" s="1402"/>
      <c r="G183" s="380"/>
      <c r="H183" s="505"/>
      <c r="I183" s="381"/>
      <c r="J183" s="505"/>
      <c r="K183" s="307"/>
      <c r="L183" s="381"/>
      <c r="M183" s="505"/>
      <c r="N183" s="307"/>
      <c r="O183" s="47"/>
      <c r="P183" s="942"/>
      <c r="Q183" s="351"/>
      <c r="R183" s="202"/>
      <c r="S183" s="240"/>
      <c r="T183" s="240"/>
      <c r="U183" s="240"/>
      <c r="V183" s="149"/>
      <c r="W183" s="149"/>
    </row>
    <row r="184" spans="1:24" ht="26.9" customHeight="1" x14ac:dyDescent="0.25">
      <c r="A184" s="21"/>
      <c r="B184" s="949"/>
      <c r="C184" s="85"/>
      <c r="D184" s="110" t="s">
        <v>409</v>
      </c>
      <c r="E184" s="117"/>
      <c r="F184" s="1402"/>
      <c r="G184" s="380"/>
      <c r="H184" s="505"/>
      <c r="I184" s="381"/>
      <c r="J184" s="505"/>
      <c r="K184" s="307"/>
      <c r="L184" s="381"/>
      <c r="M184" s="505"/>
      <c r="N184" s="307"/>
      <c r="O184" s="47"/>
      <c r="P184" s="942"/>
      <c r="Q184" s="351"/>
      <c r="R184" s="202"/>
      <c r="S184" s="240"/>
      <c r="T184" s="240"/>
      <c r="U184" s="240"/>
      <c r="V184" s="149"/>
      <c r="W184" s="149"/>
    </row>
    <row r="185" spans="1:24" ht="25.5" customHeight="1" x14ac:dyDescent="0.25">
      <c r="A185" s="21"/>
      <c r="B185" s="949"/>
      <c r="C185" s="85"/>
      <c r="D185" s="110" t="s">
        <v>300</v>
      </c>
      <c r="E185" s="117"/>
      <c r="F185" s="1402"/>
      <c r="G185" s="380"/>
      <c r="H185" s="505"/>
      <c r="I185" s="381"/>
      <c r="J185" s="505"/>
      <c r="K185" s="307"/>
      <c r="L185" s="381"/>
      <c r="M185" s="505"/>
      <c r="N185" s="307"/>
      <c r="O185" s="47"/>
      <c r="P185" s="942"/>
      <c r="Q185" s="351"/>
      <c r="R185" s="202"/>
      <c r="S185" s="240"/>
      <c r="T185" s="240"/>
      <c r="U185" s="240"/>
      <c r="V185" s="149"/>
      <c r="W185" s="149"/>
    </row>
    <row r="186" spans="1:24" ht="27" customHeight="1" x14ac:dyDescent="0.25">
      <c r="A186" s="21"/>
      <c r="B186" s="949"/>
      <c r="C186" s="85"/>
      <c r="D186" s="110" t="s">
        <v>410</v>
      </c>
      <c r="E186" s="117"/>
      <c r="F186" s="1402"/>
      <c r="G186" s="380"/>
      <c r="H186" s="505"/>
      <c r="I186" s="381"/>
      <c r="J186" s="505"/>
      <c r="K186" s="307"/>
      <c r="L186" s="381"/>
      <c r="M186" s="505"/>
      <c r="N186" s="307"/>
      <c r="O186" s="47"/>
      <c r="P186" s="942"/>
      <c r="Q186" s="351"/>
      <c r="R186" s="202"/>
      <c r="S186" s="240"/>
      <c r="T186" s="240"/>
      <c r="U186" s="240"/>
      <c r="V186" s="149"/>
      <c r="W186" s="149"/>
    </row>
    <row r="187" spans="1:24" ht="14.5" customHeight="1" thickBot="1" x14ac:dyDescent="0.3">
      <c r="A187" s="22"/>
      <c r="B187" s="156"/>
      <c r="C187" s="1022"/>
      <c r="D187" s="1037"/>
      <c r="E187" s="1038"/>
      <c r="F187" s="839" t="s">
        <v>5</v>
      </c>
      <c r="G187" s="511">
        <f>+G154+G155</f>
        <v>2732.8</v>
      </c>
      <c r="H187" s="1066">
        <f t="shared" ref="H187:O187" si="13">+H154+H155</f>
        <v>2745.2</v>
      </c>
      <c r="I187" s="406">
        <f t="shared" si="13"/>
        <v>12.4</v>
      </c>
      <c r="J187" s="513">
        <f t="shared" si="13"/>
        <v>2951.2</v>
      </c>
      <c r="K187" s="407">
        <f t="shared" si="13"/>
        <v>2951.2</v>
      </c>
      <c r="L187" s="406">
        <f t="shared" si="13"/>
        <v>0</v>
      </c>
      <c r="M187" s="1066">
        <f t="shared" si="13"/>
        <v>3092.3</v>
      </c>
      <c r="N187" s="514">
        <f t="shared" si="13"/>
        <v>3092.3</v>
      </c>
      <c r="O187" s="510">
        <f t="shared" si="13"/>
        <v>0</v>
      </c>
      <c r="P187" s="1031"/>
      <c r="Q187" s="1030"/>
      <c r="R187" s="1040"/>
      <c r="S187" s="1034"/>
      <c r="T187" s="1034"/>
      <c r="U187" s="1034"/>
      <c r="V187" s="1033"/>
      <c r="W187" s="1033"/>
    </row>
    <row r="188" spans="1:24" ht="14.5" customHeight="1" thickBot="1" x14ac:dyDescent="0.3">
      <c r="A188" s="23" t="s">
        <v>4</v>
      </c>
      <c r="B188" s="37" t="s">
        <v>4</v>
      </c>
      <c r="C188" s="1700" t="s">
        <v>7</v>
      </c>
      <c r="D188" s="1701"/>
      <c r="E188" s="1701"/>
      <c r="F188" s="1701"/>
      <c r="G188" s="512">
        <f t="shared" ref="G188:O188" si="14">G187+G153+G133</f>
        <v>14567.1</v>
      </c>
      <c r="H188" s="1041">
        <f t="shared" si="14"/>
        <v>14084.7</v>
      </c>
      <c r="I188" s="515">
        <f t="shared" si="14"/>
        <v>-482.4</v>
      </c>
      <c r="J188" s="1041">
        <f t="shared" si="14"/>
        <v>14819.9</v>
      </c>
      <c r="K188" s="310">
        <f t="shared" si="14"/>
        <v>15738.5</v>
      </c>
      <c r="L188" s="515">
        <f t="shared" si="14"/>
        <v>918.6</v>
      </c>
      <c r="M188" s="1041">
        <f t="shared" si="14"/>
        <v>18107.099999999999</v>
      </c>
      <c r="N188" s="310">
        <f t="shared" si="14"/>
        <v>17891.400000000001</v>
      </c>
      <c r="O188" s="303">
        <f t="shared" si="14"/>
        <v>-215.7</v>
      </c>
      <c r="P188" s="70"/>
      <c r="Q188" s="70"/>
      <c r="R188" s="70"/>
      <c r="S188" s="70"/>
      <c r="T188" s="70"/>
      <c r="U188" s="70"/>
      <c r="V188" s="70"/>
      <c r="W188" s="65"/>
    </row>
    <row r="189" spans="1:24" ht="14.5" customHeight="1" thickBot="1" x14ac:dyDescent="0.3">
      <c r="A189" s="23" t="s">
        <v>4</v>
      </c>
      <c r="B189" s="37" t="s">
        <v>6</v>
      </c>
      <c r="C189" s="1730" t="s">
        <v>40</v>
      </c>
      <c r="D189" s="1731"/>
      <c r="E189" s="1731"/>
      <c r="F189" s="1731"/>
      <c r="G189" s="1731"/>
      <c r="H189" s="1871"/>
      <c r="I189" s="1731"/>
      <c r="J189" s="1731"/>
      <c r="K189" s="1731"/>
      <c r="L189" s="1731"/>
      <c r="M189" s="1731"/>
      <c r="N189" s="1731"/>
      <c r="O189" s="1731"/>
      <c r="P189" s="1731"/>
      <c r="Q189" s="1731"/>
      <c r="R189" s="1731"/>
      <c r="S189" s="1731"/>
      <c r="T189" s="1731"/>
      <c r="U189" s="1731"/>
      <c r="V189" s="962"/>
      <c r="W189" s="1056"/>
      <c r="X189" s="859"/>
    </row>
    <row r="190" spans="1:24" ht="18" customHeight="1" x14ac:dyDescent="0.25">
      <c r="A190" s="39" t="s">
        <v>4</v>
      </c>
      <c r="B190" s="49" t="s">
        <v>6</v>
      </c>
      <c r="C190" s="90" t="s">
        <v>4</v>
      </c>
      <c r="D190" s="1686" t="s">
        <v>63</v>
      </c>
      <c r="E190" s="516"/>
      <c r="F190" s="1547" t="s">
        <v>23</v>
      </c>
      <c r="G190" s="1548">
        <f>513.2+98.8</f>
        <v>612</v>
      </c>
      <c r="H190" s="1549">
        <f>513.2+98.8-88.5</f>
        <v>523.5</v>
      </c>
      <c r="I190" s="1550">
        <f>+H190-G190</f>
        <v>-88.5</v>
      </c>
      <c r="J190" s="1084">
        <v>615.1</v>
      </c>
      <c r="K190" s="1084">
        <v>615.1</v>
      </c>
      <c r="L190" s="1086">
        <f>+K190-J190</f>
        <v>0</v>
      </c>
      <c r="M190" s="1084">
        <v>524.1</v>
      </c>
      <c r="N190" s="1084">
        <v>524.1</v>
      </c>
      <c r="O190" s="887">
        <f>+N190-M190</f>
        <v>0</v>
      </c>
      <c r="P190" s="872"/>
      <c r="Q190" s="518"/>
      <c r="R190" s="1049"/>
      <c r="S190" s="322"/>
      <c r="T190" s="322"/>
      <c r="U190" s="322"/>
      <c r="V190" s="320"/>
      <c r="W190" s="866"/>
    </row>
    <row r="191" spans="1:24" ht="18" customHeight="1" x14ac:dyDescent="0.25">
      <c r="A191" s="40"/>
      <c r="B191" s="69"/>
      <c r="C191" s="85"/>
      <c r="D191" s="1733"/>
      <c r="E191" s="870"/>
      <c r="F191" s="19" t="s">
        <v>51</v>
      </c>
      <c r="G191" s="664">
        <v>62.3</v>
      </c>
      <c r="H191" s="744">
        <v>62.3</v>
      </c>
      <c r="I191" s="1087">
        <f>+H191-G191</f>
        <v>0</v>
      </c>
      <c r="J191" s="1085"/>
      <c r="K191" s="745"/>
      <c r="L191" s="1087"/>
      <c r="M191" s="1085"/>
      <c r="N191" s="745"/>
      <c r="O191" s="746"/>
      <c r="P191" s="873"/>
      <c r="Q191" s="874"/>
      <c r="R191" s="1050"/>
      <c r="S191" s="875"/>
      <c r="T191" s="875"/>
      <c r="U191" s="1124"/>
      <c r="V191" s="871"/>
      <c r="W191" s="1411"/>
    </row>
    <row r="192" spans="1:24" ht="26.25" customHeight="1" x14ac:dyDescent="0.25">
      <c r="A192" s="40"/>
      <c r="B192" s="69"/>
      <c r="C192" s="85"/>
      <c r="D192" s="1675" t="s">
        <v>46</v>
      </c>
      <c r="E192" s="829"/>
      <c r="F192" s="1211" t="s">
        <v>366</v>
      </c>
      <c r="G192" s="1593">
        <v>14.6</v>
      </c>
      <c r="H192" s="1594">
        <f>+G192</f>
        <v>14.6</v>
      </c>
      <c r="I192" s="1595">
        <f>+H192-G192</f>
        <v>0</v>
      </c>
      <c r="J192" s="1594">
        <v>14.6</v>
      </c>
      <c r="K192" s="1255">
        <f>+J192</f>
        <v>14.6</v>
      </c>
      <c r="L192" s="1595">
        <f>+K192-J192</f>
        <v>0</v>
      </c>
      <c r="M192" s="1594">
        <v>14.6</v>
      </c>
      <c r="N192" s="1255">
        <f>+M192</f>
        <v>14.6</v>
      </c>
      <c r="O192" s="1256">
        <f>+N192-M192</f>
        <v>0</v>
      </c>
      <c r="P192" s="435" t="s">
        <v>411</v>
      </c>
      <c r="Q192" s="618">
        <v>310</v>
      </c>
      <c r="R192" s="618"/>
      <c r="S192" s="619">
        <v>310</v>
      </c>
      <c r="T192" s="619"/>
      <c r="U192" s="619">
        <v>310</v>
      </c>
      <c r="V192" s="620"/>
      <c r="W192" s="1411"/>
    </row>
    <row r="193" spans="1:23" ht="26.25" customHeight="1" x14ac:dyDescent="0.25">
      <c r="A193" s="40"/>
      <c r="B193" s="69"/>
      <c r="C193" s="85"/>
      <c r="D193" s="1675"/>
      <c r="E193" s="117"/>
      <c r="F193" s="33"/>
      <c r="G193" s="47"/>
      <c r="H193" s="307"/>
      <c r="I193" s="381"/>
      <c r="J193" s="505"/>
      <c r="K193" s="307"/>
      <c r="L193" s="381"/>
      <c r="M193" s="505"/>
      <c r="N193" s="307"/>
      <c r="O193" s="113"/>
      <c r="P193" s="1398" t="s">
        <v>93</v>
      </c>
      <c r="Q193" s="477">
        <v>290</v>
      </c>
      <c r="R193" s="477"/>
      <c r="S193" s="400">
        <v>290</v>
      </c>
      <c r="T193" s="400"/>
      <c r="U193" s="280">
        <v>290</v>
      </c>
      <c r="V193" s="401"/>
      <c r="W193" s="1411"/>
    </row>
    <row r="194" spans="1:23" ht="26.25" customHeight="1" x14ac:dyDescent="0.25">
      <c r="A194" s="40"/>
      <c r="B194" s="69"/>
      <c r="C194" s="940"/>
      <c r="D194" s="1684"/>
      <c r="E194" s="367"/>
      <c r="F194" s="34"/>
      <c r="G194" s="46"/>
      <c r="H194" s="300"/>
      <c r="I194" s="382"/>
      <c r="J194" s="757"/>
      <c r="K194" s="300"/>
      <c r="L194" s="382"/>
      <c r="M194" s="757"/>
      <c r="N194" s="300"/>
      <c r="O194" s="55"/>
      <c r="P194" s="432" t="s">
        <v>67</v>
      </c>
      <c r="Q194" s="876">
        <v>27</v>
      </c>
      <c r="R194" s="448"/>
      <c r="S194" s="276">
        <v>27</v>
      </c>
      <c r="T194" s="276"/>
      <c r="U194" s="276">
        <v>27</v>
      </c>
      <c r="V194" s="622"/>
      <c r="W194" s="1411"/>
    </row>
    <row r="195" spans="1:23" ht="14.25" customHeight="1" x14ac:dyDescent="0.25">
      <c r="A195" s="40"/>
      <c r="B195" s="69"/>
      <c r="C195" s="85"/>
      <c r="D195" s="1674" t="s">
        <v>229</v>
      </c>
      <c r="E195" s="117"/>
      <c r="F195" s="1479" t="s">
        <v>366</v>
      </c>
      <c r="G195" s="1473">
        <f>498.6+98.8</f>
        <v>597.4</v>
      </c>
      <c r="H195" s="1473">
        <f>498.6+98.8-88.5</f>
        <v>508.9</v>
      </c>
      <c r="I195" s="1517">
        <f>+H195-G195</f>
        <v>-88.5</v>
      </c>
      <c r="J195" s="838">
        <v>483.5</v>
      </c>
      <c r="K195" s="308">
        <f>+J195</f>
        <v>483.5</v>
      </c>
      <c r="L195" s="578">
        <f>+K195-J195</f>
        <v>0</v>
      </c>
      <c r="M195" s="838">
        <v>329.5</v>
      </c>
      <c r="N195" s="308">
        <f>+M195</f>
        <v>329.5</v>
      </c>
      <c r="O195" s="56">
        <f>+N195-M195</f>
        <v>0</v>
      </c>
      <c r="P195" s="1872" t="s">
        <v>412</v>
      </c>
      <c r="Q195" s="399">
        <v>18</v>
      </c>
      <c r="R195" s="421"/>
      <c r="S195" s="275">
        <v>18</v>
      </c>
      <c r="T195" s="275"/>
      <c r="U195" s="275">
        <v>18</v>
      </c>
      <c r="V195" s="269"/>
      <c r="W195" s="1851" t="s">
        <v>454</v>
      </c>
    </row>
    <row r="196" spans="1:23" ht="16.5" customHeight="1" x14ac:dyDescent="0.25">
      <c r="A196" s="40"/>
      <c r="B196" s="69"/>
      <c r="C196" s="85"/>
      <c r="D196" s="1714"/>
      <c r="E196" s="117"/>
      <c r="F196" s="19"/>
      <c r="G196" s="47"/>
      <c r="H196" s="307"/>
      <c r="I196" s="381"/>
      <c r="J196" s="505"/>
      <c r="K196" s="307"/>
      <c r="L196" s="381"/>
      <c r="M196" s="505"/>
      <c r="N196" s="307"/>
      <c r="O196" s="113"/>
      <c r="P196" s="1860"/>
      <c r="Q196" s="480"/>
      <c r="R196" s="447"/>
      <c r="S196" s="277"/>
      <c r="T196" s="277"/>
      <c r="U196" s="277"/>
      <c r="V196" s="270"/>
      <c r="W196" s="1851"/>
    </row>
    <row r="197" spans="1:23" ht="18" customHeight="1" x14ac:dyDescent="0.25">
      <c r="A197" s="40"/>
      <c r="B197" s="69"/>
      <c r="C197" s="85"/>
      <c r="D197" s="1714"/>
      <c r="E197" s="117"/>
      <c r="F197" s="1213" t="s">
        <v>367</v>
      </c>
      <c r="G197" s="1188">
        <f>18.6+43.7</f>
        <v>62.3</v>
      </c>
      <c r="H197" s="1189">
        <f>+G197</f>
        <v>62.3</v>
      </c>
      <c r="I197" s="1191">
        <f>+H197-G197</f>
        <v>0</v>
      </c>
      <c r="J197" s="505"/>
      <c r="K197" s="307"/>
      <c r="L197" s="381"/>
      <c r="M197" s="505"/>
      <c r="N197" s="307"/>
      <c r="O197" s="113"/>
      <c r="P197" s="1873" t="s">
        <v>150</v>
      </c>
      <c r="Q197" s="369">
        <v>66</v>
      </c>
      <c r="R197" s="478"/>
      <c r="S197" s="278">
        <v>95</v>
      </c>
      <c r="T197" s="278"/>
      <c r="U197" s="278">
        <v>100</v>
      </c>
      <c r="V197" s="271"/>
      <c r="W197" s="1851"/>
    </row>
    <row r="198" spans="1:23" ht="12" customHeight="1" x14ac:dyDescent="0.25">
      <c r="A198" s="40"/>
      <c r="B198" s="69"/>
      <c r="C198" s="85"/>
      <c r="D198" s="1714"/>
      <c r="E198" s="117"/>
      <c r="F198" s="19"/>
      <c r="G198" s="47"/>
      <c r="H198" s="307"/>
      <c r="I198" s="381"/>
      <c r="J198" s="505"/>
      <c r="K198" s="307"/>
      <c r="L198" s="381"/>
      <c r="M198" s="505"/>
      <c r="N198" s="307"/>
      <c r="O198" s="113"/>
      <c r="P198" s="1874"/>
      <c r="Q198" s="481"/>
      <c r="R198" s="446"/>
      <c r="S198" s="279"/>
      <c r="T198" s="279"/>
      <c r="U198" s="279"/>
      <c r="V198" s="272"/>
      <c r="W198" s="1851"/>
    </row>
    <row r="199" spans="1:23" ht="27.75" customHeight="1" x14ac:dyDescent="0.25">
      <c r="A199" s="40"/>
      <c r="B199" s="69"/>
      <c r="C199" s="85"/>
      <c r="D199" s="1714"/>
      <c r="E199" s="117"/>
      <c r="F199" s="33"/>
      <c r="G199" s="47"/>
      <c r="H199" s="307"/>
      <c r="I199" s="381"/>
      <c r="J199" s="505"/>
      <c r="K199" s="307"/>
      <c r="L199" s="381"/>
      <c r="M199" s="505"/>
      <c r="N199" s="307"/>
      <c r="O199" s="47"/>
      <c r="P199" s="1398" t="s">
        <v>197</v>
      </c>
      <c r="Q199" s="369">
        <v>200</v>
      </c>
      <c r="R199" s="444"/>
      <c r="S199" s="278"/>
      <c r="T199" s="278"/>
      <c r="U199" s="278"/>
      <c r="V199" s="271"/>
      <c r="W199" s="1851"/>
    </row>
    <row r="200" spans="1:23" ht="26.25" customHeight="1" x14ac:dyDescent="0.25">
      <c r="A200" s="40"/>
      <c r="B200" s="69"/>
      <c r="C200" s="85"/>
      <c r="D200" s="947"/>
      <c r="E200" s="117"/>
      <c r="F200" s="33"/>
      <c r="G200" s="47"/>
      <c r="H200" s="307"/>
      <c r="I200" s="381"/>
      <c r="J200" s="505"/>
      <c r="K200" s="307"/>
      <c r="L200" s="381"/>
      <c r="M200" s="505"/>
      <c r="N200" s="307"/>
      <c r="O200" s="113"/>
      <c r="P200" s="433" t="s">
        <v>149</v>
      </c>
      <c r="Q200" s="599">
        <v>9.1999999999999993</v>
      </c>
      <c r="R200" s="445"/>
      <c r="S200" s="280">
        <v>6.2</v>
      </c>
      <c r="T200" s="280"/>
      <c r="U200" s="280">
        <v>6.2</v>
      </c>
      <c r="V200" s="273"/>
      <c r="W200" s="1851"/>
    </row>
    <row r="201" spans="1:23" ht="31.5" customHeight="1" x14ac:dyDescent="0.25">
      <c r="A201" s="40"/>
      <c r="B201" s="69"/>
      <c r="C201" s="85"/>
      <c r="D201" s="947"/>
      <c r="E201" s="948"/>
      <c r="F201" s="33"/>
      <c r="G201" s="47"/>
      <c r="H201" s="307"/>
      <c r="I201" s="381"/>
      <c r="J201" s="505"/>
      <c r="K201" s="307"/>
      <c r="L201" s="381"/>
      <c r="M201" s="505"/>
      <c r="N201" s="307"/>
      <c r="O201" s="113"/>
      <c r="P201" s="433" t="s">
        <v>270</v>
      </c>
      <c r="Q201" s="480">
        <v>100</v>
      </c>
      <c r="R201" s="601"/>
      <c r="S201" s="366"/>
      <c r="T201" s="366"/>
      <c r="U201" s="400"/>
      <c r="V201" s="401"/>
      <c r="W201" s="1851"/>
    </row>
    <row r="202" spans="1:23" ht="20.9" customHeight="1" x14ac:dyDescent="0.25">
      <c r="A202" s="40"/>
      <c r="B202" s="69"/>
      <c r="C202" s="85"/>
      <c r="D202" s="947"/>
      <c r="E202" s="117"/>
      <c r="F202" s="33"/>
      <c r="G202" s="47"/>
      <c r="H202" s="307"/>
      <c r="I202" s="381"/>
      <c r="J202" s="505"/>
      <c r="K202" s="307"/>
      <c r="L202" s="381"/>
      <c r="M202" s="505"/>
      <c r="N202" s="307"/>
      <c r="O202" s="113"/>
      <c r="P202" s="4" t="s">
        <v>316</v>
      </c>
      <c r="Q202" s="370">
        <v>500</v>
      </c>
      <c r="R202" s="479"/>
      <c r="S202" s="366"/>
      <c r="T202" s="366"/>
      <c r="U202" s="266"/>
      <c r="V202" s="226"/>
      <c r="W202" s="1851"/>
    </row>
    <row r="203" spans="1:23" ht="29.25" customHeight="1" x14ac:dyDescent="0.25">
      <c r="A203" s="40"/>
      <c r="B203" s="69"/>
      <c r="C203" s="85"/>
      <c r="D203" s="947"/>
      <c r="E203" s="117"/>
      <c r="F203" s="33"/>
      <c r="G203" s="47"/>
      <c r="H203" s="307"/>
      <c r="I203" s="381"/>
      <c r="J203" s="505"/>
      <c r="K203" s="307"/>
      <c r="L203" s="381"/>
      <c r="M203" s="505"/>
      <c r="N203" s="307"/>
      <c r="O203" s="47"/>
      <c r="P203" s="1398" t="s">
        <v>413</v>
      </c>
      <c r="Q203" s="370">
        <v>105</v>
      </c>
      <c r="R203" s="479"/>
      <c r="S203" s="278"/>
      <c r="T203" s="278"/>
      <c r="U203" s="280"/>
      <c r="V203" s="273"/>
      <c r="W203" s="1851"/>
    </row>
    <row r="204" spans="1:23" ht="17.149999999999999" customHeight="1" x14ac:dyDescent="0.25">
      <c r="A204" s="40"/>
      <c r="B204" s="69"/>
      <c r="C204" s="85"/>
      <c r="D204" s="1347"/>
      <c r="E204" s="117"/>
      <c r="F204" s="33"/>
      <c r="G204" s="47"/>
      <c r="H204" s="307"/>
      <c r="I204" s="381"/>
      <c r="J204" s="505"/>
      <c r="K204" s="307"/>
      <c r="L204" s="381"/>
      <c r="M204" s="505"/>
      <c r="N204" s="307"/>
      <c r="O204" s="47"/>
      <c r="P204" s="1398" t="s">
        <v>443</v>
      </c>
      <c r="Q204" s="599">
        <v>1</v>
      </c>
      <c r="R204" s="445"/>
      <c r="S204" s="366"/>
      <c r="T204" s="366"/>
      <c r="U204" s="280"/>
      <c r="V204" s="273"/>
      <c r="W204" s="1851"/>
    </row>
    <row r="205" spans="1:23" ht="27" customHeight="1" x14ac:dyDescent="0.25">
      <c r="A205" s="40"/>
      <c r="B205" s="69"/>
      <c r="C205" s="85"/>
      <c r="D205" s="1347"/>
      <c r="E205" s="117"/>
      <c r="F205" s="33"/>
      <c r="G205" s="47"/>
      <c r="H205" s="307"/>
      <c r="I205" s="381"/>
      <c r="J205" s="505"/>
      <c r="K205" s="307"/>
      <c r="L205" s="381"/>
      <c r="M205" s="505"/>
      <c r="N205" s="307"/>
      <c r="O205" s="47"/>
      <c r="P205" s="1398" t="s">
        <v>441</v>
      </c>
      <c r="Q205" s="599">
        <v>100</v>
      </c>
      <c r="R205" s="445"/>
      <c r="S205" s="366"/>
      <c r="T205" s="366"/>
      <c r="U205" s="280"/>
      <c r="V205" s="273"/>
      <c r="W205" s="1851"/>
    </row>
    <row r="206" spans="1:23" ht="29.25" customHeight="1" x14ac:dyDescent="0.25">
      <c r="A206" s="40"/>
      <c r="B206" s="69"/>
      <c r="C206" s="85"/>
      <c r="D206" s="947"/>
      <c r="E206" s="117"/>
      <c r="F206" s="33"/>
      <c r="G206" s="47"/>
      <c r="H206" s="307"/>
      <c r="I206" s="381"/>
      <c r="J206" s="505"/>
      <c r="K206" s="307"/>
      <c r="L206" s="381"/>
      <c r="M206" s="505"/>
      <c r="N206" s="307"/>
      <c r="O206" s="47"/>
      <c r="P206" s="449" t="s">
        <v>271</v>
      </c>
      <c r="Q206" s="371"/>
      <c r="R206" s="606"/>
      <c r="S206" s="372">
        <v>100</v>
      </c>
      <c r="T206" s="372"/>
      <c r="U206" s="276"/>
      <c r="V206" s="622"/>
      <c r="W206" s="1882"/>
    </row>
    <row r="207" spans="1:23" ht="20.149999999999999" customHeight="1" x14ac:dyDescent="0.25">
      <c r="A207" s="40"/>
      <c r="B207" s="69"/>
      <c r="C207" s="85"/>
      <c r="D207" s="609" t="s">
        <v>273</v>
      </c>
      <c r="E207" s="829"/>
      <c r="F207" s="1259" t="s">
        <v>366</v>
      </c>
      <c r="G207" s="1184"/>
      <c r="H207" s="1185"/>
      <c r="I207" s="1217"/>
      <c r="J207" s="1242">
        <v>117</v>
      </c>
      <c r="K207" s="1185">
        <f>+J207</f>
        <v>117</v>
      </c>
      <c r="L207" s="1217">
        <f>+K207-J207</f>
        <v>0</v>
      </c>
      <c r="M207" s="1242">
        <v>180</v>
      </c>
      <c r="N207" s="1185">
        <f>+M207</f>
        <v>180</v>
      </c>
      <c r="O207" s="1184">
        <f>+N207-M207</f>
        <v>0</v>
      </c>
      <c r="P207" s="1399" t="s">
        <v>274</v>
      </c>
      <c r="Q207" s="480"/>
      <c r="R207" s="601"/>
      <c r="S207" s="277">
        <v>1</v>
      </c>
      <c r="T207" s="277"/>
      <c r="U207" s="275"/>
      <c r="V207" s="269"/>
      <c r="W207" s="611"/>
    </row>
    <row r="208" spans="1:23" ht="20.149999999999999" customHeight="1" x14ac:dyDescent="0.25">
      <c r="A208" s="40"/>
      <c r="B208" s="69"/>
      <c r="C208" s="85"/>
      <c r="D208" s="610"/>
      <c r="E208" s="367"/>
      <c r="F208" s="34"/>
      <c r="G208" s="1042"/>
      <c r="H208" s="300"/>
      <c r="I208" s="382"/>
      <c r="J208" s="757"/>
      <c r="K208" s="300"/>
      <c r="L208" s="382"/>
      <c r="M208" s="757"/>
      <c r="N208" s="300"/>
      <c r="O208" s="55"/>
      <c r="P208" s="432" t="s">
        <v>317</v>
      </c>
      <c r="Q208" s="482"/>
      <c r="R208" s="1118"/>
      <c r="S208" s="372"/>
      <c r="T208" s="372"/>
      <c r="U208" s="877">
        <v>1</v>
      </c>
      <c r="V208" s="1119"/>
      <c r="W208" s="605"/>
    </row>
    <row r="209" spans="1:24" ht="15" customHeight="1" thickBot="1" x14ac:dyDescent="0.3">
      <c r="A209" s="22"/>
      <c r="B209" s="156"/>
      <c r="C209" s="1022"/>
      <c r="D209" s="1035"/>
      <c r="E209" s="1027"/>
      <c r="F209" s="18" t="s">
        <v>5</v>
      </c>
      <c r="G209" s="511">
        <f>+G190+G191</f>
        <v>674.3</v>
      </c>
      <c r="H209" s="1066">
        <f t="shared" ref="H209:O209" si="15">+H190+H191</f>
        <v>585.79999999999995</v>
      </c>
      <c r="I209" s="1081">
        <f t="shared" si="15"/>
        <v>-88.5</v>
      </c>
      <c r="J209" s="513">
        <f>+J190+J191</f>
        <v>615.1</v>
      </c>
      <c r="K209" s="407">
        <f t="shared" si="15"/>
        <v>615.1</v>
      </c>
      <c r="L209" s="406">
        <f t="shared" si="15"/>
        <v>0</v>
      </c>
      <c r="M209" s="1066">
        <f t="shared" si="15"/>
        <v>524.1</v>
      </c>
      <c r="N209" s="514">
        <f t="shared" si="15"/>
        <v>524.1</v>
      </c>
      <c r="O209" s="510">
        <f t="shared" si="15"/>
        <v>0</v>
      </c>
      <c r="P209" s="1036"/>
      <c r="Q209" s="1030"/>
      <c r="R209" s="1026"/>
      <c r="S209" s="1028"/>
      <c r="T209" s="1028"/>
      <c r="U209" s="1034"/>
      <c r="V209" s="1033"/>
      <c r="W209" s="1029"/>
    </row>
    <row r="210" spans="1:24" ht="15" customHeight="1" thickBot="1" x14ac:dyDescent="0.3">
      <c r="A210" s="24" t="s">
        <v>4</v>
      </c>
      <c r="B210" s="5" t="s">
        <v>6</v>
      </c>
      <c r="C210" s="1701" t="s">
        <v>7</v>
      </c>
      <c r="D210" s="1701"/>
      <c r="E210" s="1701"/>
      <c r="F210" s="1701"/>
      <c r="G210" s="512">
        <f t="shared" ref="G210:M210" si="16">G209</f>
        <v>674.3</v>
      </c>
      <c r="H210" s="1041">
        <f t="shared" ref="H210" si="17">H209</f>
        <v>585.79999999999995</v>
      </c>
      <c r="I210" s="515">
        <f t="shared" ref="I210" si="18">I209</f>
        <v>-88.5</v>
      </c>
      <c r="J210" s="1041">
        <f t="shared" si="16"/>
        <v>615.1</v>
      </c>
      <c r="K210" s="310">
        <f t="shared" ref="K210:L210" si="19">K209</f>
        <v>615.1</v>
      </c>
      <c r="L210" s="515">
        <f t="shared" si="19"/>
        <v>0</v>
      </c>
      <c r="M210" s="1041">
        <f t="shared" si="16"/>
        <v>524.1</v>
      </c>
      <c r="N210" s="310">
        <f t="shared" ref="N210" si="20">N209</f>
        <v>524.1</v>
      </c>
      <c r="O210" s="303">
        <f t="shared" ref="O210" si="21">O209</f>
        <v>0</v>
      </c>
      <c r="P210" s="1866"/>
      <c r="Q210" s="1867"/>
      <c r="R210" s="1867"/>
      <c r="S210" s="1867"/>
      <c r="T210" s="1867"/>
      <c r="U210" s="1867"/>
      <c r="V210" s="1867"/>
      <c r="W210" s="1868"/>
    </row>
    <row r="211" spans="1:24" ht="15" customHeight="1" thickBot="1" x14ac:dyDescent="0.3">
      <c r="A211" s="23" t="s">
        <v>4</v>
      </c>
      <c r="B211" s="5" t="s">
        <v>25</v>
      </c>
      <c r="C211" s="1703" t="s">
        <v>98</v>
      </c>
      <c r="D211" s="1869"/>
      <c r="E211" s="1869"/>
      <c r="F211" s="1869"/>
      <c r="G211" s="1869"/>
      <c r="H211" s="1869"/>
      <c r="I211" s="1869"/>
      <c r="J211" s="1869"/>
      <c r="K211" s="1869"/>
      <c r="L211" s="1869"/>
      <c r="M211" s="1869"/>
      <c r="N211" s="1869"/>
      <c r="O211" s="1869"/>
      <c r="P211" s="1869"/>
      <c r="Q211" s="1869"/>
      <c r="R211" s="1869"/>
      <c r="S211" s="1869"/>
      <c r="T211" s="1869"/>
      <c r="U211" s="1869"/>
      <c r="V211" s="1869"/>
      <c r="W211" s="1870"/>
      <c r="X211" s="859"/>
    </row>
    <row r="212" spans="1:24" ht="14.25" customHeight="1" x14ac:dyDescent="0.25">
      <c r="A212" s="73" t="s">
        <v>4</v>
      </c>
      <c r="B212" s="71" t="s">
        <v>25</v>
      </c>
      <c r="C212" s="974" t="s">
        <v>4</v>
      </c>
      <c r="D212" s="1728" t="s">
        <v>208</v>
      </c>
      <c r="E212" s="868"/>
      <c r="F212" s="1412" t="s">
        <v>23</v>
      </c>
      <c r="G212" s="889">
        <f>1386.4+201.6</f>
        <v>1588</v>
      </c>
      <c r="H212" s="889">
        <f>1386.4+201.6</f>
        <v>1588</v>
      </c>
      <c r="I212" s="890">
        <f>+H212-G212</f>
        <v>0</v>
      </c>
      <c r="J212" s="1551">
        <v>1877.7</v>
      </c>
      <c r="K212" s="1551">
        <f>1877.7+93.6</f>
        <v>1971.3</v>
      </c>
      <c r="L212" s="1552">
        <f>+K212-J212</f>
        <v>93.6</v>
      </c>
      <c r="M212" s="1082">
        <v>1524.1</v>
      </c>
      <c r="N212" s="1082">
        <v>1524.1</v>
      </c>
      <c r="O212" s="1044">
        <f>+N212-M212</f>
        <v>0</v>
      </c>
      <c r="P212" s="866"/>
      <c r="Q212" s="326"/>
      <c r="R212" s="306"/>
      <c r="S212" s="306"/>
      <c r="T212" s="306"/>
      <c r="U212" s="1116"/>
      <c r="V212" s="1115"/>
      <c r="W212" s="1892"/>
    </row>
    <row r="213" spans="1:24" ht="14.25" customHeight="1" x14ac:dyDescent="0.25">
      <c r="A213" s="73"/>
      <c r="B213" s="71"/>
      <c r="C213" s="974"/>
      <c r="D213" s="1729"/>
      <c r="E213" s="864"/>
      <c r="F213" s="1553" t="s">
        <v>243</v>
      </c>
      <c r="G213" s="1554">
        <v>300</v>
      </c>
      <c r="H213" s="1555">
        <f>300-93.6</f>
        <v>206.4</v>
      </c>
      <c r="I213" s="1556">
        <f>+H213-G213</f>
        <v>-93.6</v>
      </c>
      <c r="J213" s="1083"/>
      <c r="K213" s="1083"/>
      <c r="L213" s="892"/>
      <c r="M213" s="1083"/>
      <c r="N213" s="1083"/>
      <c r="O213" s="1045"/>
      <c r="P213" s="1397"/>
      <c r="Q213" s="47"/>
      <c r="R213" s="307"/>
      <c r="S213" s="307"/>
      <c r="T213" s="307"/>
      <c r="U213" s="1117"/>
      <c r="V213" s="865"/>
      <c r="W213" s="1893"/>
    </row>
    <row r="214" spans="1:24" ht="14.25" customHeight="1" x14ac:dyDescent="0.25">
      <c r="A214" s="73"/>
      <c r="B214" s="71"/>
      <c r="C214" s="974"/>
      <c r="D214" s="1729"/>
      <c r="E214" s="864"/>
      <c r="F214" s="1553" t="s">
        <v>159</v>
      </c>
      <c r="G214" s="1554">
        <v>2109.1</v>
      </c>
      <c r="H214" s="1555">
        <f>2109.1-983.2</f>
        <v>1125.9000000000001</v>
      </c>
      <c r="I214" s="1556">
        <f t="shared" ref="I214:I218" si="22">+H214-G214</f>
        <v>-983.2</v>
      </c>
      <c r="J214" s="1555">
        <v>398.6</v>
      </c>
      <c r="K214" s="1555">
        <f>398.6+983.2</f>
        <v>1381.8</v>
      </c>
      <c r="L214" s="1556">
        <f>+K214-J214</f>
        <v>983.2</v>
      </c>
      <c r="M214" s="1083"/>
      <c r="N214" s="1083"/>
      <c r="O214" s="1045"/>
      <c r="P214" s="1397"/>
      <c r="Q214" s="47"/>
      <c r="R214" s="307"/>
      <c r="S214" s="307"/>
      <c r="T214" s="307"/>
      <c r="U214" s="1117"/>
      <c r="V214" s="865"/>
      <c r="W214" s="1893"/>
    </row>
    <row r="215" spans="1:24" ht="14.25" customHeight="1" x14ac:dyDescent="0.25">
      <c r="A215" s="73"/>
      <c r="B215" s="71"/>
      <c r="C215" s="974"/>
      <c r="D215" s="1729"/>
      <c r="E215" s="864"/>
      <c r="F215" s="1553" t="s">
        <v>158</v>
      </c>
      <c r="G215" s="1554">
        <v>186.1</v>
      </c>
      <c r="H215" s="1555">
        <f>186.1-86.8</f>
        <v>99.3</v>
      </c>
      <c r="I215" s="1556">
        <f t="shared" si="22"/>
        <v>-86.8</v>
      </c>
      <c r="J215" s="1555">
        <v>35.200000000000003</v>
      </c>
      <c r="K215" s="1555">
        <f>35.2+86.8</f>
        <v>122</v>
      </c>
      <c r="L215" s="1556">
        <f>+K215-J215</f>
        <v>86.8</v>
      </c>
      <c r="M215" s="1083"/>
      <c r="N215" s="1083"/>
      <c r="O215" s="1045"/>
      <c r="P215" s="1397"/>
      <c r="Q215" s="47"/>
      <c r="R215" s="307"/>
      <c r="S215" s="307"/>
      <c r="T215" s="307"/>
      <c r="U215" s="1117"/>
      <c r="V215" s="865"/>
      <c r="W215" s="1893"/>
    </row>
    <row r="216" spans="1:24" ht="14.25" customHeight="1" x14ac:dyDescent="0.25">
      <c r="A216" s="73"/>
      <c r="B216" s="71"/>
      <c r="C216" s="1176"/>
      <c r="D216" s="1729"/>
      <c r="E216" s="864"/>
      <c r="F216" s="1412" t="s">
        <v>434</v>
      </c>
      <c r="G216" s="1083">
        <v>50</v>
      </c>
      <c r="H216" s="1083">
        <v>50</v>
      </c>
      <c r="I216" s="892">
        <f>+H216-G216</f>
        <v>0</v>
      </c>
      <c r="J216" s="1083"/>
      <c r="K216" s="1083"/>
      <c r="L216" s="892"/>
      <c r="M216" s="1083"/>
      <c r="N216" s="1083"/>
      <c r="O216" s="1045"/>
      <c r="P216" s="1397"/>
      <c r="Q216" s="47"/>
      <c r="R216" s="307"/>
      <c r="S216" s="307"/>
      <c r="T216" s="307"/>
      <c r="U216" s="1117"/>
      <c r="V216" s="865"/>
      <c r="W216" s="1893"/>
    </row>
    <row r="217" spans="1:24" ht="14.25" customHeight="1" x14ac:dyDescent="0.25">
      <c r="A217" s="73"/>
      <c r="B217" s="71"/>
      <c r="C217" s="974"/>
      <c r="D217" s="1729"/>
      <c r="E217" s="864"/>
      <c r="F217" s="1553" t="s">
        <v>51</v>
      </c>
      <c r="G217" s="1555">
        <f>212.4-10</f>
        <v>202.4</v>
      </c>
      <c r="H217" s="1555">
        <f>212.4-10-111.2</f>
        <v>91.2</v>
      </c>
      <c r="I217" s="1556">
        <f t="shared" si="22"/>
        <v>-111.2</v>
      </c>
      <c r="J217" s="1555"/>
      <c r="K217" s="1555">
        <v>111.2</v>
      </c>
      <c r="L217" s="1556">
        <f>+K217-J217</f>
        <v>111.2</v>
      </c>
      <c r="M217" s="1083"/>
      <c r="N217" s="1083"/>
      <c r="O217" s="1045"/>
      <c r="P217" s="1397"/>
      <c r="Q217" s="47"/>
      <c r="R217" s="307"/>
      <c r="S217" s="307"/>
      <c r="T217" s="307"/>
      <c r="U217" s="1117"/>
      <c r="V217" s="865"/>
      <c r="W217" s="1893"/>
    </row>
    <row r="218" spans="1:24" ht="14.25" customHeight="1" x14ac:dyDescent="0.25">
      <c r="A218" s="73"/>
      <c r="B218" s="71"/>
      <c r="C218" s="974"/>
      <c r="D218" s="1729"/>
      <c r="E218" s="864"/>
      <c r="F218" s="57" t="s">
        <v>347</v>
      </c>
      <c r="G218" s="1067">
        <v>371.7</v>
      </c>
      <c r="H218" s="1083">
        <v>371.7</v>
      </c>
      <c r="I218" s="892">
        <f t="shared" si="22"/>
        <v>0</v>
      </c>
      <c r="J218" s="1083"/>
      <c r="K218" s="1083"/>
      <c r="L218" s="892"/>
      <c r="M218" s="1083"/>
      <c r="N218" s="1083"/>
      <c r="O218" s="1045"/>
      <c r="P218" s="1397"/>
      <c r="Q218" s="47"/>
      <c r="R218" s="307"/>
      <c r="S218" s="307"/>
      <c r="T218" s="307"/>
      <c r="U218" s="1117"/>
      <c r="V218" s="865"/>
      <c r="W218" s="1893"/>
    </row>
    <row r="219" spans="1:24" ht="14.25" customHeight="1" x14ac:dyDescent="0.25">
      <c r="A219" s="73"/>
      <c r="B219" s="71"/>
      <c r="C219" s="974"/>
      <c r="D219" s="973"/>
      <c r="E219" s="869"/>
      <c r="F219" s="57" t="s">
        <v>346</v>
      </c>
      <c r="G219" s="1068">
        <v>32.799999999999997</v>
      </c>
      <c r="H219" s="893">
        <v>32.799999999999997</v>
      </c>
      <c r="I219" s="892">
        <f t="shared" ref="I219" si="23">+H219-G219</f>
        <v>0</v>
      </c>
      <c r="J219" s="893"/>
      <c r="K219" s="893"/>
      <c r="L219" s="895"/>
      <c r="M219" s="893"/>
      <c r="N219" s="893"/>
      <c r="O219" s="1046"/>
      <c r="P219" s="434"/>
      <c r="Q219" s="1114"/>
      <c r="R219" s="300"/>
      <c r="S219" s="307"/>
      <c r="T219" s="307"/>
      <c r="U219" s="1117"/>
      <c r="V219" s="865"/>
      <c r="W219" s="1894"/>
    </row>
    <row r="220" spans="1:24" ht="14.25" customHeight="1" x14ac:dyDescent="0.25">
      <c r="A220" s="73"/>
      <c r="B220" s="71"/>
      <c r="C220" s="974"/>
      <c r="D220" s="1712" t="s">
        <v>157</v>
      </c>
      <c r="E220" s="957" t="s">
        <v>43</v>
      </c>
      <c r="F220" s="1183" t="s">
        <v>366</v>
      </c>
      <c r="G220" s="1189">
        <f>1150+201.6</f>
        <v>1351.6</v>
      </c>
      <c r="H220" s="1189">
        <f>1150+201.6</f>
        <v>1351.6</v>
      </c>
      <c r="I220" s="1217">
        <f>+H220-G220</f>
        <v>0</v>
      </c>
      <c r="J220" s="1209">
        <v>1200</v>
      </c>
      <c r="K220" s="1189">
        <f>+J220</f>
        <v>1200</v>
      </c>
      <c r="L220" s="1191">
        <f>+K220-J220</f>
        <v>0</v>
      </c>
      <c r="M220" s="1209">
        <v>1200</v>
      </c>
      <c r="N220" s="1189">
        <f>+M220</f>
        <v>1200</v>
      </c>
      <c r="O220" s="1188">
        <f>+N220-M220</f>
        <v>0</v>
      </c>
      <c r="P220" s="443" t="s">
        <v>151</v>
      </c>
      <c r="Q220" s="526">
        <v>10</v>
      </c>
      <c r="R220" s="637"/>
      <c r="S220" s="378">
        <v>10</v>
      </c>
      <c r="T220" s="378"/>
      <c r="U220" s="378">
        <v>10</v>
      </c>
      <c r="V220" s="1106"/>
      <c r="W220" s="1875"/>
    </row>
    <row r="221" spans="1:24" ht="15" customHeight="1" x14ac:dyDescent="0.25">
      <c r="A221" s="73"/>
      <c r="B221" s="71"/>
      <c r="C221" s="974"/>
      <c r="D221" s="1714"/>
      <c r="E221" s="975" t="s">
        <v>225</v>
      </c>
      <c r="F221" s="1187" t="s">
        <v>367</v>
      </c>
      <c r="G221" s="1248">
        <v>63.5</v>
      </c>
      <c r="H221" s="1189">
        <f>+G221</f>
        <v>63.5</v>
      </c>
      <c r="I221" s="1191">
        <f>+H221-G221</f>
        <v>0</v>
      </c>
      <c r="J221" s="1209"/>
      <c r="K221" s="1189"/>
      <c r="L221" s="1191"/>
      <c r="M221" s="1209"/>
      <c r="N221" s="1189"/>
      <c r="O221" s="1188"/>
      <c r="P221" s="1862" t="s">
        <v>140</v>
      </c>
      <c r="Q221" s="587">
        <v>334</v>
      </c>
      <c r="R221" s="468"/>
      <c r="S221" s="293">
        <v>335</v>
      </c>
      <c r="T221" s="293"/>
      <c r="U221" s="293">
        <v>506</v>
      </c>
      <c r="V221" s="180"/>
      <c r="W221" s="1876"/>
    </row>
    <row r="222" spans="1:24" ht="15" customHeight="1" x14ac:dyDescent="0.25">
      <c r="A222" s="73"/>
      <c r="B222" s="71"/>
      <c r="C222" s="974"/>
      <c r="D222" s="77" t="s">
        <v>414</v>
      </c>
      <c r="E222" s="975" t="s">
        <v>194</v>
      </c>
      <c r="F222" s="1187" t="s">
        <v>333</v>
      </c>
      <c r="G222" s="1189">
        <f>50-50</f>
        <v>0</v>
      </c>
      <c r="H222" s="1189">
        <f>50-50</f>
        <v>0</v>
      </c>
      <c r="I222" s="1191">
        <f>+H222-G222</f>
        <v>0</v>
      </c>
      <c r="J222" s="1209"/>
      <c r="K222" s="1189"/>
      <c r="L222" s="1191"/>
      <c r="M222" s="1209"/>
      <c r="N222" s="1189"/>
      <c r="O222" s="1188"/>
      <c r="P222" s="1863"/>
      <c r="Q222" s="1103"/>
      <c r="R222" s="857"/>
      <c r="S222" s="858"/>
      <c r="T222" s="858"/>
      <c r="U222" s="1111"/>
      <c r="V222" s="595"/>
      <c r="W222" s="1876"/>
      <c r="X222" s="859"/>
    </row>
    <row r="223" spans="1:24" ht="13.5" customHeight="1" x14ac:dyDescent="0.25">
      <c r="A223" s="73"/>
      <c r="B223" s="71"/>
      <c r="C223" s="974"/>
      <c r="D223" s="1715" t="s">
        <v>165</v>
      </c>
      <c r="E223" s="975"/>
      <c r="F223" s="1187" t="s">
        <v>435</v>
      </c>
      <c r="G223" s="1189">
        <v>50</v>
      </c>
      <c r="H223" s="1189">
        <v>50</v>
      </c>
      <c r="I223" s="1191">
        <f>+H223-G223</f>
        <v>0</v>
      </c>
      <c r="J223" s="1209"/>
      <c r="K223" s="1189"/>
      <c r="L223" s="1191"/>
      <c r="M223" s="1209"/>
      <c r="N223" s="1189"/>
      <c r="O223" s="1190"/>
      <c r="P223" s="1864" t="s">
        <v>381</v>
      </c>
      <c r="Q223" s="1426">
        <v>12.7</v>
      </c>
      <c r="R223" s="860"/>
      <c r="S223" s="862">
        <v>9.1</v>
      </c>
      <c r="T223" s="862"/>
      <c r="U223" s="862">
        <v>7.2</v>
      </c>
      <c r="V223" s="1107"/>
      <c r="W223" s="1876"/>
    </row>
    <row r="224" spans="1:24" ht="13.5" customHeight="1" x14ac:dyDescent="0.25">
      <c r="A224" s="73"/>
      <c r="B224" s="71"/>
      <c r="C224" s="974"/>
      <c r="D224" s="1716"/>
      <c r="E224" s="975"/>
      <c r="F224" s="1187"/>
      <c r="G224" s="1248"/>
      <c r="H224" s="1189"/>
      <c r="I224" s="1191"/>
      <c r="J224" s="1209"/>
      <c r="K224" s="1189"/>
      <c r="L224" s="1191"/>
      <c r="M224" s="1209"/>
      <c r="N224" s="1189"/>
      <c r="O224" s="1190"/>
      <c r="P224" s="1865"/>
      <c r="Q224" s="459"/>
      <c r="R224" s="1051"/>
      <c r="S224" s="245"/>
      <c r="T224" s="245"/>
      <c r="U224" s="245"/>
      <c r="V224" s="148"/>
      <c r="W224" s="1876"/>
    </row>
    <row r="225" spans="1:23" ht="13" customHeight="1" x14ac:dyDescent="0.25">
      <c r="A225" s="73"/>
      <c r="B225" s="71"/>
      <c r="C225" s="974"/>
      <c r="D225" s="964" t="s">
        <v>156</v>
      </c>
      <c r="E225" s="161"/>
      <c r="F225" s="1403"/>
      <c r="G225" s="504"/>
      <c r="H225" s="300"/>
      <c r="I225" s="382"/>
      <c r="J225" s="757"/>
      <c r="K225" s="300"/>
      <c r="L225" s="382"/>
      <c r="M225" s="757"/>
      <c r="N225" s="300"/>
      <c r="O225" s="55"/>
      <c r="P225" s="434"/>
      <c r="Q225" s="861"/>
      <c r="R225" s="1101"/>
      <c r="S225" s="858"/>
      <c r="T225" s="858"/>
      <c r="U225" s="1112"/>
      <c r="V225" s="1108"/>
      <c r="W225" s="1877"/>
    </row>
    <row r="226" spans="1:23" ht="13.5" customHeight="1" x14ac:dyDescent="0.25">
      <c r="A226" s="938"/>
      <c r="B226" s="949"/>
      <c r="C226" s="940"/>
      <c r="D226" s="1719" t="s">
        <v>113</v>
      </c>
      <c r="E226" s="957" t="s">
        <v>43</v>
      </c>
      <c r="F226" s="57" t="s">
        <v>366</v>
      </c>
      <c r="G226" s="380">
        <f>345.4-300</f>
        <v>45.4</v>
      </c>
      <c r="H226" s="307">
        <f>+G226</f>
        <v>45.4</v>
      </c>
      <c r="I226" s="578">
        <f>+H226-G226</f>
        <v>0</v>
      </c>
      <c r="J226" s="1480">
        <v>363.6</v>
      </c>
      <c r="K226" s="1480">
        <f>363.6+93.6</f>
        <v>457.2</v>
      </c>
      <c r="L226" s="1517">
        <f>+K226-J226</f>
        <v>93.6</v>
      </c>
      <c r="M226" s="505"/>
      <c r="N226" s="307"/>
      <c r="O226" s="47"/>
      <c r="P226" s="1883" t="s">
        <v>205</v>
      </c>
      <c r="Q226" s="1558">
        <v>90</v>
      </c>
      <c r="R226" s="1495">
        <v>70</v>
      </c>
      <c r="S226" s="239">
        <v>100</v>
      </c>
      <c r="T226" s="239"/>
      <c r="U226" s="239"/>
      <c r="V226" s="168"/>
      <c r="W226" s="1875" t="s">
        <v>459</v>
      </c>
    </row>
    <row r="227" spans="1:23" ht="15.75" customHeight="1" x14ac:dyDescent="0.25">
      <c r="A227" s="938"/>
      <c r="B227" s="949"/>
      <c r="C227" s="940"/>
      <c r="D227" s="1720"/>
      <c r="E227" s="975" t="s">
        <v>225</v>
      </c>
      <c r="F227" s="1553" t="s">
        <v>367</v>
      </c>
      <c r="G227" s="1477">
        <f>138.2-10</f>
        <v>128.19999999999999</v>
      </c>
      <c r="H227" s="1477">
        <f>138.2-10-111.2</f>
        <v>17</v>
      </c>
      <c r="I227" s="1478">
        <f>+H227-G227</f>
        <v>-111.2</v>
      </c>
      <c r="J227" s="1480"/>
      <c r="K227" s="1477">
        <v>111.2</v>
      </c>
      <c r="L227" s="1478">
        <f>+K227-J227</f>
        <v>111.2</v>
      </c>
      <c r="M227" s="505"/>
      <c r="N227" s="307"/>
      <c r="O227" s="47"/>
      <c r="P227" s="1863"/>
      <c r="Q227" s="351"/>
      <c r="R227" s="202"/>
      <c r="S227" s="241"/>
      <c r="T227" s="241"/>
      <c r="U227" s="241"/>
      <c r="V227" s="169"/>
      <c r="W227" s="1876"/>
    </row>
    <row r="228" spans="1:23" ht="15" customHeight="1" x14ac:dyDescent="0.25">
      <c r="A228" s="938"/>
      <c r="B228" s="949"/>
      <c r="C228" s="940"/>
      <c r="D228" s="1721"/>
      <c r="E228" s="975" t="s">
        <v>194</v>
      </c>
      <c r="F228" s="1553" t="s">
        <v>370</v>
      </c>
      <c r="G228" s="1557">
        <v>186.1</v>
      </c>
      <c r="H228" s="1477">
        <f>186.1-86.8</f>
        <v>99.3</v>
      </c>
      <c r="I228" s="1478">
        <f>+H228-G228</f>
        <v>-86.8</v>
      </c>
      <c r="J228" s="1480">
        <v>35.200000000000003</v>
      </c>
      <c r="K228" s="1480">
        <f>35.2+86.8</f>
        <v>122</v>
      </c>
      <c r="L228" s="1478">
        <f>+K228-J228</f>
        <v>86.8</v>
      </c>
      <c r="M228" s="505"/>
      <c r="N228" s="307"/>
      <c r="O228" s="113"/>
      <c r="P228" s="1873" t="s">
        <v>140</v>
      </c>
      <c r="Q228" s="1104">
        <v>200</v>
      </c>
      <c r="R228" s="849"/>
      <c r="S228" s="248">
        <v>246</v>
      </c>
      <c r="T228" s="248"/>
      <c r="U228" s="293"/>
      <c r="V228" s="180"/>
      <c r="W228" s="1876"/>
    </row>
    <row r="229" spans="1:23" ht="15" customHeight="1" x14ac:dyDescent="0.25">
      <c r="A229" s="938"/>
      <c r="B229" s="949"/>
      <c r="C229" s="940"/>
      <c r="D229" s="971"/>
      <c r="E229" s="164"/>
      <c r="F229" s="1553" t="s">
        <v>372</v>
      </c>
      <c r="G229" s="1557">
        <v>2109.1</v>
      </c>
      <c r="H229" s="1477">
        <f>2109.1-983.2</f>
        <v>1125.9000000000001</v>
      </c>
      <c r="I229" s="1478">
        <f>+H229-G229</f>
        <v>-983.2</v>
      </c>
      <c r="J229" s="1480">
        <v>398.6</v>
      </c>
      <c r="K229" s="1480">
        <f>398.6+983.2</f>
        <v>1381.8</v>
      </c>
      <c r="L229" s="1478">
        <f>+K229-J229</f>
        <v>983.2</v>
      </c>
      <c r="M229" s="505"/>
      <c r="N229" s="307"/>
      <c r="O229" s="113"/>
      <c r="P229" s="1851"/>
      <c r="Q229" s="854"/>
      <c r="R229" s="1052"/>
      <c r="S229" s="250"/>
      <c r="T229" s="250"/>
      <c r="U229" s="1113"/>
      <c r="V229" s="1109"/>
      <c r="W229" s="1876"/>
    </row>
    <row r="230" spans="1:23" ht="13" customHeight="1" x14ac:dyDescent="0.25">
      <c r="A230" s="938"/>
      <c r="B230" s="949"/>
      <c r="C230" s="940"/>
      <c r="D230" s="971"/>
      <c r="E230" s="164"/>
      <c r="F230" s="1553" t="s">
        <v>368</v>
      </c>
      <c r="G230" s="1557">
        <v>300</v>
      </c>
      <c r="H230" s="1477">
        <f>300-93.6</f>
        <v>206.4</v>
      </c>
      <c r="I230" s="1478">
        <f>+H230-G230</f>
        <v>-93.6</v>
      </c>
      <c r="J230" s="505"/>
      <c r="K230" s="307"/>
      <c r="L230" s="381"/>
      <c r="M230" s="505"/>
      <c r="N230" s="307"/>
      <c r="O230" s="113"/>
      <c r="P230" s="1873" t="s">
        <v>226</v>
      </c>
      <c r="Q230" s="1105">
        <v>100</v>
      </c>
      <c r="R230" s="850"/>
      <c r="S230" s="197">
        <v>159</v>
      </c>
      <c r="T230" s="197"/>
      <c r="U230" s="862"/>
      <c r="V230" s="1107"/>
      <c r="W230" s="1876"/>
    </row>
    <row r="231" spans="1:23" ht="14.5" customHeight="1" x14ac:dyDescent="0.25">
      <c r="A231" s="938"/>
      <c r="B231" s="949"/>
      <c r="C231" s="940"/>
      <c r="D231" s="971"/>
      <c r="E231" s="164"/>
      <c r="F231" s="1198" t="s">
        <v>371</v>
      </c>
      <c r="G231" s="1248">
        <v>32.799999999999997</v>
      </c>
      <c r="H231" s="307"/>
      <c r="I231" s="381"/>
      <c r="J231" s="505"/>
      <c r="K231" s="307"/>
      <c r="L231" s="381"/>
      <c r="M231" s="505"/>
      <c r="N231" s="307"/>
      <c r="O231" s="113"/>
      <c r="P231" s="1851"/>
      <c r="Q231" s="351"/>
      <c r="R231" s="623"/>
      <c r="S231" s="240"/>
      <c r="T231" s="240"/>
      <c r="U231" s="240"/>
      <c r="V231" s="149"/>
      <c r="W231" s="1876"/>
    </row>
    <row r="232" spans="1:23" ht="204" customHeight="1" x14ac:dyDescent="0.25">
      <c r="A232" s="938"/>
      <c r="B232" s="949"/>
      <c r="C232" s="940"/>
      <c r="D232" s="930"/>
      <c r="E232" s="164"/>
      <c r="F232" s="1198" t="s">
        <v>373</v>
      </c>
      <c r="G232" s="1248">
        <v>371.7</v>
      </c>
      <c r="H232" s="307"/>
      <c r="I232" s="381"/>
      <c r="J232" s="505"/>
      <c r="K232" s="307"/>
      <c r="L232" s="381"/>
      <c r="M232" s="505"/>
      <c r="N232" s="307"/>
      <c r="O232" s="113"/>
      <c r="P232" s="434"/>
      <c r="Q232" s="854"/>
      <c r="R232" s="851"/>
      <c r="S232" s="198"/>
      <c r="T232" s="198"/>
      <c r="U232" s="244"/>
      <c r="V232" s="167"/>
      <c r="W232" s="1877"/>
    </row>
    <row r="233" spans="1:23" ht="15" customHeight="1" x14ac:dyDescent="0.25">
      <c r="A233" s="1705"/>
      <c r="B233" s="1706"/>
      <c r="C233" s="1707"/>
      <c r="D233" s="1708" t="s">
        <v>101</v>
      </c>
      <c r="E233" s="1710"/>
      <c r="F233" s="1183" t="s">
        <v>366</v>
      </c>
      <c r="G233" s="1253">
        <v>1</v>
      </c>
      <c r="H233" s="1185">
        <f>+G233</f>
        <v>1</v>
      </c>
      <c r="I233" s="1217">
        <f>+H233-G233</f>
        <v>0</v>
      </c>
      <c r="J233" s="1242">
        <v>2.1</v>
      </c>
      <c r="K233" s="1185">
        <f>+J233</f>
        <v>2.1</v>
      </c>
      <c r="L233" s="1217">
        <f>+K233-J233</f>
        <v>0</v>
      </c>
      <c r="M233" s="1242">
        <v>2.1</v>
      </c>
      <c r="N233" s="1185">
        <f>+M233</f>
        <v>2.1</v>
      </c>
      <c r="O233" s="1184">
        <f>+N233-M233</f>
        <v>0</v>
      </c>
      <c r="P233" s="1401" t="s">
        <v>109</v>
      </c>
      <c r="Q233" s="590">
        <v>1</v>
      </c>
      <c r="R233" s="281"/>
      <c r="S233" s="243">
        <v>1</v>
      </c>
      <c r="T233" s="243"/>
      <c r="U233" s="243">
        <v>1</v>
      </c>
      <c r="V233" s="151"/>
      <c r="W233" s="151"/>
    </row>
    <row r="234" spans="1:23" ht="26.25" customHeight="1" x14ac:dyDescent="0.25">
      <c r="A234" s="1705"/>
      <c r="B234" s="1706"/>
      <c r="C234" s="1707"/>
      <c r="D234" s="1709"/>
      <c r="E234" s="1711"/>
      <c r="F234" s="1187"/>
      <c r="G234" s="1248"/>
      <c r="H234" s="1189"/>
      <c r="I234" s="1191"/>
      <c r="J234" s="1209"/>
      <c r="K234" s="1189"/>
      <c r="L234" s="1191"/>
      <c r="M234" s="1209"/>
      <c r="N234" s="1189"/>
      <c r="O234" s="1188"/>
      <c r="P234" s="1400"/>
      <c r="Q234" s="459"/>
      <c r="R234" s="227"/>
      <c r="S234" s="245"/>
      <c r="T234" s="244"/>
      <c r="U234" s="245"/>
      <c r="V234" s="148"/>
      <c r="W234" s="1182"/>
    </row>
    <row r="235" spans="1:23" ht="13.5" customHeight="1" x14ac:dyDescent="0.25">
      <c r="A235" s="938"/>
      <c r="B235" s="939"/>
      <c r="C235" s="85"/>
      <c r="D235" s="1712" t="s">
        <v>167</v>
      </c>
      <c r="E235" s="957" t="s">
        <v>43</v>
      </c>
      <c r="F235" s="1183" t="s">
        <v>367</v>
      </c>
      <c r="G235" s="1253">
        <v>10.7</v>
      </c>
      <c r="H235" s="1185">
        <f>+G235</f>
        <v>10.7</v>
      </c>
      <c r="I235" s="1217">
        <f>+H235-G235</f>
        <v>0</v>
      </c>
      <c r="J235" s="1242"/>
      <c r="K235" s="1185"/>
      <c r="L235" s="1217"/>
      <c r="M235" s="1242"/>
      <c r="N235" s="1185"/>
      <c r="O235" s="1186"/>
      <c r="P235" s="1851" t="s">
        <v>415</v>
      </c>
      <c r="Q235" s="591">
        <v>18</v>
      </c>
      <c r="R235" s="295"/>
      <c r="S235" s="295">
        <v>21</v>
      </c>
      <c r="T235" s="249"/>
      <c r="U235" s="295">
        <v>24</v>
      </c>
      <c r="V235" s="1181"/>
      <c r="W235" s="212"/>
    </row>
    <row r="236" spans="1:23" ht="13.5" customHeight="1" x14ac:dyDescent="0.25">
      <c r="A236" s="938"/>
      <c r="B236" s="939"/>
      <c r="C236" s="85"/>
      <c r="D236" s="1713"/>
      <c r="E236" s="980"/>
      <c r="F236" s="1187" t="s">
        <v>366</v>
      </c>
      <c r="G236" s="1248">
        <v>40</v>
      </c>
      <c r="H236" s="1189">
        <f>+G236</f>
        <v>40</v>
      </c>
      <c r="I236" s="1191">
        <f>+H236-G236</f>
        <v>0</v>
      </c>
      <c r="J236" s="1209">
        <v>50</v>
      </c>
      <c r="K236" s="1189">
        <f>+J236</f>
        <v>50</v>
      </c>
      <c r="L236" s="1191">
        <f>+K236-J236</f>
        <v>0</v>
      </c>
      <c r="M236" s="1209">
        <v>60</v>
      </c>
      <c r="N236" s="1189">
        <f>+M236</f>
        <v>60</v>
      </c>
      <c r="O236" s="1190">
        <f>+N236-M236</f>
        <v>0</v>
      </c>
      <c r="P236" s="1874"/>
      <c r="Q236" s="593"/>
      <c r="R236" s="1102"/>
      <c r="S236" s="594"/>
      <c r="T236" s="594"/>
      <c r="U236" s="594"/>
      <c r="V236" s="1110"/>
      <c r="W236" s="595"/>
    </row>
    <row r="237" spans="1:23" ht="17.25" customHeight="1" x14ac:dyDescent="0.25">
      <c r="A237" s="21"/>
      <c r="B237" s="949"/>
      <c r="C237" s="85"/>
      <c r="D237" s="963"/>
      <c r="E237" s="951"/>
      <c r="F237" s="1260" t="s">
        <v>366</v>
      </c>
      <c r="G237" s="1596">
        <v>7</v>
      </c>
      <c r="H237" s="1597">
        <f>+G237</f>
        <v>7</v>
      </c>
      <c r="I237" s="1191">
        <f t="shared" ref="I237:I241" si="24">+H237-G237</f>
        <v>0</v>
      </c>
      <c r="J237" s="1598">
        <v>9</v>
      </c>
      <c r="K237" s="1262">
        <f>+J237</f>
        <v>9</v>
      </c>
      <c r="L237" s="1599">
        <f>+K237-J237</f>
        <v>0</v>
      </c>
      <c r="M237" s="1598">
        <v>9</v>
      </c>
      <c r="N237" s="1262">
        <f>+M237</f>
        <v>9</v>
      </c>
      <c r="O237" s="1263">
        <f>+N237-M237</f>
        <v>0</v>
      </c>
      <c r="P237" s="414" t="s">
        <v>152</v>
      </c>
      <c r="Q237" s="474">
        <v>100</v>
      </c>
      <c r="R237" s="467"/>
      <c r="S237" s="292">
        <v>130</v>
      </c>
      <c r="T237" s="292"/>
      <c r="U237" s="292">
        <v>130</v>
      </c>
      <c r="V237" s="179"/>
      <c r="W237" s="179"/>
    </row>
    <row r="238" spans="1:23" ht="29.15" customHeight="1" x14ac:dyDescent="0.25">
      <c r="A238" s="21"/>
      <c r="B238" s="949"/>
      <c r="C238" s="85"/>
      <c r="D238" s="963"/>
      <c r="E238" s="951"/>
      <c r="F238" s="1187" t="s">
        <v>366</v>
      </c>
      <c r="G238" s="1248">
        <v>100</v>
      </c>
      <c r="H238" s="1189">
        <f>+G238</f>
        <v>100</v>
      </c>
      <c r="I238" s="1191">
        <f t="shared" si="24"/>
        <v>0</v>
      </c>
      <c r="J238" s="1209">
        <v>100</v>
      </c>
      <c r="K238" s="1189">
        <f>+J238</f>
        <v>100</v>
      </c>
      <c r="L238" s="1191">
        <f>+K238-J238</f>
        <v>0</v>
      </c>
      <c r="M238" s="1209">
        <v>100</v>
      </c>
      <c r="N238" s="1189">
        <f>+M238</f>
        <v>100</v>
      </c>
      <c r="O238" s="1190">
        <f>+N238-M238</f>
        <v>0</v>
      </c>
      <c r="P238" s="1398" t="s">
        <v>416</v>
      </c>
      <c r="Q238" s="568">
        <v>3</v>
      </c>
      <c r="R238" s="680"/>
      <c r="S238" s="257">
        <v>3</v>
      </c>
      <c r="T238" s="257"/>
      <c r="U238" s="257">
        <v>3</v>
      </c>
      <c r="V238" s="221"/>
      <c r="W238" s="221"/>
    </row>
    <row r="239" spans="1:23" ht="27.65" customHeight="1" x14ac:dyDescent="0.25">
      <c r="A239" s="21"/>
      <c r="B239" s="949"/>
      <c r="C239" s="85"/>
      <c r="D239" s="963"/>
      <c r="E239" s="980"/>
      <c r="F239" s="1187" t="s">
        <v>366</v>
      </c>
      <c r="G239" s="1248">
        <v>35</v>
      </c>
      <c r="H239" s="1189">
        <f>+G239</f>
        <v>35</v>
      </c>
      <c r="I239" s="1191">
        <f t="shared" si="24"/>
        <v>0</v>
      </c>
      <c r="J239" s="1209">
        <v>35</v>
      </c>
      <c r="K239" s="1189">
        <f>+J239</f>
        <v>35</v>
      </c>
      <c r="L239" s="1191">
        <f>+K239-J239</f>
        <v>0</v>
      </c>
      <c r="M239" s="1209">
        <v>35</v>
      </c>
      <c r="N239" s="1189">
        <f>+M239</f>
        <v>35</v>
      </c>
      <c r="O239" s="1190">
        <f>+N239-M239</f>
        <v>0</v>
      </c>
      <c r="P239" s="1398" t="s">
        <v>153</v>
      </c>
      <c r="Q239" s="474">
        <v>9</v>
      </c>
      <c r="R239" s="1394"/>
      <c r="S239" s="245">
        <v>5</v>
      </c>
      <c r="T239" s="292"/>
      <c r="U239" s="292">
        <v>5</v>
      </c>
      <c r="V239" s="179"/>
      <c r="W239" s="1888"/>
    </row>
    <row r="240" spans="1:23" ht="23.15" customHeight="1" x14ac:dyDescent="0.25">
      <c r="A240" s="21"/>
      <c r="B240" s="1171"/>
      <c r="C240" s="85"/>
      <c r="D240" s="1172"/>
      <c r="E240" s="1173"/>
      <c r="F240" s="1187"/>
      <c r="G240" s="1248"/>
      <c r="H240" s="1189"/>
      <c r="I240" s="1191"/>
      <c r="J240" s="1209"/>
      <c r="K240" s="1189"/>
      <c r="L240" s="1191"/>
      <c r="M240" s="1209"/>
      <c r="N240" s="1189"/>
      <c r="O240" s="1190"/>
      <c r="P240" s="1398" t="s">
        <v>429</v>
      </c>
      <c r="Q240" s="587">
        <v>1</v>
      </c>
      <c r="R240" s="227"/>
      <c r="S240" s="292"/>
      <c r="T240" s="245"/>
      <c r="U240" s="245"/>
      <c r="V240" s="148"/>
      <c r="W240" s="1876"/>
    </row>
    <row r="241" spans="1:23" ht="28.5" customHeight="1" x14ac:dyDescent="0.25">
      <c r="A241" s="21"/>
      <c r="B241" s="949"/>
      <c r="C241" s="85"/>
      <c r="D241" s="941"/>
      <c r="E241" s="981"/>
      <c r="F241" s="1195" t="s">
        <v>366</v>
      </c>
      <c r="G241" s="1216">
        <v>8</v>
      </c>
      <c r="H241" s="1193">
        <f>+G241</f>
        <v>8</v>
      </c>
      <c r="I241" s="1191">
        <f t="shared" si="24"/>
        <v>0</v>
      </c>
      <c r="J241" s="1192">
        <v>118</v>
      </c>
      <c r="K241" s="1193">
        <f>+J241</f>
        <v>118</v>
      </c>
      <c r="L241" s="1194">
        <f>+K241-J241</f>
        <v>0</v>
      </c>
      <c r="M241" s="1192">
        <v>118</v>
      </c>
      <c r="N241" s="1193">
        <f>+M241</f>
        <v>118</v>
      </c>
      <c r="O241" s="1197">
        <f>+N241-M241</f>
        <v>0</v>
      </c>
      <c r="P241" s="432" t="s">
        <v>315</v>
      </c>
      <c r="Q241" s="498"/>
      <c r="R241" s="343"/>
      <c r="S241" s="343">
        <v>1</v>
      </c>
      <c r="T241" s="343"/>
      <c r="U241" s="343">
        <v>1</v>
      </c>
      <c r="V241" s="528"/>
      <c r="W241" s="1877"/>
    </row>
    <row r="242" spans="1:23" ht="15.75" customHeight="1" thickBot="1" x14ac:dyDescent="0.3">
      <c r="A242" s="22"/>
      <c r="B242" s="156"/>
      <c r="C242" s="80"/>
      <c r="D242" s="1024"/>
      <c r="E242" s="1027"/>
      <c r="F242" s="18" t="s">
        <v>5</v>
      </c>
      <c r="G242" s="511">
        <f>+G212+G213+G214+G215+G217+G218+G219+G216</f>
        <v>4840.1000000000004</v>
      </c>
      <c r="H242" s="1301">
        <f t="shared" ref="H242:O242" si="25">+H212+H213+H214+H215+H217+H218+H219+H216</f>
        <v>3565.3</v>
      </c>
      <c r="I242" s="406">
        <f t="shared" si="25"/>
        <v>-1274.8</v>
      </c>
      <c r="J242" s="1302">
        <f t="shared" si="25"/>
        <v>2311.5</v>
      </c>
      <c r="K242" s="407">
        <f t="shared" si="25"/>
        <v>3586.3</v>
      </c>
      <c r="L242" s="406">
        <f t="shared" si="25"/>
        <v>1274.8</v>
      </c>
      <c r="M242" s="1302">
        <f t="shared" si="25"/>
        <v>1524.1</v>
      </c>
      <c r="N242" s="514">
        <f t="shared" si="25"/>
        <v>1524.1</v>
      </c>
      <c r="O242" s="1300">
        <f t="shared" si="25"/>
        <v>0</v>
      </c>
      <c r="P242" s="1031"/>
      <c r="Q242" s="1097"/>
      <c r="R242" s="1034"/>
      <c r="S242" s="1034"/>
      <c r="T242" s="1034"/>
      <c r="U242" s="1034"/>
      <c r="V242" s="1033"/>
      <c r="W242" s="1033"/>
    </row>
    <row r="243" spans="1:23" ht="33" customHeight="1" x14ac:dyDescent="0.25">
      <c r="A243" s="25" t="s">
        <v>4</v>
      </c>
      <c r="B243" s="67" t="s">
        <v>25</v>
      </c>
      <c r="C243" s="87" t="s">
        <v>6</v>
      </c>
      <c r="D243" s="120" t="s">
        <v>114</v>
      </c>
      <c r="E243" s="50"/>
      <c r="F243" s="1080" t="s">
        <v>23</v>
      </c>
      <c r="G243" s="1079">
        <v>44.2</v>
      </c>
      <c r="H243" s="306">
        <v>44.2</v>
      </c>
      <c r="I243" s="879">
        <f t="shared" ref="I243:I249" si="26">+H243-G243</f>
        <v>0</v>
      </c>
      <c r="J243" s="880">
        <v>21.3</v>
      </c>
      <c r="K243" s="306">
        <v>21.3</v>
      </c>
      <c r="L243" s="879">
        <f>+K243-J243</f>
        <v>0</v>
      </c>
      <c r="M243" s="880"/>
      <c r="N243" s="306"/>
      <c r="O243" s="301"/>
      <c r="P243" s="965"/>
      <c r="Q243" s="1096"/>
      <c r="R243" s="1094"/>
      <c r="S243" s="296"/>
      <c r="T243" s="296"/>
      <c r="U243" s="296"/>
      <c r="V243" s="181"/>
      <c r="W243" s="181"/>
    </row>
    <row r="244" spans="1:23" ht="53.25" customHeight="1" x14ac:dyDescent="0.25">
      <c r="A244" s="73"/>
      <c r="B244" s="71"/>
      <c r="C244" s="974"/>
      <c r="D244" s="78" t="s">
        <v>173</v>
      </c>
      <c r="E244" s="111"/>
      <c r="F244" s="1224" t="s">
        <v>366</v>
      </c>
      <c r="G244" s="1600">
        <v>4</v>
      </c>
      <c r="H244" s="1225">
        <f t="shared" ref="H244:H249" si="27">+G244</f>
        <v>4</v>
      </c>
      <c r="I244" s="1223">
        <f t="shared" si="26"/>
        <v>0</v>
      </c>
      <c r="J244" s="1600"/>
      <c r="K244" s="1225"/>
      <c r="L244" s="1223"/>
      <c r="M244" s="1600"/>
      <c r="N244" s="1225"/>
      <c r="O244" s="1265"/>
      <c r="P244" s="454" t="s">
        <v>107</v>
      </c>
      <c r="Q244" s="464">
        <v>1</v>
      </c>
      <c r="R244" s="460"/>
      <c r="S244" s="297"/>
      <c r="T244" s="297"/>
      <c r="U244" s="1098"/>
      <c r="V244" s="124"/>
      <c r="W244" s="124"/>
    </row>
    <row r="245" spans="1:23" ht="40.5" customHeight="1" x14ac:dyDescent="0.25">
      <c r="A245" s="73"/>
      <c r="B245" s="71"/>
      <c r="C245" s="974"/>
      <c r="D245" s="963" t="s">
        <v>174</v>
      </c>
      <c r="E245" s="51"/>
      <c r="F245" s="1187" t="s">
        <v>366</v>
      </c>
      <c r="G245" s="1209">
        <v>4</v>
      </c>
      <c r="H245" s="1189">
        <f t="shared" si="27"/>
        <v>4</v>
      </c>
      <c r="I245" s="1191">
        <f t="shared" si="26"/>
        <v>0</v>
      </c>
      <c r="J245" s="1209">
        <v>4</v>
      </c>
      <c r="K245" s="1189">
        <f>+J245</f>
        <v>4</v>
      </c>
      <c r="L245" s="1191">
        <f>+K245-J245</f>
        <v>0</v>
      </c>
      <c r="M245" s="1209"/>
      <c r="N245" s="1189"/>
      <c r="O245" s="1190"/>
      <c r="P245" s="937" t="s">
        <v>107</v>
      </c>
      <c r="Q245" s="459"/>
      <c r="R245" s="227"/>
      <c r="S245" s="245">
        <v>1</v>
      </c>
      <c r="T245" s="245"/>
      <c r="U245" s="1099"/>
      <c r="V245" s="125"/>
      <c r="W245" s="125"/>
    </row>
    <row r="246" spans="1:23" ht="43.5" customHeight="1" x14ac:dyDescent="0.25">
      <c r="A246" s="73"/>
      <c r="B246" s="71"/>
      <c r="C246" s="974"/>
      <c r="D246" s="78" t="s">
        <v>155</v>
      </c>
      <c r="E246" s="111"/>
      <c r="F246" s="1224" t="s">
        <v>366</v>
      </c>
      <c r="G246" s="1600">
        <v>3.2</v>
      </c>
      <c r="H246" s="1225">
        <f t="shared" si="27"/>
        <v>3.2</v>
      </c>
      <c r="I246" s="1223">
        <f t="shared" si="26"/>
        <v>0</v>
      </c>
      <c r="J246" s="1600"/>
      <c r="K246" s="1225"/>
      <c r="L246" s="1223"/>
      <c r="M246" s="1600"/>
      <c r="N246" s="1225"/>
      <c r="O246" s="1265"/>
      <c r="P246" s="454" t="s">
        <v>107</v>
      </c>
      <c r="Q246" s="464">
        <v>1</v>
      </c>
      <c r="R246" s="460"/>
      <c r="S246" s="297"/>
      <c r="T246" s="297"/>
      <c r="U246" s="1098"/>
      <c r="V246" s="124"/>
      <c r="W246" s="124"/>
    </row>
    <row r="247" spans="1:23" ht="52.5" customHeight="1" x14ac:dyDescent="0.25">
      <c r="A247" s="73"/>
      <c r="B247" s="71"/>
      <c r="C247" s="974"/>
      <c r="D247" s="78" t="s">
        <v>126</v>
      </c>
      <c r="E247" s="111"/>
      <c r="F247" s="1224" t="s">
        <v>366</v>
      </c>
      <c r="G247" s="1600">
        <v>4</v>
      </c>
      <c r="H247" s="1225">
        <f t="shared" si="27"/>
        <v>4</v>
      </c>
      <c r="I247" s="1223">
        <f t="shared" si="26"/>
        <v>0</v>
      </c>
      <c r="J247" s="1600"/>
      <c r="K247" s="1225"/>
      <c r="L247" s="1223"/>
      <c r="M247" s="1600"/>
      <c r="N247" s="1225"/>
      <c r="O247" s="1265"/>
      <c r="P247" s="454" t="s">
        <v>107</v>
      </c>
      <c r="Q247" s="464">
        <v>1</v>
      </c>
      <c r="R247" s="460"/>
      <c r="S247" s="297"/>
      <c r="T247" s="297"/>
      <c r="U247" s="1098"/>
      <c r="V247" s="124"/>
      <c r="W247" s="124"/>
    </row>
    <row r="248" spans="1:23" ht="52.5" customHeight="1" x14ac:dyDescent="0.25">
      <c r="A248" s="73"/>
      <c r="B248" s="71"/>
      <c r="C248" s="974"/>
      <c r="D248" s="964" t="s">
        <v>178</v>
      </c>
      <c r="E248" s="106"/>
      <c r="F248" s="1195" t="s">
        <v>366</v>
      </c>
      <c r="G248" s="1192">
        <v>25</v>
      </c>
      <c r="H248" s="1193">
        <f t="shared" si="27"/>
        <v>25</v>
      </c>
      <c r="I248" s="1194">
        <f t="shared" si="26"/>
        <v>0</v>
      </c>
      <c r="J248" s="1192"/>
      <c r="K248" s="1193"/>
      <c r="L248" s="1194"/>
      <c r="M248" s="1192"/>
      <c r="N248" s="1193"/>
      <c r="O248" s="1197"/>
      <c r="P248" s="454" t="s">
        <v>107</v>
      </c>
      <c r="Q248" s="458">
        <v>1</v>
      </c>
      <c r="R248" s="228"/>
      <c r="S248" s="244"/>
      <c r="T248" s="244"/>
      <c r="U248" s="1100"/>
      <c r="V248" s="182"/>
      <c r="W248" s="182"/>
    </row>
    <row r="249" spans="1:23" ht="66.75" customHeight="1" x14ac:dyDescent="0.25">
      <c r="A249" s="73"/>
      <c r="B249" s="71"/>
      <c r="C249" s="974"/>
      <c r="D249" s="964" t="s">
        <v>191</v>
      </c>
      <c r="E249" s="189"/>
      <c r="F249" s="1266" t="s">
        <v>366</v>
      </c>
      <c r="G249" s="1267">
        <v>4</v>
      </c>
      <c r="H249" s="1601">
        <f t="shared" si="27"/>
        <v>4</v>
      </c>
      <c r="I249" s="1602">
        <f t="shared" si="26"/>
        <v>0</v>
      </c>
      <c r="J249" s="1267">
        <v>4</v>
      </c>
      <c r="K249" s="1267">
        <f>+J249</f>
        <v>4</v>
      </c>
      <c r="L249" s="1602">
        <f>+K249-J249</f>
        <v>0</v>
      </c>
      <c r="M249" s="1267"/>
      <c r="N249" s="1601"/>
      <c r="O249" s="1268"/>
      <c r="P249" s="454" t="s">
        <v>107</v>
      </c>
      <c r="Q249" s="464"/>
      <c r="R249" s="616"/>
      <c r="S249" s="297">
        <v>1</v>
      </c>
      <c r="T249" s="297"/>
      <c r="U249" s="297"/>
      <c r="V249" s="289"/>
      <c r="W249" s="289"/>
    </row>
    <row r="250" spans="1:23" ht="52.5" customHeight="1" x14ac:dyDescent="0.25">
      <c r="A250" s="73"/>
      <c r="B250" s="71"/>
      <c r="C250" s="974"/>
      <c r="D250" s="964" t="s">
        <v>318</v>
      </c>
      <c r="E250" s="106"/>
      <c r="F250" s="1195" t="s">
        <v>366</v>
      </c>
      <c r="G250" s="1600"/>
      <c r="H250" s="1192"/>
      <c r="I250" s="1194"/>
      <c r="J250" s="1192">
        <v>7.5</v>
      </c>
      <c r="K250" s="1192">
        <f>+J250</f>
        <v>7.5</v>
      </c>
      <c r="L250" s="1194">
        <f>+K250-J250</f>
        <v>0</v>
      </c>
      <c r="M250" s="1192"/>
      <c r="N250" s="1193"/>
      <c r="O250" s="1197"/>
      <c r="P250" s="454" t="s">
        <v>107</v>
      </c>
      <c r="Q250" s="464"/>
      <c r="R250" s="616"/>
      <c r="S250" s="297">
        <v>1</v>
      </c>
      <c r="T250" s="228"/>
      <c r="U250" s="1098"/>
      <c r="V250" s="124"/>
      <c r="W250" s="771"/>
    </row>
    <row r="251" spans="1:23" ht="52.5" customHeight="1" x14ac:dyDescent="0.25">
      <c r="A251" s="73"/>
      <c r="B251" s="71"/>
      <c r="C251" s="974"/>
      <c r="D251" s="964" t="s">
        <v>319</v>
      </c>
      <c r="E251" s="106"/>
      <c r="F251" s="1195" t="s">
        <v>366</v>
      </c>
      <c r="G251" s="1600"/>
      <c r="H251" s="1192"/>
      <c r="I251" s="1194"/>
      <c r="J251" s="1192">
        <v>2.8</v>
      </c>
      <c r="K251" s="1192">
        <f>+J251</f>
        <v>2.8</v>
      </c>
      <c r="L251" s="1194">
        <f>+K251-J251</f>
        <v>0</v>
      </c>
      <c r="M251" s="1192"/>
      <c r="N251" s="1193"/>
      <c r="O251" s="1197"/>
      <c r="P251" s="454" t="s">
        <v>107</v>
      </c>
      <c r="Q251" s="458"/>
      <c r="R251" s="1095"/>
      <c r="S251" s="244">
        <v>1</v>
      </c>
      <c r="T251" s="228"/>
      <c r="U251" s="1100"/>
      <c r="V251" s="182"/>
      <c r="W251" s="772"/>
    </row>
    <row r="252" spans="1:23" ht="52.5" customHeight="1" x14ac:dyDescent="0.25">
      <c r="A252" s="73"/>
      <c r="B252" s="71"/>
      <c r="C252" s="974"/>
      <c r="D252" s="964" t="s">
        <v>417</v>
      </c>
      <c r="E252" s="106"/>
      <c r="F252" s="1195" t="s">
        <v>366</v>
      </c>
      <c r="G252" s="1192"/>
      <c r="H252" s="1192"/>
      <c r="I252" s="1194"/>
      <c r="J252" s="1192">
        <v>3</v>
      </c>
      <c r="K252" s="1192">
        <f>+J252</f>
        <v>3</v>
      </c>
      <c r="L252" s="1194">
        <f>+K252-J252</f>
        <v>0</v>
      </c>
      <c r="M252" s="1192"/>
      <c r="N252" s="1193"/>
      <c r="O252" s="1197"/>
      <c r="P252" s="454" t="s">
        <v>107</v>
      </c>
      <c r="Q252" s="458"/>
      <c r="R252" s="1095"/>
      <c r="S252" s="244">
        <v>1</v>
      </c>
      <c r="T252" s="228"/>
      <c r="U252" s="1100"/>
      <c r="V252" s="182"/>
      <c r="W252" s="772"/>
    </row>
    <row r="253" spans="1:23" ht="15" customHeight="1" thickBot="1" x14ac:dyDescent="0.3">
      <c r="A253" s="155"/>
      <c r="B253" s="72"/>
      <c r="C253" s="80"/>
      <c r="D253" s="1024"/>
      <c r="E253" s="1027"/>
      <c r="F253" s="18" t="s">
        <v>5</v>
      </c>
      <c r="G253" s="314">
        <f>+G243</f>
        <v>44.2</v>
      </c>
      <c r="H253" s="407">
        <f t="shared" ref="H253:O253" si="28">+H243</f>
        <v>44.2</v>
      </c>
      <c r="I253" s="407">
        <f t="shared" si="28"/>
        <v>0</v>
      </c>
      <c r="J253" s="511">
        <f t="shared" si="28"/>
        <v>21.3</v>
      </c>
      <c r="K253" s="514">
        <f t="shared" si="28"/>
        <v>21.3</v>
      </c>
      <c r="L253" s="314">
        <f t="shared" si="28"/>
        <v>0</v>
      </c>
      <c r="M253" s="511">
        <f t="shared" si="28"/>
        <v>0</v>
      </c>
      <c r="N253" s="407">
        <f t="shared" si="28"/>
        <v>0</v>
      </c>
      <c r="O253" s="407">
        <f t="shared" si="28"/>
        <v>0</v>
      </c>
      <c r="P253" s="1036"/>
      <c r="Q253" s="1030"/>
      <c r="R253" s="1040"/>
      <c r="S253" s="1028"/>
      <c r="T253" s="1028"/>
      <c r="U253" s="1034"/>
      <c r="V253" s="1033"/>
      <c r="W253" s="1029"/>
    </row>
    <row r="254" spans="1:23" ht="15" customHeight="1" thickBot="1" x14ac:dyDescent="0.3">
      <c r="A254" s="23" t="s">
        <v>4</v>
      </c>
      <c r="B254" s="5" t="s">
        <v>25</v>
      </c>
      <c r="C254" s="1700" t="s">
        <v>7</v>
      </c>
      <c r="D254" s="1701"/>
      <c r="E254" s="1701"/>
      <c r="F254" s="1702"/>
      <c r="G254" s="342">
        <f t="shared" ref="G254:O254" si="29">G253+G242</f>
        <v>4884.3</v>
      </c>
      <c r="H254" s="1043">
        <f t="shared" si="29"/>
        <v>3609.5</v>
      </c>
      <c r="I254" s="515">
        <f t="shared" si="29"/>
        <v>-1274.8</v>
      </c>
      <c r="J254" s="1041">
        <f t="shared" si="29"/>
        <v>2332.8000000000002</v>
      </c>
      <c r="K254" s="310">
        <f t="shared" si="29"/>
        <v>3607.6</v>
      </c>
      <c r="L254" s="515">
        <f t="shared" si="29"/>
        <v>1274.8</v>
      </c>
      <c r="M254" s="1041">
        <f t="shared" si="29"/>
        <v>1524.1</v>
      </c>
      <c r="N254" s="342">
        <f t="shared" si="29"/>
        <v>1524.1</v>
      </c>
      <c r="O254" s="515">
        <f t="shared" si="29"/>
        <v>0</v>
      </c>
      <c r="P254" s="70"/>
      <c r="Q254" s="70"/>
      <c r="R254" s="70"/>
      <c r="S254" s="70"/>
      <c r="T254" s="70"/>
      <c r="U254" s="70"/>
      <c r="V254" s="70"/>
      <c r="W254" s="65"/>
    </row>
    <row r="255" spans="1:23" ht="15" customHeight="1" thickBot="1" x14ac:dyDescent="0.3">
      <c r="A255" s="23" t="s">
        <v>4</v>
      </c>
      <c r="B255" s="5" t="s">
        <v>32</v>
      </c>
      <c r="C255" s="1703" t="s">
        <v>41</v>
      </c>
      <c r="D255" s="1704"/>
      <c r="E255" s="1704"/>
      <c r="F255" s="1704"/>
      <c r="G255" s="972"/>
      <c r="H255" s="972"/>
      <c r="I255" s="972"/>
      <c r="J255" s="972"/>
      <c r="K255" s="972"/>
      <c r="L255" s="972"/>
      <c r="M255" s="972"/>
      <c r="N255" s="972"/>
      <c r="O255" s="972"/>
      <c r="P255" s="158"/>
      <c r="Q255" s="345"/>
      <c r="R255" s="345"/>
      <c r="S255" s="345"/>
      <c r="T255" s="345"/>
      <c r="U255" s="374"/>
      <c r="V255" s="374"/>
      <c r="W255" s="66"/>
    </row>
    <row r="256" spans="1:23" ht="13.5" customHeight="1" x14ac:dyDescent="0.25">
      <c r="A256" s="25" t="s">
        <v>4</v>
      </c>
      <c r="B256" s="67" t="s">
        <v>32</v>
      </c>
      <c r="C256" s="87" t="s">
        <v>4</v>
      </c>
      <c r="D256" s="1686" t="s">
        <v>207</v>
      </c>
      <c r="E256" s="50"/>
      <c r="F256" s="1559" t="s">
        <v>23</v>
      </c>
      <c r="G256" s="1562">
        <f>179.1-38.5</f>
        <v>140.6</v>
      </c>
      <c r="H256" s="1562">
        <f>179.1-38.5-82.3</f>
        <v>58.3</v>
      </c>
      <c r="I256" s="1563">
        <f>+H256-G256</f>
        <v>-82.3</v>
      </c>
      <c r="J256" s="1427">
        <v>179.1</v>
      </c>
      <c r="K256" s="1427">
        <v>179.1</v>
      </c>
      <c r="L256" s="1428">
        <f>+K256-J256</f>
        <v>0</v>
      </c>
      <c r="M256" s="1427">
        <v>179.1</v>
      </c>
      <c r="N256" s="1427">
        <v>179.1</v>
      </c>
      <c r="O256" s="1429">
        <f>+N256-M256</f>
        <v>0</v>
      </c>
      <c r="P256" s="1430"/>
      <c r="Q256" s="1431"/>
      <c r="R256" s="1432"/>
      <c r="S256" s="1433"/>
      <c r="T256" s="1433"/>
      <c r="U256" s="1433"/>
      <c r="V256" s="1434"/>
      <c r="W256" s="1889" t="s">
        <v>455</v>
      </c>
    </row>
    <row r="257" spans="1:29" ht="13.5" customHeight="1" x14ac:dyDescent="0.25">
      <c r="A257" s="134"/>
      <c r="B257" s="71"/>
      <c r="C257" s="135"/>
      <c r="D257" s="1687"/>
      <c r="E257" s="136"/>
      <c r="F257" s="843" t="s">
        <v>51</v>
      </c>
      <c r="G257" s="1435">
        <v>29</v>
      </c>
      <c r="H257" s="1336">
        <v>29</v>
      </c>
      <c r="I257" s="1330">
        <f>+H257-G257</f>
        <v>0</v>
      </c>
      <c r="J257" s="1336"/>
      <c r="K257" s="1336"/>
      <c r="L257" s="1330"/>
      <c r="M257" s="1336"/>
      <c r="N257" s="1336"/>
      <c r="O257" s="649"/>
      <c r="P257" s="1436"/>
      <c r="Q257" s="1437"/>
      <c r="R257" s="1438"/>
      <c r="S257" s="1439"/>
      <c r="T257" s="1439"/>
      <c r="U257" s="1439"/>
      <c r="V257" s="1440"/>
      <c r="W257" s="1890"/>
    </row>
    <row r="258" spans="1:29" ht="13.5" customHeight="1" x14ac:dyDescent="0.25">
      <c r="A258" s="134"/>
      <c r="B258" s="71"/>
      <c r="C258" s="135"/>
      <c r="D258" s="1687"/>
      <c r="E258" s="136"/>
      <c r="F258" s="1441" t="s">
        <v>357</v>
      </c>
      <c r="G258" s="1334">
        <v>250</v>
      </c>
      <c r="H258" s="1337">
        <v>250</v>
      </c>
      <c r="I258" s="1335">
        <f>+H258-G258</f>
        <v>0</v>
      </c>
      <c r="J258" s="1336">
        <v>250</v>
      </c>
      <c r="K258" s="1336">
        <v>250</v>
      </c>
      <c r="L258" s="1330">
        <f>+K258-J258</f>
        <v>0</v>
      </c>
      <c r="M258" s="1336">
        <v>250</v>
      </c>
      <c r="N258" s="1336">
        <v>250</v>
      </c>
      <c r="O258" s="649">
        <f>+N258-M258</f>
        <v>0</v>
      </c>
      <c r="P258" s="1436"/>
      <c r="Q258" s="1437"/>
      <c r="R258" s="1438"/>
      <c r="S258" s="1439"/>
      <c r="T258" s="1439"/>
      <c r="U258" s="1439"/>
      <c r="V258" s="1440"/>
      <c r="W258" s="1890"/>
    </row>
    <row r="259" spans="1:29" s="31" customFormat="1" ht="21" customHeight="1" x14ac:dyDescent="0.25">
      <c r="A259" s="1688"/>
      <c r="B259" s="1690"/>
      <c r="C259" s="1692"/>
      <c r="D259" s="1694" t="s">
        <v>133</v>
      </c>
      <c r="E259" s="1696" t="s">
        <v>43</v>
      </c>
      <c r="F259" s="1559" t="s">
        <v>366</v>
      </c>
      <c r="G259" s="1560">
        <f>170-38.5</f>
        <v>131.5</v>
      </c>
      <c r="H259" s="1560">
        <f>170-38.5-82.3</f>
        <v>49.2</v>
      </c>
      <c r="I259" s="1561">
        <f>+H259-G259</f>
        <v>-82.3</v>
      </c>
      <c r="J259" s="1331">
        <v>170</v>
      </c>
      <c r="K259" s="1332">
        <f>+J259</f>
        <v>170</v>
      </c>
      <c r="L259" s="758">
        <f>+K259-J259</f>
        <v>0</v>
      </c>
      <c r="M259" s="1331">
        <v>170</v>
      </c>
      <c r="N259" s="1332">
        <f>+M259</f>
        <v>170</v>
      </c>
      <c r="O259" s="1333">
        <f>+N259-M259</f>
        <v>0</v>
      </c>
      <c r="P259" s="1885" t="s">
        <v>132</v>
      </c>
      <c r="Q259" s="1442">
        <v>640</v>
      </c>
      <c r="R259" s="1443"/>
      <c r="S259" s="1444">
        <v>730</v>
      </c>
      <c r="T259" s="1444"/>
      <c r="U259" s="1444">
        <v>730</v>
      </c>
      <c r="V259" s="1445"/>
      <c r="W259" s="1890"/>
    </row>
    <row r="260" spans="1:29" s="31" customFormat="1" ht="21" customHeight="1" x14ac:dyDescent="0.25">
      <c r="A260" s="1689"/>
      <c r="B260" s="1691"/>
      <c r="C260" s="1693"/>
      <c r="D260" s="1695"/>
      <c r="E260" s="1697"/>
      <c r="F260" s="843"/>
      <c r="G260" s="1334"/>
      <c r="H260" s="651"/>
      <c r="I260" s="1335"/>
      <c r="J260" s="1336"/>
      <c r="K260" s="648"/>
      <c r="L260" s="1330"/>
      <c r="M260" s="1337"/>
      <c r="N260" s="651"/>
      <c r="O260" s="652"/>
      <c r="P260" s="1886"/>
      <c r="Q260" s="1446"/>
      <c r="R260" s="1447"/>
      <c r="S260" s="1448"/>
      <c r="T260" s="1448"/>
      <c r="U260" s="1448"/>
      <c r="V260" s="1449"/>
      <c r="W260" s="1890"/>
    </row>
    <row r="261" spans="1:29" ht="17.25" customHeight="1" x14ac:dyDescent="0.25">
      <c r="A261" s="938"/>
      <c r="B261" s="939"/>
      <c r="C261" s="85"/>
      <c r="D261" s="1674" t="s">
        <v>192</v>
      </c>
      <c r="E261" s="128"/>
      <c r="F261" s="1277" t="s">
        <v>366</v>
      </c>
      <c r="G261" s="1603">
        <v>9.1</v>
      </c>
      <c r="H261" s="1275">
        <f>+G261</f>
        <v>9.1</v>
      </c>
      <c r="I261" s="1604">
        <f>+H261-G261</f>
        <v>0</v>
      </c>
      <c r="J261" s="1605">
        <v>9.1</v>
      </c>
      <c r="K261" s="1271">
        <f>+J261</f>
        <v>9.1</v>
      </c>
      <c r="L261" s="1272">
        <f>+K261-J261</f>
        <v>0</v>
      </c>
      <c r="M261" s="1270">
        <v>9.1</v>
      </c>
      <c r="N261" s="1275">
        <f>+M261</f>
        <v>9.1</v>
      </c>
      <c r="O261" s="1279">
        <f>+N261-M261</f>
        <v>0</v>
      </c>
      <c r="P261" s="1885" t="s">
        <v>189</v>
      </c>
      <c r="Q261" s="1450">
        <v>16</v>
      </c>
      <c r="R261" s="1451"/>
      <c r="S261" s="1444">
        <v>13</v>
      </c>
      <c r="T261" s="1444"/>
      <c r="U261" s="1444">
        <v>13</v>
      </c>
      <c r="V261" s="1445"/>
      <c r="W261" s="1890"/>
    </row>
    <row r="262" spans="1:29" ht="37.5" customHeight="1" x14ac:dyDescent="0.25">
      <c r="A262" s="21"/>
      <c r="B262" s="939"/>
      <c r="C262" s="86"/>
      <c r="D262" s="1684"/>
      <c r="E262" s="106"/>
      <c r="F262" s="1273" t="s">
        <v>367</v>
      </c>
      <c r="G262" s="1606">
        <v>3</v>
      </c>
      <c r="H262" s="1607">
        <f>+G262</f>
        <v>3</v>
      </c>
      <c r="I262" s="1608">
        <f>+H262-G262</f>
        <v>0</v>
      </c>
      <c r="J262" s="1609"/>
      <c r="K262" s="1281"/>
      <c r="L262" s="1610"/>
      <c r="M262" s="1611"/>
      <c r="N262" s="1612"/>
      <c r="O262" s="1613"/>
      <c r="P262" s="1887"/>
      <c r="Q262" s="1450"/>
      <c r="R262" s="1451"/>
      <c r="S262" s="1448"/>
      <c r="T262" s="1448"/>
      <c r="U262" s="1448"/>
      <c r="V262" s="1449"/>
      <c r="W262" s="1890"/>
    </row>
    <row r="263" spans="1:29" ht="15" customHeight="1" x14ac:dyDescent="0.25">
      <c r="A263" s="938"/>
      <c r="B263" s="939"/>
      <c r="C263" s="85"/>
      <c r="D263" s="1675" t="s">
        <v>94</v>
      </c>
      <c r="E263" s="51" t="s">
        <v>43</v>
      </c>
      <c r="F263" s="1277" t="s">
        <v>367</v>
      </c>
      <c r="G263" s="1605">
        <v>26</v>
      </c>
      <c r="H263" s="1605">
        <f>+G263</f>
        <v>26</v>
      </c>
      <c r="I263" s="1604">
        <f>+H263-G263</f>
        <v>0</v>
      </c>
      <c r="J263" s="1270"/>
      <c r="K263" s="1275"/>
      <c r="L263" s="1604"/>
      <c r="M263" s="1605"/>
      <c r="N263" s="1271"/>
      <c r="O263" s="1614"/>
      <c r="P263" s="1452" t="s">
        <v>76</v>
      </c>
      <c r="Q263" s="1453">
        <v>1</v>
      </c>
      <c r="R263" s="1454"/>
      <c r="S263" s="1455"/>
      <c r="T263" s="1455"/>
      <c r="U263" s="1455"/>
      <c r="V263" s="1456"/>
      <c r="W263" s="1890"/>
    </row>
    <row r="264" spans="1:29" ht="28.5" customHeight="1" x14ac:dyDescent="0.25">
      <c r="A264" s="21"/>
      <c r="B264" s="939"/>
      <c r="C264" s="86"/>
      <c r="D264" s="1675"/>
      <c r="E264" s="51"/>
      <c r="F264" s="1283"/>
      <c r="G264" s="1615"/>
      <c r="H264" s="1615"/>
      <c r="I264" s="1276"/>
      <c r="J264" s="1615"/>
      <c r="K264" s="1285"/>
      <c r="L264" s="1276"/>
      <c r="M264" s="1615"/>
      <c r="N264" s="1285"/>
      <c r="O264" s="1286"/>
      <c r="P264" s="1457" t="s">
        <v>325</v>
      </c>
      <c r="Q264" s="1458"/>
      <c r="R264" s="1459"/>
      <c r="S264" s="1460"/>
      <c r="T264" s="1460"/>
      <c r="U264" s="1460"/>
      <c r="V264" s="1461"/>
      <c r="W264" s="1890"/>
    </row>
    <row r="265" spans="1:29" ht="28.4" customHeight="1" x14ac:dyDescent="0.25">
      <c r="A265" s="938"/>
      <c r="B265" s="939"/>
      <c r="C265" s="85"/>
      <c r="D265" s="1674" t="s">
        <v>358</v>
      </c>
      <c r="E265" s="128"/>
      <c r="F265" s="1287" t="s">
        <v>380</v>
      </c>
      <c r="G265" s="1270">
        <v>250</v>
      </c>
      <c r="H265" s="1270">
        <f>+G265</f>
        <v>250</v>
      </c>
      <c r="I265" s="1604">
        <f>+H265-G265</f>
        <v>0</v>
      </c>
      <c r="J265" s="1270">
        <v>250</v>
      </c>
      <c r="K265" s="1275">
        <f>+J265</f>
        <v>250</v>
      </c>
      <c r="L265" s="1604">
        <f>+K265-J265</f>
        <v>0</v>
      </c>
      <c r="M265" s="1270">
        <v>250</v>
      </c>
      <c r="N265" s="1275">
        <f>+M265</f>
        <v>250</v>
      </c>
      <c r="O265" s="1279">
        <f>+N265-M265</f>
        <v>0</v>
      </c>
      <c r="P265" s="1462" t="s">
        <v>359</v>
      </c>
      <c r="Q265" s="1437">
        <v>100</v>
      </c>
      <c r="R265" s="1438"/>
      <c r="S265" s="1439">
        <v>100</v>
      </c>
      <c r="T265" s="1439"/>
      <c r="U265" s="1439">
        <v>100</v>
      </c>
      <c r="V265" s="1440"/>
      <c r="W265" s="1890"/>
    </row>
    <row r="266" spans="1:29" ht="57.65" customHeight="1" thickBot="1" x14ac:dyDescent="0.3">
      <c r="A266" s="21"/>
      <c r="B266" s="939"/>
      <c r="C266" s="86"/>
      <c r="D266" s="1675"/>
      <c r="E266" s="975"/>
      <c r="F266" s="1441"/>
      <c r="G266" s="1337"/>
      <c r="H266" s="1337"/>
      <c r="I266" s="1335"/>
      <c r="J266" s="1337"/>
      <c r="K266" s="651"/>
      <c r="L266" s="1335"/>
      <c r="M266" s="1337"/>
      <c r="N266" s="651"/>
      <c r="O266" s="652"/>
      <c r="P266" s="1463"/>
      <c r="Q266" s="1464"/>
      <c r="R266" s="1465"/>
      <c r="S266" s="1466"/>
      <c r="T266" s="1466"/>
      <c r="U266" s="1467"/>
      <c r="V266" s="1468"/>
      <c r="W266" s="1891"/>
    </row>
    <row r="267" spans="1:29" ht="15" customHeight="1" thickBot="1" x14ac:dyDescent="0.3">
      <c r="A267" s="155" t="s">
        <v>4</v>
      </c>
      <c r="B267" s="72" t="s">
        <v>32</v>
      </c>
      <c r="C267" s="1676" t="s">
        <v>7</v>
      </c>
      <c r="D267" s="1677"/>
      <c r="E267" s="1677"/>
      <c r="F267" s="1678"/>
      <c r="G267" s="1071">
        <f>+G256+G257+G258</f>
        <v>419.6</v>
      </c>
      <c r="H267" s="1071">
        <f>+H256+H257+H258</f>
        <v>337.3</v>
      </c>
      <c r="I267" s="898">
        <f>+I256+I257+I258</f>
        <v>-82.3</v>
      </c>
      <c r="J267" s="841">
        <f t="shared" ref="J267:M267" si="30">+J256+J257+J258</f>
        <v>429.1</v>
      </c>
      <c r="K267" s="825">
        <f t="shared" ref="K267:L267" si="31">+K256+K257+K258</f>
        <v>429.1</v>
      </c>
      <c r="L267" s="898">
        <f t="shared" si="31"/>
        <v>0</v>
      </c>
      <c r="M267" s="1071">
        <f t="shared" si="30"/>
        <v>429.1</v>
      </c>
      <c r="N267" s="1070">
        <f t="shared" ref="N267" si="32">+N256+N257+N258</f>
        <v>429.1</v>
      </c>
      <c r="O267" s="1069">
        <f t="shared" ref="O267" si="33">+O256+O257+O258</f>
        <v>0</v>
      </c>
      <c r="P267" s="826"/>
      <c r="Q267" s="70"/>
      <c r="R267" s="70"/>
      <c r="S267" s="70"/>
      <c r="T267" s="70"/>
      <c r="U267" s="70"/>
      <c r="V267" s="70"/>
      <c r="W267" s="65"/>
    </row>
    <row r="268" spans="1:29" ht="15" customHeight="1" thickBot="1" x14ac:dyDescent="0.3">
      <c r="A268" s="24" t="s">
        <v>4</v>
      </c>
      <c r="B268" s="1679" t="s">
        <v>8</v>
      </c>
      <c r="C268" s="1680"/>
      <c r="D268" s="1680"/>
      <c r="E268" s="1680"/>
      <c r="F268" s="1681"/>
      <c r="G268" s="1072">
        <f t="shared" ref="G268:O268" si="34">G267+G254+G210+G188</f>
        <v>20545.3</v>
      </c>
      <c r="H268" s="1072">
        <f t="shared" si="34"/>
        <v>18617.3</v>
      </c>
      <c r="I268" s="1077">
        <f t="shared" si="34"/>
        <v>-1928</v>
      </c>
      <c r="J268" s="1072">
        <f t="shared" si="34"/>
        <v>18196.900000000001</v>
      </c>
      <c r="K268" s="311">
        <f t="shared" si="34"/>
        <v>20390.3</v>
      </c>
      <c r="L268" s="1077">
        <f t="shared" si="34"/>
        <v>2193.4</v>
      </c>
      <c r="M268" s="1072">
        <f t="shared" si="34"/>
        <v>20584.400000000001</v>
      </c>
      <c r="N268" s="311">
        <f t="shared" si="34"/>
        <v>20368.7</v>
      </c>
      <c r="O268" s="304">
        <f t="shared" si="34"/>
        <v>-215.7</v>
      </c>
      <c r="P268" s="1884"/>
      <c r="Q268" s="1662"/>
      <c r="R268" s="1662"/>
      <c r="S268" s="1662"/>
      <c r="T268" s="1662"/>
      <c r="U268" s="1662"/>
      <c r="V268" s="1057"/>
      <c r="W268" s="976"/>
    </row>
    <row r="269" spans="1:29" ht="15" customHeight="1" thickBot="1" x14ac:dyDescent="0.3">
      <c r="A269" s="17" t="s">
        <v>34</v>
      </c>
      <c r="B269" s="1664" t="s">
        <v>49</v>
      </c>
      <c r="C269" s="1665"/>
      <c r="D269" s="1665"/>
      <c r="E269" s="1665"/>
      <c r="F269" s="1666"/>
      <c r="G269" s="1075">
        <f>SUM(G268)</f>
        <v>20545.3</v>
      </c>
      <c r="H269" s="1073">
        <f>SUM(H268)</f>
        <v>18617.3</v>
      </c>
      <c r="I269" s="1078">
        <f>SUM(I268)</f>
        <v>-1928</v>
      </c>
      <c r="J269" s="1073">
        <f t="shared" ref="J269:M269" si="35">SUM(J268)</f>
        <v>18196.900000000001</v>
      </c>
      <c r="K269" s="312">
        <f t="shared" ref="K269:L269" si="36">SUM(K268)</f>
        <v>20390.3</v>
      </c>
      <c r="L269" s="1078">
        <f t="shared" si="36"/>
        <v>2193.4</v>
      </c>
      <c r="M269" s="1073">
        <f t="shared" si="35"/>
        <v>20584.400000000001</v>
      </c>
      <c r="N269" s="312">
        <f t="shared" ref="N269" si="37">SUM(N268)</f>
        <v>20368.7</v>
      </c>
      <c r="O269" s="305">
        <f t="shared" ref="O269" si="38">SUM(O268)</f>
        <v>-215.7</v>
      </c>
      <c r="P269" s="1667"/>
      <c r="Q269" s="1667"/>
      <c r="R269" s="1667"/>
      <c r="S269" s="1667"/>
      <c r="T269" s="1667"/>
      <c r="U269" s="1667"/>
      <c r="V269" s="977"/>
      <c r="W269" s="1090"/>
    </row>
    <row r="270" spans="1:29" s="7" customFormat="1" ht="16.5" customHeight="1" x14ac:dyDescent="0.25">
      <c r="A270" s="1669"/>
      <c r="B270" s="1669"/>
      <c r="C270" s="1669"/>
      <c r="D270" s="1669"/>
      <c r="E270" s="1669"/>
      <c r="F270" s="1669"/>
      <c r="G270" s="1076"/>
      <c r="H270" s="122"/>
      <c r="I270" s="122"/>
      <c r="J270" s="122"/>
      <c r="K270" s="122"/>
      <c r="L270" s="122"/>
      <c r="M270" s="122"/>
      <c r="N270" s="122"/>
      <c r="O270" s="122"/>
      <c r="P270" s="670"/>
      <c r="Q270" s="237"/>
      <c r="R270" s="237"/>
      <c r="S270" s="237"/>
      <c r="T270" s="237"/>
      <c r="U270" s="108"/>
      <c r="V270" s="108"/>
      <c r="W270" s="1089"/>
    </row>
    <row r="271" spans="1:29" s="7" customFormat="1" ht="17.25" customHeight="1" x14ac:dyDescent="0.25">
      <c r="A271" s="108"/>
      <c r="B271" s="122"/>
      <c r="C271" s="122"/>
      <c r="D271" s="122"/>
      <c r="E271" s="122"/>
      <c r="F271" s="122"/>
      <c r="G271" s="671"/>
      <c r="H271" s="671"/>
      <c r="I271" s="671"/>
      <c r="J271" s="671"/>
      <c r="K271" s="671"/>
      <c r="L271" s="671"/>
      <c r="M271" s="671"/>
      <c r="N271" s="671"/>
      <c r="O271" s="671"/>
      <c r="P271" s="122"/>
      <c r="Q271" s="237"/>
      <c r="R271" s="237"/>
      <c r="S271" s="237"/>
      <c r="T271" s="237"/>
      <c r="U271" s="108"/>
      <c r="V271" s="108"/>
      <c r="W271" s="108"/>
      <c r="X271" s="3"/>
      <c r="Y271" s="3"/>
      <c r="Z271" s="3"/>
      <c r="AA271" s="3"/>
      <c r="AB271" s="3"/>
      <c r="AC271" s="3"/>
    </row>
    <row r="272" spans="1:29" s="8" customFormat="1" ht="14.25" customHeight="1" thickBot="1" x14ac:dyDescent="0.3">
      <c r="A272" s="1670" t="s">
        <v>12</v>
      </c>
      <c r="B272" s="1670"/>
      <c r="C272" s="1670"/>
      <c r="D272" s="1670"/>
      <c r="E272" s="1670"/>
      <c r="F272" s="1670"/>
      <c r="G272" s="1670"/>
      <c r="H272" s="1670"/>
      <c r="I272" s="1670"/>
      <c r="J272" s="1670"/>
      <c r="K272" s="1670"/>
      <c r="L272" s="1670"/>
      <c r="M272" s="1670"/>
      <c r="N272" s="1047"/>
      <c r="O272" s="1047"/>
      <c r="P272" s="14"/>
      <c r="Q272" s="346"/>
      <c r="R272" s="346"/>
      <c r="S272" s="346"/>
      <c r="T272" s="346"/>
      <c r="U272" s="14"/>
      <c r="V272" s="14"/>
      <c r="W272" s="14"/>
      <c r="X272" s="3"/>
      <c r="Y272" s="3"/>
      <c r="Z272" s="3"/>
      <c r="AA272" s="3"/>
      <c r="AB272" s="3"/>
      <c r="AC272" s="3"/>
    </row>
    <row r="273" spans="1:23" ht="147" customHeight="1" thickBot="1" x14ac:dyDescent="0.3">
      <c r="A273" s="1671" t="s">
        <v>9</v>
      </c>
      <c r="B273" s="1672"/>
      <c r="C273" s="1672"/>
      <c r="D273" s="1672"/>
      <c r="E273" s="1672"/>
      <c r="F273" s="1673"/>
      <c r="G273" s="1143" t="s">
        <v>419</v>
      </c>
      <c r="H273" s="1144" t="s">
        <v>423</v>
      </c>
      <c r="I273" s="1145" t="s">
        <v>424</v>
      </c>
      <c r="J273" s="1146" t="s">
        <v>420</v>
      </c>
      <c r="K273" s="1147" t="s">
        <v>425</v>
      </c>
      <c r="L273" s="1145" t="s">
        <v>424</v>
      </c>
      <c r="M273" s="1143" t="s">
        <v>421</v>
      </c>
      <c r="N273" s="1144" t="s">
        <v>426</v>
      </c>
      <c r="O273" s="1145" t="s">
        <v>424</v>
      </c>
      <c r="P273" s="2"/>
      <c r="Q273" s="2"/>
      <c r="R273" s="2"/>
      <c r="S273" s="2"/>
      <c r="T273" s="2"/>
      <c r="U273" s="2"/>
      <c r="V273" s="2"/>
      <c r="W273" s="2"/>
    </row>
    <row r="274" spans="1:23" ht="14.25" customHeight="1" x14ac:dyDescent="0.25">
      <c r="A274" s="1653" t="s">
        <v>13</v>
      </c>
      <c r="B274" s="1654"/>
      <c r="C274" s="1654"/>
      <c r="D274" s="1654"/>
      <c r="E274" s="1654"/>
      <c r="F274" s="1655"/>
      <c r="G274" s="1156">
        <f>G275+G286+G287+G288+G289+G290+G285</f>
        <v>20522.400000000001</v>
      </c>
      <c r="H274" s="1074">
        <f>H275+H286+H287+H288+H289+H290+H285</f>
        <v>18594.400000000001</v>
      </c>
      <c r="I274" s="1148">
        <f>I275+I286+I287+I288+I289+I290+I285</f>
        <v>-1928</v>
      </c>
      <c r="J274" s="1156">
        <f t="shared" ref="J274:M274" si="39">J275+J286+J287+J288+J289+J290+J285</f>
        <v>18196.900000000001</v>
      </c>
      <c r="K274" s="1074">
        <f t="shared" ref="K274:L274" si="40">K275+K286+K287+K288+K289+K290+K285</f>
        <v>20390.3</v>
      </c>
      <c r="L274" s="1148">
        <f t="shared" si="40"/>
        <v>2193.4</v>
      </c>
      <c r="M274" s="1156">
        <f t="shared" si="39"/>
        <v>19084.400000000001</v>
      </c>
      <c r="N274" s="1074">
        <f t="shared" ref="N274" si="41">N275+N286+N287+N288+N289+N290+N285</f>
        <v>18868.7</v>
      </c>
      <c r="O274" s="1148">
        <f t="shared" ref="O274" si="42">O275+O286+O287+O288+O289+O290+O285</f>
        <v>-215.7</v>
      </c>
      <c r="W274" s="12"/>
    </row>
    <row r="275" spans="1:23" ht="14.25" customHeight="1" x14ac:dyDescent="0.25">
      <c r="A275" s="1656" t="s">
        <v>70</v>
      </c>
      <c r="B275" s="1657"/>
      <c r="C275" s="1657"/>
      <c r="D275" s="1657"/>
      <c r="E275" s="1657"/>
      <c r="F275" s="1658"/>
      <c r="G275" s="1157">
        <f t="shared" ref="G275:L275" si="43">SUM(G276:G284)</f>
        <v>17713.599999999999</v>
      </c>
      <c r="H275" s="1164">
        <f t="shared" si="43"/>
        <v>15964.3</v>
      </c>
      <c r="I275" s="1149">
        <f t="shared" si="43"/>
        <v>-1749.3</v>
      </c>
      <c r="J275" s="1157">
        <f t="shared" si="43"/>
        <v>18196.900000000001</v>
      </c>
      <c r="K275" s="1164">
        <f t="shared" si="43"/>
        <v>19785</v>
      </c>
      <c r="L275" s="1149">
        <f t="shared" si="43"/>
        <v>1588.1</v>
      </c>
      <c r="M275" s="1157">
        <f t="shared" ref="M275:O275" si="44">SUM(M276:M284)</f>
        <v>19084.400000000001</v>
      </c>
      <c r="N275" s="1164">
        <f t="shared" ref="N275" si="45">SUM(N276:N284)</f>
        <v>18868.7</v>
      </c>
      <c r="O275" s="1149">
        <f t="shared" si="44"/>
        <v>-215.7</v>
      </c>
      <c r="P275" s="79"/>
      <c r="W275" s="12"/>
    </row>
    <row r="276" spans="1:23" ht="14.25" customHeight="1" x14ac:dyDescent="0.25">
      <c r="A276" s="1659" t="s">
        <v>17</v>
      </c>
      <c r="B276" s="1660"/>
      <c r="C276" s="1660"/>
      <c r="D276" s="1660"/>
      <c r="E276" s="1660"/>
      <c r="F276" s="1661"/>
      <c r="G276" s="504">
        <f>SUMIF(F15:F269,"SB",G15:G269)</f>
        <v>10797.3</v>
      </c>
      <c r="H276" s="300">
        <f>SUMIF(F15:F269,"SB",H15:H269)</f>
        <v>10399.6</v>
      </c>
      <c r="I276" s="55">
        <f>SUMIF(F15:F269,"SB",I15:I269)</f>
        <v>-397.7</v>
      </c>
      <c r="J276" s="504">
        <f>SUMIF(F15:F269,"SB",J15:J269)</f>
        <v>14584.2</v>
      </c>
      <c r="K276" s="300">
        <f>SUMIF(F15:F269,"SB",K15:K269)</f>
        <v>15102.3</v>
      </c>
      <c r="L276" s="55">
        <f>SUMIF(F15:F269,"SB",L15:L269)</f>
        <v>518.1</v>
      </c>
      <c r="M276" s="504">
        <f>SUMIF(F15:F269,"SB",M15:M269)</f>
        <v>16239.7</v>
      </c>
      <c r="N276" s="300">
        <f>SUMIF(F15:F269,"SB",N15:N269)</f>
        <v>16024</v>
      </c>
      <c r="O276" s="55">
        <f>SUMIF(F15:F269,"SB",O15:O269)</f>
        <v>-215.7</v>
      </c>
      <c r="P276" s="11"/>
      <c r="Q276" s="672"/>
      <c r="R276" s="672"/>
      <c r="W276" s="12"/>
    </row>
    <row r="277" spans="1:23" ht="26.25" customHeight="1" x14ac:dyDescent="0.25">
      <c r="A277" s="1635" t="s">
        <v>18</v>
      </c>
      <c r="B277" s="1636"/>
      <c r="C277" s="1636"/>
      <c r="D277" s="1636"/>
      <c r="E277" s="1636"/>
      <c r="F277" s="1637"/>
      <c r="G277" s="1158">
        <f>SUMIF(F15:F269,"SB(SP)",G15:G269)</f>
        <v>35.700000000000003</v>
      </c>
      <c r="H277" s="1165">
        <f>SUMIF(F15:F269,"SB(SP)",H15:H269)</f>
        <v>35.700000000000003</v>
      </c>
      <c r="I277" s="1150">
        <f>SUMIF(F15:F269,"SB(SP)",I15:I269)</f>
        <v>0</v>
      </c>
      <c r="J277" s="1158">
        <f>SUMIF(F15:F269,"SB(SP)",J15:J269)</f>
        <v>35.700000000000003</v>
      </c>
      <c r="K277" s="1165">
        <f>SUMIF(F15:F269,"SB(SP)",K15:K269)</f>
        <v>35.700000000000003</v>
      </c>
      <c r="L277" s="1150">
        <f>SUMIF(F15:F269,"SB(SP)",L15:L269)</f>
        <v>0</v>
      </c>
      <c r="M277" s="1158">
        <f>SUMIF(F15:F269,"SB(SP)",M15:M269)</f>
        <v>35.700000000000003</v>
      </c>
      <c r="N277" s="1165">
        <f>SUMIF(F15:F269,"SB(SP)",N15:N269)</f>
        <v>35.700000000000003</v>
      </c>
      <c r="O277" s="1150">
        <f>SUMIF(F15:F269,"SB(SP)",O15:O269)</f>
        <v>0</v>
      </c>
      <c r="P277" s="15"/>
      <c r="W277" s="12"/>
    </row>
    <row r="278" spans="1:23" ht="14.25" customHeight="1" x14ac:dyDescent="0.25">
      <c r="A278" s="1650" t="s">
        <v>360</v>
      </c>
      <c r="B278" s="1651"/>
      <c r="C278" s="1651"/>
      <c r="D278" s="1651"/>
      <c r="E278" s="1651"/>
      <c r="F278" s="1652"/>
      <c r="G278" s="504">
        <f>SUMIF(F15:F269,"SB(SPI)",G15:G269)</f>
        <v>250</v>
      </c>
      <c r="H278" s="300">
        <f>SUMIF(F15:F269,"SB(SPI)",H15:H269)</f>
        <v>250</v>
      </c>
      <c r="I278" s="55">
        <f>SUMIF(F15:F269,"SB(SPI)",I15:I269)</f>
        <v>0</v>
      </c>
      <c r="J278" s="504">
        <f>SUMIF(F15:F269,"SB(SPI)",J15:J269)</f>
        <v>250</v>
      </c>
      <c r="K278" s="300">
        <f>SUMIF(F15:F269,"SB(SPI)",K15:K269)</f>
        <v>250</v>
      </c>
      <c r="L278" s="55">
        <f>SUMIF(F15:F269,"SB(SPI)",L15:L269)</f>
        <v>0</v>
      </c>
      <c r="M278" s="504">
        <f>SUMIF(F15:F269,"SB(SPI)",M15:M269)</f>
        <v>250</v>
      </c>
      <c r="N278" s="300">
        <f>SUMIF(F15:F269,"SB(SPI)",N15:N269)</f>
        <v>250</v>
      </c>
      <c r="O278" s="55">
        <f>SUMIF(F15:F269,"SB(SPI)",O15:O269)</f>
        <v>0</v>
      </c>
      <c r="P278" s="15"/>
      <c r="W278" s="12"/>
    </row>
    <row r="279" spans="1:23" ht="12.75" customHeight="1" x14ac:dyDescent="0.25">
      <c r="A279" s="1635" t="s">
        <v>57</v>
      </c>
      <c r="B279" s="1636"/>
      <c r="C279" s="1636"/>
      <c r="D279" s="1636"/>
      <c r="E279" s="1636"/>
      <c r="F279" s="1637"/>
      <c r="G279" s="1158">
        <f>SUMIF(F15:F269,"SB(VR)",G15:G269)</f>
        <v>50</v>
      </c>
      <c r="H279" s="1165">
        <f>SUMIF(F15:F269,"SB(VR)",H15:H269)</f>
        <v>50</v>
      </c>
      <c r="I279" s="1150">
        <f>SUMIF(F15:F269,"SB(VR)",I15:I269)</f>
        <v>0</v>
      </c>
      <c r="J279" s="1158">
        <f>SUMIF(F15:F269,"SB(VR)",J15:J269)</f>
        <v>0</v>
      </c>
      <c r="K279" s="1165">
        <f>SUMIF(F15:F269,"SB(VR)",K15:K269)</f>
        <v>0</v>
      </c>
      <c r="L279" s="1150">
        <f>SUMIF(F15:F269,"SB(VR)",L15:L269)</f>
        <v>0</v>
      </c>
      <c r="M279" s="1158">
        <f>SUMIF(F15:F269,"SB(VR)",M15:M269)</f>
        <v>0</v>
      </c>
      <c r="N279" s="1165">
        <f>SUMIF(F15:F269,"SB(VR)",N15:N269)</f>
        <v>0</v>
      </c>
      <c r="O279" s="1150">
        <f>SUMIF(F15:F269,"SB(VR)",O15:O269)</f>
        <v>0</v>
      </c>
      <c r="P279" s="13"/>
      <c r="U279" s="1"/>
      <c r="V279" s="1"/>
      <c r="W279" s="12"/>
    </row>
    <row r="280" spans="1:23" x14ac:dyDescent="0.25">
      <c r="A280" s="1635" t="s">
        <v>19</v>
      </c>
      <c r="B280" s="1636"/>
      <c r="C280" s="1636"/>
      <c r="D280" s="1636"/>
      <c r="E280" s="1636"/>
      <c r="F280" s="1637"/>
      <c r="G280" s="1158">
        <f>SUMIF(F15:F269,"SB(P)",G15:G269)</f>
        <v>1930.6</v>
      </c>
      <c r="H280" s="1165">
        <f>SUMIF(F15:F269,"SB(P)",H15:H269)</f>
        <v>1837</v>
      </c>
      <c r="I280" s="1150">
        <f>SUMIF(F15:F269,"SB(P)",I15:I269)</f>
        <v>-93.6</v>
      </c>
      <c r="J280" s="1158">
        <f>SUMIF(F15:F269,"SB(P)",J15:J269)</f>
        <v>2132.6</v>
      </c>
      <c r="K280" s="1165">
        <f>SUMIF(F15:F269,"SB(P)",K15:K269)</f>
        <v>2132.6</v>
      </c>
      <c r="L280" s="1150">
        <f>SUMIF(F15:F269,"SB(P)",L15:L269)</f>
        <v>0</v>
      </c>
      <c r="M280" s="1158">
        <f>SUMIF(F15:F269,"SB(P)",M15:M269)</f>
        <v>2559</v>
      </c>
      <c r="N280" s="1165">
        <f>SUMIF(F15:F269,"SB(P)",N15:N269)</f>
        <v>2559</v>
      </c>
      <c r="O280" s="1150">
        <f>SUMIF(F15:F269,"SB(P)",O15:O269)</f>
        <v>0</v>
      </c>
      <c r="P280" s="13"/>
      <c r="U280" s="1"/>
      <c r="V280" s="1"/>
      <c r="W280" s="12"/>
    </row>
    <row r="281" spans="1:23" ht="27.75" customHeight="1" x14ac:dyDescent="0.25">
      <c r="A281" s="1635" t="s">
        <v>362</v>
      </c>
      <c r="B281" s="1636"/>
      <c r="C281" s="1636"/>
      <c r="D281" s="1636"/>
      <c r="E281" s="1636"/>
      <c r="F281" s="1637"/>
      <c r="G281" s="1158">
        <f>SUMIF(F15:F269,"SB(K)",G15:G269)</f>
        <v>300</v>
      </c>
      <c r="H281" s="1165">
        <f>SUMIF(F15:F269,"SB(K)",H15:H269)</f>
        <v>112</v>
      </c>
      <c r="I281" s="1150">
        <f>SUMIF(F15:F269,"SB(K)",I15:I269)</f>
        <v>-188</v>
      </c>
      <c r="J281" s="1158">
        <f>SUMIF(F15:F269,"SB(K)",J15:J269)</f>
        <v>0</v>
      </c>
      <c r="K281" s="1165">
        <f>SUMIF(F15:F269,"SB(K)",K15:K269)</f>
        <v>0</v>
      </c>
      <c r="L281" s="1150">
        <f>SUMIF(F15:F269,"SB(K)",L15:L269)</f>
        <v>0</v>
      </c>
      <c r="M281" s="1158">
        <f>SUMIF(F15:F269,"SB(K)",M15:M269)</f>
        <v>0</v>
      </c>
      <c r="N281" s="1165">
        <f>SUMIF(F15:F269,"SB(K)",N15:N269)</f>
        <v>0</v>
      </c>
      <c r="O281" s="1150">
        <f>SUMIF(F15:F269,"SB(K)",O15:O269)</f>
        <v>0</v>
      </c>
      <c r="P281" s="13"/>
      <c r="U281" s="1"/>
      <c r="V281" s="1"/>
      <c r="W281" s="12"/>
    </row>
    <row r="282" spans="1:23" x14ac:dyDescent="0.25">
      <c r="A282" s="1635" t="s">
        <v>73</v>
      </c>
      <c r="B282" s="1636"/>
      <c r="C282" s="1636"/>
      <c r="D282" s="1636"/>
      <c r="E282" s="1636"/>
      <c r="F282" s="1637"/>
      <c r="G282" s="1158">
        <f>SUMIF(F15:F269,"SB(VB)",G15:G269)</f>
        <v>352.8</v>
      </c>
      <c r="H282" s="1165">
        <f>SUMIF(F15:F269,"SB(VB)",H15:H269)</f>
        <v>266</v>
      </c>
      <c r="I282" s="1150">
        <f>SUMIF(F15:F269,"SB(VB)",I15:I269)</f>
        <v>-86.8</v>
      </c>
      <c r="J282" s="1158">
        <f>SUMIF(F15:F269,"SB(VB)",J15:J269)</f>
        <v>96.9</v>
      </c>
      <c r="K282" s="1165">
        <f>SUMIF(F15:F269,"SB(VB)",K15:K269)</f>
        <v>183.7</v>
      </c>
      <c r="L282" s="1150">
        <f>SUMIF(F15:F269,"SB(VB)",L15:L269)</f>
        <v>86.8</v>
      </c>
      <c r="M282" s="1158">
        <f>SUMIF(F15:F269,"SB(VB)",M15:M269)</f>
        <v>0</v>
      </c>
      <c r="N282" s="1165">
        <f>SUMIF(F15:F269,"SB(VB)",N15:N269)</f>
        <v>0</v>
      </c>
      <c r="O282" s="1150">
        <f>SUMIF(F15:F269,"SB(VB)",O15:O269)</f>
        <v>0</v>
      </c>
      <c r="W282" s="12"/>
    </row>
    <row r="283" spans="1:23" x14ac:dyDescent="0.25">
      <c r="A283" s="1650" t="s">
        <v>118</v>
      </c>
      <c r="B283" s="1651"/>
      <c r="C283" s="1651"/>
      <c r="D283" s="1651"/>
      <c r="E283" s="1651"/>
      <c r="F283" s="1652"/>
      <c r="G283" s="1158">
        <f>SUMIF(F15:F269,"SB(KPP)",G15:G269)</f>
        <v>0</v>
      </c>
      <c r="H283" s="1165">
        <f>SUMIF(F15:F269,"SB(KPP)",H15:H269)</f>
        <v>0</v>
      </c>
      <c r="I283" s="1150">
        <f>SUMIF(F15:F269,"SB(KPP)",I15:I269)</f>
        <v>0</v>
      </c>
      <c r="J283" s="1158">
        <f>SUMIF(F15:F269,"SB(KPP)",J15:J269)</f>
        <v>0</v>
      </c>
      <c r="K283" s="1165">
        <f>SUMIF(F15:F269,"SB(KPP)",K15:K269)</f>
        <v>0</v>
      </c>
      <c r="L283" s="1150">
        <f>SUMIF(F15:F269,"SB(KPP)",L15:L269)</f>
        <v>0</v>
      </c>
      <c r="M283" s="1158">
        <f>SUMIF(F15:F269,"SB(KPP)",M15:M269)</f>
        <v>0</v>
      </c>
      <c r="N283" s="1165">
        <f>SUMIF(F15:F269,"SB(KPP)",N15:N269)</f>
        <v>0</v>
      </c>
      <c r="O283" s="1150">
        <f>SUMIF(F15:F269,"SB(KPP)",O15:O269)</f>
        <v>0</v>
      </c>
      <c r="P283" s="29"/>
      <c r="Q283" s="347"/>
      <c r="R283" s="347"/>
      <c r="S283" s="347"/>
      <c r="T283" s="347"/>
      <c r="U283" s="29"/>
      <c r="V283" s="29"/>
      <c r="W283" s="12"/>
    </row>
    <row r="284" spans="1:23" ht="28.5" customHeight="1" x14ac:dyDescent="0.25">
      <c r="A284" s="1638" t="s">
        <v>350</v>
      </c>
      <c r="B284" s="1639"/>
      <c r="C284" s="1639"/>
      <c r="D284" s="1639"/>
      <c r="E284" s="1639"/>
      <c r="F284" s="1640"/>
      <c r="G284" s="1158">
        <f>SUMIF(F15:F269,"SB(ES)",G15:G269)</f>
        <v>3997.2</v>
      </c>
      <c r="H284" s="1165">
        <f>SUMIF(F15:F269,"SB(ES)",H15:H269)</f>
        <v>3014</v>
      </c>
      <c r="I284" s="1150">
        <f>SUMIF(F15:F269,"SB(ES)",I15:I269)</f>
        <v>-983.2</v>
      </c>
      <c r="J284" s="1158">
        <f>SUMIF(F15:F269,"SB(ES)",J15:J269)</f>
        <v>1097.5</v>
      </c>
      <c r="K284" s="1165">
        <f>SUMIF(F15:F269,"SB(ES)",K15:K269)</f>
        <v>2080.6999999999998</v>
      </c>
      <c r="L284" s="1150">
        <f>SUMIF(F15:F269,"SB(ES)",L15:L269)</f>
        <v>983.2</v>
      </c>
      <c r="M284" s="1158">
        <f>SUMIF(F15:F269,"SB(ES)",M15:M269)</f>
        <v>0</v>
      </c>
      <c r="N284" s="1165">
        <f>SUMIF(F15:F269,"SB(ES)",N15:N269)</f>
        <v>0</v>
      </c>
      <c r="O284" s="1150">
        <f>SUMIF(F15:F269,"SB(ES)",O15:O269)</f>
        <v>0</v>
      </c>
      <c r="W284" s="12"/>
    </row>
    <row r="285" spans="1:23" ht="14.25" customHeight="1" x14ac:dyDescent="0.25">
      <c r="A285" s="1644" t="s">
        <v>52</v>
      </c>
      <c r="B285" s="1645"/>
      <c r="C285" s="1645"/>
      <c r="D285" s="1645"/>
      <c r="E285" s="1645"/>
      <c r="F285" s="1646"/>
      <c r="G285" s="1159">
        <f>SUMIF(F15:F269,"SB(L)",G15:G269)</f>
        <v>1218.2</v>
      </c>
      <c r="H285" s="1166">
        <f>SUMIF(F15:F269,"SB(L)",H15:H269)</f>
        <v>1039.5</v>
      </c>
      <c r="I285" s="1151">
        <f>SUMIF(F15:F269,"SB(L)",I15:I269)</f>
        <v>-178.7</v>
      </c>
      <c r="J285" s="1159">
        <f>SUMIF(F15:F269,"SB(L)",J15:J269)</f>
        <v>0</v>
      </c>
      <c r="K285" s="1166">
        <f>SUMIF(F15:F269,"SB(L)",K15:K269)</f>
        <v>605.29999999999995</v>
      </c>
      <c r="L285" s="1151">
        <f>SUMIF(F15:F269,"SB(L)",L15:L269)</f>
        <v>605.29999999999995</v>
      </c>
      <c r="M285" s="1159">
        <f>SUMIF(F15:F269,"SB(L)",M15:M269)</f>
        <v>0</v>
      </c>
      <c r="N285" s="1166">
        <f>SUMIF(F15:F269,"SB(L)",N15:N269)</f>
        <v>0</v>
      </c>
      <c r="O285" s="1151">
        <f>SUMIF(F15:F269,"SB(L)",O15:O269)</f>
        <v>0</v>
      </c>
      <c r="W285" s="12"/>
    </row>
    <row r="286" spans="1:23" x14ac:dyDescent="0.25">
      <c r="A286" s="1644" t="s">
        <v>71</v>
      </c>
      <c r="B286" s="1645"/>
      <c r="C286" s="1645"/>
      <c r="D286" s="1645"/>
      <c r="E286" s="1645"/>
      <c r="F286" s="1646"/>
      <c r="G286" s="1160">
        <f>SUMIF(F15:F269,"SB(SPL)",G15:G269)</f>
        <v>2.7</v>
      </c>
      <c r="H286" s="1167">
        <f>SUMIF(F15:F269,"SB(SPL)",H15:H269)</f>
        <v>2.7</v>
      </c>
      <c r="I286" s="1152">
        <f>SUMIF(F15:F269,"SB(SPL)",I15:I269)</f>
        <v>0</v>
      </c>
      <c r="J286" s="1160">
        <f>SUMIF(F15:F269,"SB(SPL)",J15:J269)</f>
        <v>0</v>
      </c>
      <c r="K286" s="1167">
        <f>SUMIF(F15:F269,"SB(SPL)",K15:K269)</f>
        <v>0</v>
      </c>
      <c r="L286" s="1152">
        <f>SUMIF(F15:F269,"SB(SPL)",L15:L269)</f>
        <v>0</v>
      </c>
      <c r="M286" s="1160">
        <f>SUMIF(F15:F269,"SB(SPL)",M15:M269)</f>
        <v>0</v>
      </c>
      <c r="N286" s="1167">
        <f>SUMIF(F15:F269,"SB(SPL)",N15:N269)</f>
        <v>0</v>
      </c>
      <c r="O286" s="1152">
        <f>SUMIF(F15:F269,"SB(SPL)",O15:O269)</f>
        <v>0</v>
      </c>
      <c r="W286" s="12"/>
    </row>
    <row r="287" spans="1:23" ht="28.5" customHeight="1" x14ac:dyDescent="0.25">
      <c r="A287" s="1644" t="s">
        <v>349</v>
      </c>
      <c r="B287" s="1645"/>
      <c r="C287" s="1645"/>
      <c r="D287" s="1645"/>
      <c r="E287" s="1645"/>
      <c r="F287" s="1646"/>
      <c r="G287" s="1160">
        <f>SUMIF(F15:F269,"SB(VBL)",G15:G269)</f>
        <v>112.3</v>
      </c>
      <c r="H287" s="1167">
        <f>SUMIF(F15:F269,"SB(VBL)",H15:H269)</f>
        <v>112.3</v>
      </c>
      <c r="I287" s="1152">
        <f>SUMIF(F15:F269,"SB(VBL)",I15:I269)</f>
        <v>0</v>
      </c>
      <c r="J287" s="1160">
        <f>SUMIF(F15:F269,"SB(VBL)",J15:J269)</f>
        <v>0</v>
      </c>
      <c r="K287" s="1167">
        <f>SUMIF(F15:F269,"SB(VBL)",K15:K269)</f>
        <v>0</v>
      </c>
      <c r="L287" s="1152">
        <f>SUMIF(F15:F269,"SB(VBL)",L15:L269)</f>
        <v>0</v>
      </c>
      <c r="M287" s="1160">
        <f>SUMIF(F15:F269,"SB(VBL)",M15:M269)</f>
        <v>0</v>
      </c>
      <c r="N287" s="1167">
        <f>SUMIF(F15:F269,"SB(VBL)",N15:N269)</f>
        <v>0</v>
      </c>
      <c r="O287" s="1152">
        <f>SUMIF(F15:F269,"SB(VBL)",O15:O269)</f>
        <v>0</v>
      </c>
      <c r="W287" s="12"/>
    </row>
    <row r="288" spans="1:23" ht="26.25" customHeight="1" x14ac:dyDescent="0.25">
      <c r="A288" s="1644" t="s">
        <v>348</v>
      </c>
      <c r="B288" s="1645"/>
      <c r="C288" s="1645"/>
      <c r="D288" s="1645"/>
      <c r="E288" s="1645"/>
      <c r="F288" s="1646"/>
      <c r="G288" s="1160">
        <f>SUMIF(F15:F269,"SB(ESL)",G15:G269)</f>
        <v>1475.6</v>
      </c>
      <c r="H288" s="1167">
        <f>SUMIF(F15:F269,"SB(ESL)",H15:H269)</f>
        <v>1475.6</v>
      </c>
      <c r="I288" s="1152">
        <f>SUMIF(F15:F269,"SB(ESL)",I15:I269)</f>
        <v>0</v>
      </c>
      <c r="J288" s="1160">
        <f>SUMIF(F15:F269,"SB(ESL)",J15:J269)</f>
        <v>0</v>
      </c>
      <c r="K288" s="1167">
        <f>SUMIF(F15:F269,"SB(ESL)",K15:K269)</f>
        <v>0</v>
      </c>
      <c r="L288" s="1152">
        <f>SUMIF(F15:F269,"SB(ESL)",L15:L269)</f>
        <v>0</v>
      </c>
      <c r="M288" s="1160">
        <f>SUMIF(F15:F269,"SB(ESL)",M15:M269)</f>
        <v>0</v>
      </c>
      <c r="N288" s="1167">
        <f>SUMIF(F15:F269,"SB(ESL)",N15:N269)</f>
        <v>0</v>
      </c>
      <c r="O288" s="1152">
        <f>SUMIF(F15:F269,"SB(ESL)",O15:O269)</f>
        <v>0</v>
      </c>
      <c r="W288" s="12"/>
    </row>
    <row r="289" spans="1:23" ht="13.5" customHeight="1" x14ac:dyDescent="0.25">
      <c r="A289" s="1644" t="s">
        <v>74</v>
      </c>
      <c r="B289" s="1645"/>
      <c r="C289" s="1645"/>
      <c r="D289" s="1645"/>
      <c r="E289" s="1645"/>
      <c r="F289" s="1646"/>
      <c r="G289" s="1160">
        <f>SUMIF(F15:F269,"SB(ŽPL)",G15:G269)</f>
        <v>0</v>
      </c>
      <c r="H289" s="1167">
        <f>SUMIF(F15:F269,"SB(ŽPL)",H15:H269)</f>
        <v>0</v>
      </c>
      <c r="I289" s="1152">
        <f>SUMIF(F15:F269,"SB(ŽPL)",I15:I269)</f>
        <v>0</v>
      </c>
      <c r="J289" s="1160">
        <f>SUMIF(F15:F269,"SB(ŽPL)",J15:J269)</f>
        <v>0</v>
      </c>
      <c r="K289" s="1167">
        <f>SUMIF(F15:F269,"SB(ŽPL)",K15:K269)</f>
        <v>0</v>
      </c>
      <c r="L289" s="1152">
        <f>SUMIF(F15:F269,"SB(ŽPL)",L15:L269)</f>
        <v>0</v>
      </c>
      <c r="M289" s="1160">
        <f>SUMIF(F15:F269,"SB(ŽPL)",M15:M269)</f>
        <v>0</v>
      </c>
      <c r="N289" s="1167">
        <f>SUMIF(F15:F269,"SB(ŽPL)",N15:N269)</f>
        <v>0</v>
      </c>
      <c r="O289" s="1152">
        <f>SUMIF(F15:F269,"SB(ŽPL)",O15:O269)</f>
        <v>0</v>
      </c>
      <c r="W289" s="12"/>
    </row>
    <row r="290" spans="1:23" ht="15.75" customHeight="1" x14ac:dyDescent="0.25">
      <c r="A290" s="1644" t="s">
        <v>72</v>
      </c>
      <c r="B290" s="1645"/>
      <c r="C290" s="1645"/>
      <c r="D290" s="1645"/>
      <c r="E290" s="1645"/>
      <c r="F290" s="1646"/>
      <c r="G290" s="1159">
        <f>SUMIF(F15:F269,"SB(VRL)",G15:G269)</f>
        <v>0</v>
      </c>
      <c r="H290" s="1166">
        <f>SUMIF(F15:F269,"SB(VRL)",H15:H269)</f>
        <v>0</v>
      </c>
      <c r="I290" s="1151">
        <f>SUMIF(F15:F269,"SB(VRL)",I15:I269)</f>
        <v>0</v>
      </c>
      <c r="J290" s="1159">
        <f>SUMIF(F15:F269,"SB(VRL)",J15:J269)</f>
        <v>0</v>
      </c>
      <c r="K290" s="1166">
        <f>SUMIF(F15:F269,"SB(VRL)",K15:K269)</f>
        <v>0</v>
      </c>
      <c r="L290" s="1151">
        <f>SUMIF(F15:F269,"SB(VRL)",L15:L269)</f>
        <v>0</v>
      </c>
      <c r="M290" s="1159">
        <f>SUMIF(F15:F269,"SB(VRL)",M15:M269)</f>
        <v>0</v>
      </c>
      <c r="N290" s="1166">
        <f>SUMIF(F15:F269,"SB(VRL)",N15:N269)</f>
        <v>0</v>
      </c>
      <c r="O290" s="1151">
        <f>SUMIF(F15:F269,"SB(VRL)",O15:O269)</f>
        <v>0</v>
      </c>
      <c r="W290" s="12"/>
    </row>
    <row r="291" spans="1:23" x14ac:dyDescent="0.25">
      <c r="A291" s="1647" t="s">
        <v>14</v>
      </c>
      <c r="B291" s="1648"/>
      <c r="C291" s="1648"/>
      <c r="D291" s="1648"/>
      <c r="E291" s="1648"/>
      <c r="F291" s="1649"/>
      <c r="G291" s="1161">
        <f t="shared" ref="G291:M291" si="46">SUM(G292:G295)</f>
        <v>22.9</v>
      </c>
      <c r="H291" s="1168">
        <f t="shared" ref="H291" si="47">SUM(H292:H295)</f>
        <v>22.9</v>
      </c>
      <c r="I291" s="1153">
        <f t="shared" ref="I291" si="48">SUM(I292:I295)</f>
        <v>0</v>
      </c>
      <c r="J291" s="1161">
        <f t="shared" si="46"/>
        <v>0</v>
      </c>
      <c r="K291" s="1168">
        <f t="shared" ref="K291:L291" si="49">SUM(K292:K295)</f>
        <v>0</v>
      </c>
      <c r="L291" s="1153">
        <f t="shared" si="49"/>
        <v>0</v>
      </c>
      <c r="M291" s="1161">
        <f t="shared" si="46"/>
        <v>1500</v>
      </c>
      <c r="N291" s="1168">
        <f t="shared" ref="N291" si="50">SUM(N292:N295)</f>
        <v>1500</v>
      </c>
      <c r="O291" s="1153">
        <f t="shared" ref="O291" si="51">SUM(O292:O295)</f>
        <v>0</v>
      </c>
      <c r="W291" s="12"/>
    </row>
    <row r="292" spans="1:23" x14ac:dyDescent="0.25">
      <c r="A292" s="1632" t="s">
        <v>97</v>
      </c>
      <c r="B292" s="1633"/>
      <c r="C292" s="1633"/>
      <c r="D292" s="1633"/>
      <c r="E292" s="1633"/>
      <c r="F292" s="1634"/>
      <c r="G292" s="1158">
        <f>SUMIF(F15:F269,"KVJUD",G15:G269)</f>
        <v>0</v>
      </c>
      <c r="H292" s="1165">
        <f>SUMIF(F15:F269,"KVJUD",H15:H269)</f>
        <v>0</v>
      </c>
      <c r="I292" s="1150">
        <f>SUMIF(F15:F269,"KVJUD",I15:I269)</f>
        <v>0</v>
      </c>
      <c r="J292" s="1158">
        <f>SUMIF(F15:F269,"KVJUD",J15:J269)</f>
        <v>0</v>
      </c>
      <c r="K292" s="1165">
        <f>SUMIF(F15:F269,"KVJUD",K15:K269)</f>
        <v>0</v>
      </c>
      <c r="L292" s="1150">
        <f>SUMIF(F15:F269,"KVJUD",L15:L269)</f>
        <v>0</v>
      </c>
      <c r="M292" s="1158">
        <f>SUMIF(F15:F269,"KVJUD",M15:M269)</f>
        <v>0</v>
      </c>
      <c r="N292" s="1165">
        <f>SUMIF(F15:F269,"KVJUD",N15:N269)</f>
        <v>0</v>
      </c>
      <c r="O292" s="1150">
        <f>SUMIF(F15:F269,"KVJUD",O15:O269)</f>
        <v>0</v>
      </c>
      <c r="W292" s="12"/>
    </row>
    <row r="293" spans="1:23" ht="13.5" customHeight="1" x14ac:dyDescent="0.25">
      <c r="A293" s="1635" t="s">
        <v>21</v>
      </c>
      <c r="B293" s="1636"/>
      <c r="C293" s="1636"/>
      <c r="D293" s="1636"/>
      <c r="E293" s="1636"/>
      <c r="F293" s="1637"/>
      <c r="G293" s="1158">
        <f>SUMIF(F15:F269,"LRVB",G15:G269)</f>
        <v>0</v>
      </c>
      <c r="H293" s="1165">
        <f>SUMIF(F15:F269,"LRVB",H15:H269)</f>
        <v>0</v>
      </c>
      <c r="I293" s="1150">
        <f>SUMIF(F15:F269,"LRVB",I15:I269)</f>
        <v>0</v>
      </c>
      <c r="J293" s="1158">
        <f>SUMIF(F15:F269,"LRVB",J15:J269)</f>
        <v>0</v>
      </c>
      <c r="K293" s="1165">
        <f>SUMIF(F15:F269,"LRVB",K15:K269)</f>
        <v>0</v>
      </c>
      <c r="L293" s="1150">
        <f>SUMIF(F15:F269,"LRVB",L15:L269)</f>
        <v>0</v>
      </c>
      <c r="M293" s="1158">
        <f>SUMIF(F15:F269,"LRVB",M15:M269)</f>
        <v>1500</v>
      </c>
      <c r="N293" s="1165">
        <f>SUMIF(F15:F269,"LRVB",N15:N269)</f>
        <v>1500</v>
      </c>
      <c r="O293" s="1150">
        <f>SUMIF(F15:F269,"LRVB",O15:O269)</f>
        <v>0</v>
      </c>
      <c r="W293" s="12"/>
    </row>
    <row r="294" spans="1:23" ht="14.25" customHeight="1" x14ac:dyDescent="0.25">
      <c r="A294" s="1638" t="s">
        <v>20</v>
      </c>
      <c r="B294" s="1639"/>
      <c r="C294" s="1639"/>
      <c r="D294" s="1639"/>
      <c r="E294" s="1639"/>
      <c r="F294" s="1640"/>
      <c r="G294" s="1162">
        <f>SUMIF(F15:F269,"ES",G15:G269)</f>
        <v>0</v>
      </c>
      <c r="H294" s="1169">
        <f>SUMIF(F15:F269,"ES",H15:H269)</f>
        <v>0</v>
      </c>
      <c r="I294" s="1154">
        <f>SUMIF(F15:F269,"ES",I15:I269)</f>
        <v>0</v>
      </c>
      <c r="J294" s="1162">
        <f>SUMIF(F15:F269,"ES",J15:J269)</f>
        <v>0</v>
      </c>
      <c r="K294" s="1169">
        <f>SUMIF(F15:F269,"ES",K15:K269)</f>
        <v>0</v>
      </c>
      <c r="L294" s="1154">
        <f>SUMIF(F15:F269,"ES",L15:L269)</f>
        <v>0</v>
      </c>
      <c r="M294" s="1162">
        <f>SUMIF(F15:F269,"ES",M15:M269)</f>
        <v>0</v>
      </c>
      <c r="N294" s="1169">
        <f>SUMIF(F15:F269,"ES",N15:N269)</f>
        <v>0</v>
      </c>
      <c r="O294" s="1154">
        <f>SUMIF(F15:F269,"ES",O15:O269)</f>
        <v>0</v>
      </c>
      <c r="W294" s="12"/>
    </row>
    <row r="295" spans="1:23" ht="15.75" customHeight="1" x14ac:dyDescent="0.25">
      <c r="A295" s="1635" t="s">
        <v>22</v>
      </c>
      <c r="B295" s="1636"/>
      <c r="C295" s="1636"/>
      <c r="D295" s="1636"/>
      <c r="E295" s="1636"/>
      <c r="F295" s="1637"/>
      <c r="G295" s="1158">
        <f>SUMIF(F15:F269,"Kt",G15:G269)</f>
        <v>22.9</v>
      </c>
      <c r="H295" s="1165">
        <f>SUMIF(F15:F269,"Kt",H15:H269)</f>
        <v>22.9</v>
      </c>
      <c r="I295" s="1150">
        <f>SUMIF(F15:F269,"Kt",I15:I269)</f>
        <v>0</v>
      </c>
      <c r="J295" s="1158">
        <f>SUMIF(F15:F269,"Kt",J15:J269)</f>
        <v>0</v>
      </c>
      <c r="K295" s="1165">
        <f>SUMIF(F15:F269,"Kt",K15:K269)</f>
        <v>0</v>
      </c>
      <c r="L295" s="1150">
        <f>SUMIF(F15:F269,"Kt",L15:L269)</f>
        <v>0</v>
      </c>
      <c r="M295" s="1158">
        <f>SUMIF(F15:F269,"Kt",M15:M269)</f>
        <v>0</v>
      </c>
      <c r="N295" s="1165">
        <f>SUMIF(F15:F269,"Kt",N15:N269)</f>
        <v>0</v>
      </c>
      <c r="O295" s="1150">
        <f>SUMIF(F15:F269,"Kt",O15:O269)</f>
        <v>0</v>
      </c>
      <c r="W295" s="12"/>
    </row>
    <row r="296" spans="1:23" ht="15" customHeight="1" thickBot="1" x14ac:dyDescent="0.3">
      <c r="A296" s="1641" t="s">
        <v>15</v>
      </c>
      <c r="B296" s="1642"/>
      <c r="C296" s="1642"/>
      <c r="D296" s="1642"/>
      <c r="E296" s="1642"/>
      <c r="F296" s="1643"/>
      <c r="G296" s="1163">
        <f>SUM(G274,G291)</f>
        <v>20545.3</v>
      </c>
      <c r="H296" s="1170">
        <f>SUM(H274,H291)</f>
        <v>18617.3</v>
      </c>
      <c r="I296" s="1155">
        <f>SUM(I274,I291)</f>
        <v>-1928</v>
      </c>
      <c r="J296" s="1163">
        <f t="shared" ref="J296:M296" si="52">SUM(J274,J291)</f>
        <v>18196.900000000001</v>
      </c>
      <c r="K296" s="1170">
        <f t="shared" ref="K296:L296" si="53">SUM(K274,K291)</f>
        <v>20390.3</v>
      </c>
      <c r="L296" s="1155">
        <f t="shared" si="53"/>
        <v>2193.4</v>
      </c>
      <c r="M296" s="1163">
        <f t="shared" si="52"/>
        <v>20584.400000000001</v>
      </c>
      <c r="N296" s="1170">
        <f t="shared" ref="N296" si="54">SUM(N274,N291)</f>
        <v>20368.7</v>
      </c>
      <c r="O296" s="1155">
        <f t="shared" ref="O296" si="55">SUM(O274,O291)</f>
        <v>-215.7</v>
      </c>
      <c r="Q296" s="348"/>
      <c r="R296" s="348"/>
      <c r="S296" s="348"/>
      <c r="T296" s="348"/>
      <c r="U296" s="3"/>
      <c r="V296" s="3"/>
      <c r="W296" s="12"/>
    </row>
    <row r="297" spans="1:23" x14ac:dyDescent="0.25">
      <c r="G297" s="7"/>
      <c r="H297" s="7"/>
      <c r="I297" s="7"/>
      <c r="J297" s="7"/>
      <c r="K297" s="7"/>
      <c r="L297" s="7"/>
      <c r="M297" s="7"/>
      <c r="N297" s="7"/>
      <c r="O297" s="7"/>
      <c r="P297" s="7"/>
      <c r="Q297" s="2"/>
      <c r="R297" s="2"/>
      <c r="S297" s="2"/>
      <c r="T297" s="2"/>
      <c r="U297" s="6"/>
      <c r="V297" s="6"/>
      <c r="W297" s="12"/>
    </row>
    <row r="299" spans="1:23" x14ac:dyDescent="0.25">
      <c r="I299" s="15"/>
    </row>
    <row r="300" spans="1:23" x14ac:dyDescent="0.25">
      <c r="G300" s="12"/>
      <c r="H300" s="12"/>
      <c r="I300" s="12"/>
    </row>
  </sheetData>
  <mergeCells count="200">
    <mergeCell ref="W127:W129"/>
    <mergeCell ref="W137:W138"/>
    <mergeCell ref="P141:P142"/>
    <mergeCell ref="P143:P144"/>
    <mergeCell ref="W139:W145"/>
    <mergeCell ref="W150:W151"/>
    <mergeCell ref="V1:W1"/>
    <mergeCell ref="W32:W38"/>
    <mergeCell ref="W57:W60"/>
    <mergeCell ref="W239:W241"/>
    <mergeCell ref="W64:W66"/>
    <mergeCell ref="W256:W266"/>
    <mergeCell ref="W212:W219"/>
    <mergeCell ref="R154:R155"/>
    <mergeCell ref="T154:T155"/>
    <mergeCell ref="V154:V155"/>
    <mergeCell ref="P8:V8"/>
    <mergeCell ref="Q9:V9"/>
    <mergeCell ref="W8:W10"/>
    <mergeCell ref="P154:P155"/>
    <mergeCell ref="Q154:Q155"/>
    <mergeCell ref="S154:S155"/>
    <mergeCell ref="U154:U155"/>
    <mergeCell ref="W39:W41"/>
    <mergeCell ref="W48:W54"/>
    <mergeCell ref="W61:W63"/>
    <mergeCell ref="W76:W90"/>
    <mergeCell ref="W15:W26"/>
    <mergeCell ref="W226:W232"/>
    <mergeCell ref="W91:W97"/>
    <mergeCell ref="W105:W121"/>
    <mergeCell ref="W131:W132"/>
    <mergeCell ref="W154:W155"/>
    <mergeCell ref="A291:F291"/>
    <mergeCell ref="A292:F292"/>
    <mergeCell ref="A293:F293"/>
    <mergeCell ref="A294:F294"/>
    <mergeCell ref="A295:F295"/>
    <mergeCell ref="A296:F296"/>
    <mergeCell ref="A285:F285"/>
    <mergeCell ref="A286:F286"/>
    <mergeCell ref="A287:F287"/>
    <mergeCell ref="A288:F288"/>
    <mergeCell ref="A289:F289"/>
    <mergeCell ref="A290:F290"/>
    <mergeCell ref="A279:F279"/>
    <mergeCell ref="A280:F280"/>
    <mergeCell ref="A281:F281"/>
    <mergeCell ref="A282:F282"/>
    <mergeCell ref="A283:F283"/>
    <mergeCell ref="A284:F284"/>
    <mergeCell ref="A273:F273"/>
    <mergeCell ref="A274:F274"/>
    <mergeCell ref="A275:F275"/>
    <mergeCell ref="A276:F276"/>
    <mergeCell ref="A277:F277"/>
    <mergeCell ref="A278:F278"/>
    <mergeCell ref="B268:F268"/>
    <mergeCell ref="P268:U268"/>
    <mergeCell ref="B269:F269"/>
    <mergeCell ref="P269:U269"/>
    <mergeCell ref="A270:F270"/>
    <mergeCell ref="A272:M272"/>
    <mergeCell ref="P259:P260"/>
    <mergeCell ref="D261:D262"/>
    <mergeCell ref="P261:P262"/>
    <mergeCell ref="D263:D264"/>
    <mergeCell ref="D265:D266"/>
    <mergeCell ref="C267:F267"/>
    <mergeCell ref="D235:D236"/>
    <mergeCell ref="P235:P236"/>
    <mergeCell ref="C254:F254"/>
    <mergeCell ref="C255:F255"/>
    <mergeCell ref="D256:D258"/>
    <mergeCell ref="A259:A260"/>
    <mergeCell ref="B259:B260"/>
    <mergeCell ref="C259:C260"/>
    <mergeCell ref="D259:D260"/>
    <mergeCell ref="E259:E260"/>
    <mergeCell ref="D226:D228"/>
    <mergeCell ref="P226:P227"/>
    <mergeCell ref="P228:P229"/>
    <mergeCell ref="P230:P231"/>
    <mergeCell ref="A233:A234"/>
    <mergeCell ref="B233:B234"/>
    <mergeCell ref="C233:C234"/>
    <mergeCell ref="D233:D234"/>
    <mergeCell ref="E233:E234"/>
    <mergeCell ref="C210:F210"/>
    <mergeCell ref="D212:D218"/>
    <mergeCell ref="D220:D221"/>
    <mergeCell ref="P221:P222"/>
    <mergeCell ref="D223:D224"/>
    <mergeCell ref="P223:P224"/>
    <mergeCell ref="P210:W210"/>
    <mergeCell ref="C211:W211"/>
    <mergeCell ref="D158:D161"/>
    <mergeCell ref="C188:F188"/>
    <mergeCell ref="C189:U189"/>
    <mergeCell ref="D190:D191"/>
    <mergeCell ref="D192:D194"/>
    <mergeCell ref="D195:D199"/>
    <mergeCell ref="P195:P196"/>
    <mergeCell ref="P197:P198"/>
    <mergeCell ref="W220:W225"/>
    <mergeCell ref="W163:W164"/>
    <mergeCell ref="W165:W167"/>
    <mergeCell ref="W195:W206"/>
    <mergeCell ref="D146:D147"/>
    <mergeCell ref="D148:D149"/>
    <mergeCell ref="D134:D136"/>
    <mergeCell ref="A137:A138"/>
    <mergeCell ref="B137:B138"/>
    <mergeCell ref="C137:C138"/>
    <mergeCell ref="D137:D138"/>
    <mergeCell ref="E137:E138"/>
    <mergeCell ref="A156:A157"/>
    <mergeCell ref="B156:B157"/>
    <mergeCell ref="C156:C157"/>
    <mergeCell ref="D156:D157"/>
    <mergeCell ref="E156:E157"/>
    <mergeCell ref="A154:A155"/>
    <mergeCell ref="B154:B155"/>
    <mergeCell ref="C154:C155"/>
    <mergeCell ref="D154:D155"/>
    <mergeCell ref="E154:E155"/>
    <mergeCell ref="D150:D151"/>
    <mergeCell ref="D125:D126"/>
    <mergeCell ref="E127:E128"/>
    <mergeCell ref="D102:E102"/>
    <mergeCell ref="D103:D104"/>
    <mergeCell ref="P103:P104"/>
    <mergeCell ref="D105:D110"/>
    <mergeCell ref="D120:D121"/>
    <mergeCell ref="P120:P121"/>
    <mergeCell ref="A139:A140"/>
    <mergeCell ref="B139:B140"/>
    <mergeCell ref="C139:C140"/>
    <mergeCell ref="D139:D140"/>
    <mergeCell ref="A122:A124"/>
    <mergeCell ref="B122:B124"/>
    <mergeCell ref="D122:D124"/>
    <mergeCell ref="E122:E124"/>
    <mergeCell ref="A91:A97"/>
    <mergeCell ref="B91:B97"/>
    <mergeCell ref="C91:C97"/>
    <mergeCell ref="D91:D97"/>
    <mergeCell ref="E91:E97"/>
    <mergeCell ref="D98:D99"/>
    <mergeCell ref="A73:A75"/>
    <mergeCell ref="B73:B75"/>
    <mergeCell ref="C73:C75"/>
    <mergeCell ref="D73:D75"/>
    <mergeCell ref="D76:D79"/>
    <mergeCell ref="E78:E82"/>
    <mergeCell ref="D61:D63"/>
    <mergeCell ref="D64:D66"/>
    <mergeCell ref="P64:P66"/>
    <mergeCell ref="D68:D69"/>
    <mergeCell ref="D70:E70"/>
    <mergeCell ref="D71:D72"/>
    <mergeCell ref="D44:D47"/>
    <mergeCell ref="P46:P47"/>
    <mergeCell ref="D48:D54"/>
    <mergeCell ref="P48:P52"/>
    <mergeCell ref="D55:D56"/>
    <mergeCell ref="D57:D60"/>
    <mergeCell ref="P57:P60"/>
    <mergeCell ref="D27:D30"/>
    <mergeCell ref="P28:P29"/>
    <mergeCell ref="D32:D37"/>
    <mergeCell ref="P32:P37"/>
    <mergeCell ref="D39:D43"/>
    <mergeCell ref="P40:P42"/>
    <mergeCell ref="A11:U11"/>
    <mergeCell ref="A12:U12"/>
    <mergeCell ref="B13:U13"/>
    <mergeCell ref="C14:U14"/>
    <mergeCell ref="D15:D26"/>
    <mergeCell ref="P15:P26"/>
    <mergeCell ref="A8:A10"/>
    <mergeCell ref="B8:B10"/>
    <mergeCell ref="C8:C10"/>
    <mergeCell ref="D8:D10"/>
    <mergeCell ref="E8:E10"/>
    <mergeCell ref="F8:F10"/>
    <mergeCell ref="O8:O10"/>
    <mergeCell ref="N8:N10"/>
    <mergeCell ref="A4:W4"/>
    <mergeCell ref="A5:W5"/>
    <mergeCell ref="A6:W6"/>
    <mergeCell ref="P7:U7"/>
    <mergeCell ref="G8:G10"/>
    <mergeCell ref="J8:J10"/>
    <mergeCell ref="M8:M10"/>
    <mergeCell ref="P9:P10"/>
    <mergeCell ref="I8:I10"/>
    <mergeCell ref="H8:H10"/>
    <mergeCell ref="K8:K10"/>
    <mergeCell ref="L8:L10"/>
  </mergeCells>
  <printOptions horizontalCentered="1"/>
  <pageMargins left="0.78740157480314965" right="0.19685039370078741" top="0.39370078740157483" bottom="0.39370078740157483" header="0.31496062992125984" footer="0.31496062992125984"/>
  <pageSetup paperSize="9" scale="62" fitToHeight="0" orientation="landscape" r:id="rId1"/>
  <rowBreaks count="8" manualBreakCount="8">
    <brk id="47" max="22" man="1"/>
    <brk id="87" max="22" man="1"/>
    <brk id="121" max="22" man="1"/>
    <brk id="151" max="22" man="1"/>
    <brk id="178" max="22" man="1"/>
    <brk id="210" max="22" man="1"/>
    <brk id="246" max="22" man="1"/>
    <brk id="271" max="22" man="1"/>
  </rowBreaks>
  <ignoredErrors>
    <ignoredError sqref="H39 H49 H52 I153 L153 O153 I133 H57 L136 J291 M291 I242 L242"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09"/>
  <sheetViews>
    <sheetView topLeftCell="D8" zoomScaleNormal="100" zoomScaleSheetLayoutView="90" workbookViewId="0">
      <selection activeCell="M8" sqref="M8:M9"/>
    </sheetView>
  </sheetViews>
  <sheetFormatPr defaultColWidth="9.1796875" defaultRowHeight="13" x14ac:dyDescent="0.25"/>
  <cols>
    <col min="1" max="4" width="2.81640625" style="4" customWidth="1"/>
    <col min="5" max="5" width="32" style="4" customWidth="1"/>
    <col min="6" max="6" width="4.54296875" style="10" customWidth="1"/>
    <col min="7" max="7" width="12.1796875" style="121" customWidth="1"/>
    <col min="8" max="8" width="8.1796875" style="16" customWidth="1"/>
    <col min="9" max="12" width="11.54296875" style="4" customWidth="1"/>
    <col min="13" max="13" width="38.453125" style="4" customWidth="1"/>
    <col min="14" max="14" width="5.1796875" style="4" customWidth="1"/>
    <col min="15" max="16" width="5.1796875" style="16" customWidth="1"/>
    <col min="17" max="17" width="5.1796875" style="4" customWidth="1"/>
    <col min="18" max="16384" width="9.1796875" style="3"/>
  </cols>
  <sheetData>
    <row r="1" spans="1:17" ht="19.5" customHeight="1" x14ac:dyDescent="0.25">
      <c r="G1" s="74"/>
      <c r="I1" s="16"/>
      <c r="J1" s="16"/>
      <c r="K1" s="16"/>
      <c r="L1" s="16"/>
      <c r="M1" s="1952" t="s">
        <v>418</v>
      </c>
      <c r="N1" s="1952"/>
      <c r="O1" s="1952"/>
      <c r="P1" s="1952"/>
      <c r="Q1" s="1952"/>
    </row>
    <row r="2" spans="1:17" ht="10.5" customHeight="1" x14ac:dyDescent="0.25">
      <c r="G2" s="74"/>
      <c r="I2" s="16"/>
      <c r="J2" s="16"/>
      <c r="K2" s="16"/>
      <c r="L2" s="16"/>
      <c r="M2" s="1952"/>
      <c r="N2" s="1952"/>
      <c r="O2" s="1952"/>
      <c r="P2" s="1952"/>
      <c r="Q2" s="1952"/>
    </row>
    <row r="3" spans="1:17" s="4" customFormat="1" ht="15" customHeight="1" x14ac:dyDescent="0.25">
      <c r="A3" s="1830" t="s">
        <v>249</v>
      </c>
      <c r="B3" s="1830"/>
      <c r="C3" s="1830"/>
      <c r="D3" s="1830"/>
      <c r="E3" s="1830"/>
      <c r="F3" s="1830"/>
      <c r="G3" s="1830"/>
      <c r="H3" s="1830"/>
      <c r="I3" s="1830"/>
      <c r="J3" s="1830"/>
      <c r="K3" s="1830"/>
      <c r="L3" s="1830"/>
      <c r="M3" s="1830"/>
      <c r="N3" s="1830"/>
      <c r="O3" s="1830"/>
      <c r="P3" s="1830"/>
      <c r="Q3" s="1830"/>
    </row>
    <row r="4" spans="1:17" ht="15" x14ac:dyDescent="0.25">
      <c r="A4" s="1831" t="s">
        <v>24</v>
      </c>
      <c r="B4" s="1831"/>
      <c r="C4" s="1831"/>
      <c r="D4" s="1831"/>
      <c r="E4" s="1831"/>
      <c r="F4" s="1831"/>
      <c r="G4" s="1831"/>
      <c r="H4" s="1831"/>
      <c r="I4" s="1831"/>
      <c r="J4" s="1831"/>
      <c r="K4" s="1831"/>
      <c r="L4" s="1831"/>
      <c r="M4" s="1831"/>
      <c r="N4" s="1831"/>
      <c r="O4" s="1831"/>
      <c r="P4" s="1831"/>
      <c r="Q4" s="1831"/>
    </row>
    <row r="5" spans="1:17" ht="15.5" x14ac:dyDescent="0.25">
      <c r="A5" s="1832" t="s">
        <v>81</v>
      </c>
      <c r="B5" s="1832"/>
      <c r="C5" s="1832"/>
      <c r="D5" s="1832"/>
      <c r="E5" s="1832"/>
      <c r="F5" s="1832"/>
      <c r="G5" s="1832"/>
      <c r="H5" s="1832"/>
      <c r="I5" s="1832"/>
      <c r="J5" s="1832"/>
      <c r="K5" s="1832"/>
      <c r="L5" s="1832"/>
      <c r="M5" s="1832"/>
      <c r="N5" s="1832"/>
      <c r="O5" s="1832"/>
      <c r="P5" s="1832"/>
      <c r="Q5" s="1832"/>
    </row>
    <row r="6" spans="1:17" ht="13.5" thickBot="1" x14ac:dyDescent="0.3">
      <c r="M6" s="1833" t="s">
        <v>78</v>
      </c>
      <c r="N6" s="1833"/>
      <c r="O6" s="1833"/>
      <c r="P6" s="1833"/>
      <c r="Q6" s="1833"/>
    </row>
    <row r="7" spans="1:17" s="31" customFormat="1" ht="24.75" customHeight="1" x14ac:dyDescent="0.25">
      <c r="A7" s="1834" t="s">
        <v>16</v>
      </c>
      <c r="B7" s="1837" t="s">
        <v>0</v>
      </c>
      <c r="C7" s="1837" t="s">
        <v>1</v>
      </c>
      <c r="D7" s="1837" t="s">
        <v>61</v>
      </c>
      <c r="E7" s="1840" t="s">
        <v>11</v>
      </c>
      <c r="F7" s="1821" t="s">
        <v>2</v>
      </c>
      <c r="G7" s="1970" t="s">
        <v>239</v>
      </c>
      <c r="H7" s="1824" t="s">
        <v>3</v>
      </c>
      <c r="I7" s="1946" t="s">
        <v>238</v>
      </c>
      <c r="J7" s="1827" t="s">
        <v>250</v>
      </c>
      <c r="K7" s="1805" t="s">
        <v>251</v>
      </c>
      <c r="L7" s="1959" t="s">
        <v>252</v>
      </c>
      <c r="M7" s="1807" t="s">
        <v>10</v>
      </c>
      <c r="N7" s="1808"/>
      <c r="O7" s="1808"/>
      <c r="P7" s="1808"/>
      <c r="Q7" s="1809"/>
    </row>
    <row r="8" spans="1:17" s="31" customFormat="1" ht="18.75" customHeight="1" x14ac:dyDescent="0.25">
      <c r="A8" s="1835"/>
      <c r="B8" s="1838"/>
      <c r="C8" s="1838"/>
      <c r="D8" s="1838"/>
      <c r="E8" s="1841"/>
      <c r="F8" s="1822"/>
      <c r="G8" s="1971"/>
      <c r="H8" s="1825"/>
      <c r="I8" s="1947"/>
      <c r="J8" s="1828"/>
      <c r="K8" s="1806"/>
      <c r="L8" s="1960"/>
      <c r="M8" s="1810" t="s">
        <v>11</v>
      </c>
      <c r="N8" s="1897" t="s">
        <v>66</v>
      </c>
      <c r="O8" s="1813"/>
      <c r="P8" s="1813"/>
      <c r="Q8" s="1814"/>
    </row>
    <row r="9" spans="1:17" s="31" customFormat="1" ht="82.5" customHeight="1" thickBot="1" x14ac:dyDescent="0.3">
      <c r="A9" s="1836"/>
      <c r="B9" s="1839"/>
      <c r="C9" s="1839"/>
      <c r="D9" s="1839"/>
      <c r="E9" s="1842"/>
      <c r="F9" s="1823"/>
      <c r="G9" s="1972"/>
      <c r="H9" s="1826"/>
      <c r="I9" s="1948"/>
      <c r="J9" s="1829"/>
      <c r="K9" s="1969"/>
      <c r="L9" s="1961"/>
      <c r="M9" s="1811"/>
      <c r="N9" s="408" t="s">
        <v>254</v>
      </c>
      <c r="O9" s="203" t="s">
        <v>253</v>
      </c>
      <c r="P9" s="205" t="s">
        <v>255</v>
      </c>
      <c r="Q9" s="204" t="s">
        <v>256</v>
      </c>
    </row>
    <row r="10" spans="1:17" s="9" customFormat="1" ht="15" customHeight="1" x14ac:dyDescent="0.25">
      <c r="A10" s="1815" t="s">
        <v>53</v>
      </c>
      <c r="B10" s="1816"/>
      <c r="C10" s="1816"/>
      <c r="D10" s="1816"/>
      <c r="E10" s="1816"/>
      <c r="F10" s="1816"/>
      <c r="G10" s="1816"/>
      <c r="H10" s="1816"/>
      <c r="I10" s="1816"/>
      <c r="J10" s="1816"/>
      <c r="K10" s="1816"/>
      <c r="L10" s="1816"/>
      <c r="M10" s="1816"/>
      <c r="N10" s="1816"/>
      <c r="O10" s="1816"/>
      <c r="P10" s="1816"/>
      <c r="Q10" s="1817"/>
    </row>
    <row r="11" spans="1:17" s="9" customFormat="1" ht="14.25" customHeight="1" x14ac:dyDescent="0.25">
      <c r="A11" s="1818" t="s">
        <v>42</v>
      </c>
      <c r="B11" s="1819"/>
      <c r="C11" s="1819"/>
      <c r="D11" s="1819"/>
      <c r="E11" s="1819"/>
      <c r="F11" s="1819"/>
      <c r="G11" s="1819"/>
      <c r="H11" s="1819"/>
      <c r="I11" s="1819"/>
      <c r="J11" s="1819"/>
      <c r="K11" s="1819"/>
      <c r="L11" s="1819"/>
      <c r="M11" s="1819"/>
      <c r="N11" s="1819"/>
      <c r="O11" s="1819"/>
      <c r="P11" s="1819"/>
      <c r="Q11" s="1820"/>
    </row>
    <row r="12" spans="1:17" ht="15" customHeight="1" x14ac:dyDescent="0.25">
      <c r="A12" s="20" t="s">
        <v>4</v>
      </c>
      <c r="B12" s="1797" t="s">
        <v>54</v>
      </c>
      <c r="C12" s="1798"/>
      <c r="D12" s="1798"/>
      <c r="E12" s="1798"/>
      <c r="F12" s="1798"/>
      <c r="G12" s="1798"/>
      <c r="H12" s="1798"/>
      <c r="I12" s="1798"/>
      <c r="J12" s="1798"/>
      <c r="K12" s="1798"/>
      <c r="L12" s="1798"/>
      <c r="M12" s="1798"/>
      <c r="N12" s="1798"/>
      <c r="O12" s="1798"/>
      <c r="P12" s="1798"/>
      <c r="Q12" s="1799"/>
    </row>
    <row r="13" spans="1:17" ht="15.75" customHeight="1" x14ac:dyDescent="0.25">
      <c r="A13" s="27" t="s">
        <v>4</v>
      </c>
      <c r="B13" s="28" t="s">
        <v>4</v>
      </c>
      <c r="C13" s="1962" t="s">
        <v>39</v>
      </c>
      <c r="D13" s="1963"/>
      <c r="E13" s="1963"/>
      <c r="F13" s="1963"/>
      <c r="G13" s="1963"/>
      <c r="H13" s="1963"/>
      <c r="I13" s="1964"/>
      <c r="J13" s="1963"/>
      <c r="K13" s="1963"/>
      <c r="L13" s="1963"/>
      <c r="M13" s="1963"/>
      <c r="N13" s="1963"/>
      <c r="O13" s="1964"/>
      <c r="P13" s="1964"/>
      <c r="Q13" s="1965"/>
    </row>
    <row r="14" spans="1:17" ht="12" customHeight="1" x14ac:dyDescent="0.25">
      <c r="A14" s="713" t="s">
        <v>4</v>
      </c>
      <c r="B14" s="714" t="s">
        <v>4</v>
      </c>
      <c r="C14" s="715" t="s">
        <v>4</v>
      </c>
      <c r="D14" s="716"/>
      <c r="E14" s="1687" t="s">
        <v>75</v>
      </c>
      <c r="F14" s="140"/>
      <c r="G14" s="1966"/>
      <c r="H14" s="100"/>
      <c r="I14" s="524"/>
      <c r="J14" s="308"/>
      <c r="K14" s="308"/>
      <c r="L14" s="113"/>
      <c r="M14" s="1843"/>
      <c r="N14" s="502"/>
      <c r="O14" s="501"/>
      <c r="P14" s="267"/>
      <c r="Q14" s="364"/>
    </row>
    <row r="15" spans="1:17" ht="12" customHeight="1" x14ac:dyDescent="0.25">
      <c r="A15" s="713"/>
      <c r="B15" s="714"/>
      <c r="C15" s="715"/>
      <c r="D15" s="716"/>
      <c r="E15" s="1803"/>
      <c r="F15" s="194"/>
      <c r="G15" s="1967"/>
      <c r="H15" s="100"/>
      <c r="I15" s="380"/>
      <c r="J15" s="47"/>
      <c r="K15" s="307"/>
      <c r="L15" s="113"/>
      <c r="M15" s="1843"/>
      <c r="N15" s="500"/>
      <c r="O15" s="499"/>
      <c r="P15" s="238"/>
      <c r="Q15" s="206"/>
    </row>
    <row r="16" spans="1:17" ht="18.75" customHeight="1" x14ac:dyDescent="0.25">
      <c r="A16" s="713"/>
      <c r="B16" s="714"/>
      <c r="C16" s="715"/>
      <c r="D16" s="716"/>
      <c r="E16" s="1687"/>
      <c r="F16" s="163"/>
      <c r="G16" s="1968"/>
      <c r="H16" s="331"/>
      <c r="I16" s="503"/>
      <c r="J16" s="327"/>
      <c r="K16" s="324"/>
      <c r="L16" s="112"/>
      <c r="M16" s="1843"/>
      <c r="N16" s="500"/>
      <c r="O16" s="499"/>
      <c r="P16" s="238"/>
      <c r="Q16" s="206"/>
    </row>
    <row r="17" spans="1:17" ht="25.5" customHeight="1" x14ac:dyDescent="0.25">
      <c r="A17" s="713"/>
      <c r="B17" s="714"/>
      <c r="C17" s="715"/>
      <c r="D17" s="397" t="s">
        <v>4</v>
      </c>
      <c r="E17" s="1712" t="s">
        <v>112</v>
      </c>
      <c r="F17" s="905" t="s">
        <v>225</v>
      </c>
      <c r="G17" s="1914" t="s">
        <v>214</v>
      </c>
      <c r="H17" s="139" t="s">
        <v>23</v>
      </c>
      <c r="I17" s="525">
        <v>58.9</v>
      </c>
      <c r="J17" s="53"/>
      <c r="K17" s="308">
        <v>440</v>
      </c>
      <c r="L17" s="56">
        <f>1500+2047.9</f>
        <v>3547.9</v>
      </c>
      <c r="M17" s="409" t="s">
        <v>76</v>
      </c>
      <c r="N17" s="531">
        <v>1</v>
      </c>
      <c r="O17" s="495">
        <v>1</v>
      </c>
      <c r="P17" s="377"/>
      <c r="Q17" s="168"/>
    </row>
    <row r="18" spans="1:17" ht="12.75" customHeight="1" x14ac:dyDescent="0.25">
      <c r="A18" s="713"/>
      <c r="B18" s="714"/>
      <c r="C18" s="715"/>
      <c r="D18" s="398"/>
      <c r="E18" s="1713"/>
      <c r="F18" s="194" t="s">
        <v>194</v>
      </c>
      <c r="G18" s="1915"/>
      <c r="H18" s="100" t="s">
        <v>51</v>
      </c>
      <c r="I18" s="380">
        <v>42.5</v>
      </c>
      <c r="J18" s="47">
        <f>30.4+58.9</f>
        <v>89.3</v>
      </c>
      <c r="K18" s="307"/>
      <c r="L18" s="113"/>
      <c r="M18" s="1783" t="s">
        <v>257</v>
      </c>
      <c r="N18" s="351"/>
      <c r="O18" s="202"/>
      <c r="P18" s="240"/>
      <c r="Q18" s="104"/>
    </row>
    <row r="19" spans="1:17" ht="13.5" customHeight="1" x14ac:dyDescent="0.25">
      <c r="A19" s="713"/>
      <c r="B19" s="714"/>
      <c r="C19" s="715"/>
      <c r="D19" s="398"/>
      <c r="E19" s="1713"/>
      <c r="F19" s="906" t="s">
        <v>164</v>
      </c>
      <c r="G19" s="1984" t="s">
        <v>240</v>
      </c>
      <c r="H19" s="100" t="s">
        <v>243</v>
      </c>
      <c r="I19" s="380"/>
      <c r="J19" s="47"/>
      <c r="K19" s="307">
        <v>2132.6</v>
      </c>
      <c r="L19" s="381">
        <v>2559</v>
      </c>
      <c r="M19" s="1783"/>
      <c r="N19" s="351"/>
      <c r="O19" s="202"/>
      <c r="P19" s="240"/>
      <c r="Q19" s="149"/>
    </row>
    <row r="20" spans="1:17" ht="24" customHeight="1" x14ac:dyDescent="0.25">
      <c r="A20" s="713"/>
      <c r="B20" s="714"/>
      <c r="C20" s="715"/>
      <c r="D20" s="398"/>
      <c r="E20" s="1713"/>
      <c r="F20" s="905" t="s">
        <v>43</v>
      </c>
      <c r="G20" s="1915"/>
      <c r="H20" s="787"/>
      <c r="I20" s="380"/>
      <c r="J20" s="47"/>
      <c r="K20" s="307"/>
      <c r="L20" s="113"/>
      <c r="M20" s="433" t="s">
        <v>335</v>
      </c>
      <c r="N20" s="533"/>
      <c r="O20" s="265"/>
      <c r="P20" s="265">
        <v>30</v>
      </c>
      <c r="Q20" s="379">
        <v>100</v>
      </c>
    </row>
    <row r="21" spans="1:17" ht="16.5" customHeight="1" x14ac:dyDescent="0.25">
      <c r="A21" s="764"/>
      <c r="B21" s="765"/>
      <c r="C21" s="766"/>
      <c r="D21" s="398"/>
      <c r="E21" s="763"/>
      <c r="F21" s="102"/>
      <c r="G21" s="762"/>
      <c r="H21" s="100"/>
      <c r="I21" s="380"/>
      <c r="J21" s="300"/>
      <c r="K21" s="300"/>
      <c r="L21" s="382"/>
      <c r="M21" s="434" t="s">
        <v>336</v>
      </c>
      <c r="N21" s="534"/>
      <c r="O21" s="247"/>
      <c r="P21" s="247"/>
      <c r="Q21" s="645">
        <v>30</v>
      </c>
    </row>
    <row r="22" spans="1:17" ht="25.5" customHeight="1" x14ac:dyDescent="0.25">
      <c r="A22" s="713"/>
      <c r="B22" s="714"/>
      <c r="C22" s="715"/>
      <c r="D22" s="1934" t="s">
        <v>6</v>
      </c>
      <c r="E22" s="1712" t="s">
        <v>131</v>
      </c>
      <c r="F22" s="140" t="s">
        <v>225</v>
      </c>
      <c r="G22" s="1914" t="s">
        <v>214</v>
      </c>
      <c r="H22" s="139" t="s">
        <v>23</v>
      </c>
      <c r="I22" s="525">
        <v>329.8</v>
      </c>
      <c r="J22" s="53">
        <f>563.3-0.7-5+39.1-300</f>
        <v>296.7</v>
      </c>
      <c r="K22" s="308">
        <f>392.4-55.1+0.7-0.2</f>
        <v>337.8</v>
      </c>
      <c r="L22" s="56"/>
      <c r="M22" s="1794" t="s">
        <v>91</v>
      </c>
      <c r="N22" s="350">
        <v>50</v>
      </c>
      <c r="O22" s="201">
        <v>90</v>
      </c>
      <c r="P22" s="239">
        <v>100</v>
      </c>
      <c r="Q22" s="168"/>
    </row>
    <row r="23" spans="1:17" ht="13.5" customHeight="1" x14ac:dyDescent="0.25">
      <c r="A23" s="713"/>
      <c r="B23" s="714"/>
      <c r="C23" s="715"/>
      <c r="D23" s="1935"/>
      <c r="E23" s="1713"/>
      <c r="F23" s="194" t="s">
        <v>194</v>
      </c>
      <c r="G23" s="1915"/>
      <c r="H23" s="100" t="s">
        <v>361</v>
      </c>
      <c r="I23" s="380"/>
      <c r="J23" s="47">
        <v>300</v>
      </c>
      <c r="K23" s="307"/>
      <c r="L23" s="113"/>
      <c r="M23" s="1795"/>
      <c r="N23" s="351"/>
      <c r="O23" s="202"/>
      <c r="P23" s="240"/>
      <c r="Q23" s="149"/>
    </row>
    <row r="24" spans="1:17" ht="13.5" customHeight="1" x14ac:dyDescent="0.25">
      <c r="A24" s="713"/>
      <c r="B24" s="714"/>
      <c r="C24" s="715"/>
      <c r="D24" s="1935"/>
      <c r="E24" s="1713"/>
      <c r="F24" s="906" t="s">
        <v>164</v>
      </c>
      <c r="G24" s="1973" t="s">
        <v>241</v>
      </c>
      <c r="H24" s="100" t="s">
        <v>158</v>
      </c>
      <c r="I24" s="380">
        <f>171.5+143.4</f>
        <v>314.89999999999998</v>
      </c>
      <c r="J24" s="47">
        <f>204.6+5.8-66.2</f>
        <v>144.19999999999999</v>
      </c>
      <c r="K24" s="307">
        <f>61.6+0.1</f>
        <v>61.7</v>
      </c>
      <c r="L24" s="113"/>
      <c r="M24" s="1795"/>
      <c r="N24" s="351"/>
      <c r="O24" s="202"/>
      <c r="P24" s="240"/>
      <c r="Q24" s="149"/>
    </row>
    <row r="25" spans="1:17" ht="13.5" customHeight="1" x14ac:dyDescent="0.25">
      <c r="A25" s="800"/>
      <c r="B25" s="803"/>
      <c r="C25" s="801"/>
      <c r="D25" s="1935"/>
      <c r="E25" s="1713"/>
      <c r="F25" s="905" t="s">
        <v>43</v>
      </c>
      <c r="G25" s="1974"/>
      <c r="H25" s="100" t="s">
        <v>346</v>
      </c>
      <c r="I25" s="380"/>
      <c r="J25" s="47">
        <v>66.2</v>
      </c>
      <c r="K25" s="307"/>
      <c r="L25" s="113"/>
      <c r="M25" s="1795"/>
      <c r="N25" s="351"/>
      <c r="O25" s="202"/>
      <c r="P25" s="240"/>
      <c r="Q25" s="149"/>
    </row>
    <row r="26" spans="1:17" ht="13.5" customHeight="1" x14ac:dyDescent="0.25">
      <c r="A26" s="713"/>
      <c r="B26" s="714"/>
      <c r="C26" s="715"/>
      <c r="D26" s="1935"/>
      <c r="E26" s="1713"/>
      <c r="F26" s="154"/>
      <c r="G26" s="1974"/>
      <c r="H26" s="100" t="s">
        <v>243</v>
      </c>
      <c r="I26" s="380">
        <v>1693.5</v>
      </c>
      <c r="J26" s="47">
        <v>1500</v>
      </c>
      <c r="K26" s="307"/>
      <c r="L26" s="113"/>
      <c r="M26" s="1795"/>
      <c r="N26" s="351"/>
      <c r="O26" s="202"/>
      <c r="P26" s="240"/>
      <c r="Q26" s="149"/>
    </row>
    <row r="27" spans="1:17" ht="15.75" customHeight="1" x14ac:dyDescent="0.25">
      <c r="A27" s="713"/>
      <c r="B27" s="714"/>
      <c r="C27" s="715"/>
      <c r="D27" s="1935"/>
      <c r="E27" s="1713"/>
      <c r="F27" s="790"/>
      <c r="G27" s="1974"/>
      <c r="H27" s="100" t="s">
        <v>159</v>
      </c>
      <c r="I27" s="380">
        <f>1943+1625.3</f>
        <v>3568.3</v>
      </c>
      <c r="J27" s="47">
        <f>2522.7-0.6+65.3-952.9</f>
        <v>1634.5</v>
      </c>
      <c r="K27" s="307">
        <f>698.1+0.6+0.2</f>
        <v>698.9</v>
      </c>
      <c r="L27" s="113"/>
      <c r="M27" s="1795"/>
      <c r="N27" s="362"/>
      <c r="O27" s="240"/>
      <c r="P27" s="240"/>
      <c r="Q27" s="149"/>
    </row>
    <row r="28" spans="1:17" ht="15.75" customHeight="1" x14ac:dyDescent="0.25">
      <c r="A28" s="782"/>
      <c r="B28" s="786"/>
      <c r="C28" s="783"/>
      <c r="D28" s="785"/>
      <c r="E28" s="781"/>
      <c r="F28" s="150"/>
      <c r="G28" s="784"/>
      <c r="H28" s="100" t="s">
        <v>347</v>
      </c>
      <c r="I28" s="380"/>
      <c r="J28" s="47">
        <v>952.9</v>
      </c>
      <c r="K28" s="307"/>
      <c r="L28" s="113"/>
      <c r="M28" s="788"/>
      <c r="N28" s="363"/>
      <c r="O28" s="242"/>
      <c r="P28" s="240"/>
      <c r="Q28" s="149"/>
    </row>
    <row r="29" spans="1:17" ht="15" customHeight="1" x14ac:dyDescent="0.25">
      <c r="A29" s="713"/>
      <c r="B29" s="714"/>
      <c r="C29" s="715"/>
      <c r="D29" s="1934" t="s">
        <v>25</v>
      </c>
      <c r="E29" s="1712" t="s">
        <v>166</v>
      </c>
      <c r="F29" s="905" t="s">
        <v>225</v>
      </c>
      <c r="G29" s="1914" t="s">
        <v>214</v>
      </c>
      <c r="H29" s="139" t="s">
        <v>23</v>
      </c>
      <c r="I29" s="525">
        <v>280.3</v>
      </c>
      <c r="J29" s="53"/>
      <c r="K29" s="308"/>
      <c r="L29" s="56"/>
      <c r="M29" s="409" t="s">
        <v>76</v>
      </c>
      <c r="N29" s="531">
        <v>1</v>
      </c>
      <c r="O29" s="495"/>
      <c r="P29" s="239"/>
      <c r="Q29" s="376"/>
    </row>
    <row r="30" spans="1:17" ht="13.5" customHeight="1" x14ac:dyDescent="0.25">
      <c r="A30" s="713"/>
      <c r="B30" s="714"/>
      <c r="C30" s="715"/>
      <c r="D30" s="1935"/>
      <c r="E30" s="1713"/>
      <c r="F30" s="907" t="s">
        <v>164</v>
      </c>
      <c r="G30" s="1915"/>
      <c r="H30" s="100" t="s">
        <v>159</v>
      </c>
      <c r="I30" s="380">
        <f>982+1422.4</f>
        <v>2404.4</v>
      </c>
      <c r="J30" s="47">
        <f>220.2+197-16</f>
        <v>401.2</v>
      </c>
      <c r="K30" s="307"/>
      <c r="L30" s="113"/>
      <c r="M30" s="1796" t="s">
        <v>206</v>
      </c>
      <c r="N30" s="674"/>
      <c r="O30" s="202">
        <v>100</v>
      </c>
      <c r="P30" s="255"/>
      <c r="Q30" s="149"/>
    </row>
    <row r="31" spans="1:17" ht="13.5" customHeight="1" x14ac:dyDescent="0.25">
      <c r="A31" s="800"/>
      <c r="B31" s="803"/>
      <c r="C31" s="801"/>
      <c r="D31" s="1935"/>
      <c r="E31" s="1713"/>
      <c r="F31" s="905" t="s">
        <v>43</v>
      </c>
      <c r="G31" s="799"/>
      <c r="H31" s="100" t="s">
        <v>347</v>
      </c>
      <c r="I31" s="380"/>
      <c r="J31" s="47">
        <v>16</v>
      </c>
      <c r="K31" s="307"/>
      <c r="L31" s="113"/>
      <c r="M31" s="1796"/>
      <c r="N31" s="674"/>
      <c r="O31" s="202"/>
      <c r="P31" s="240"/>
      <c r="Q31" s="149"/>
    </row>
    <row r="32" spans="1:17" ht="15" customHeight="1" x14ac:dyDescent="0.25">
      <c r="A32" s="713"/>
      <c r="B32" s="714"/>
      <c r="C32" s="715"/>
      <c r="D32" s="1935"/>
      <c r="E32" s="1713"/>
      <c r="F32" s="164"/>
      <c r="G32" s="1978" t="s">
        <v>242</v>
      </c>
      <c r="H32" s="100" t="s">
        <v>51</v>
      </c>
      <c r="I32" s="380">
        <v>20.7</v>
      </c>
      <c r="J32" s="47">
        <f>69.4+67.5</f>
        <v>136.9</v>
      </c>
      <c r="K32" s="307"/>
      <c r="L32" s="113"/>
      <c r="M32" s="1795"/>
      <c r="N32" s="351"/>
      <c r="O32" s="202"/>
      <c r="P32" s="240"/>
      <c r="Q32" s="149"/>
    </row>
    <row r="33" spans="1:17" ht="14.25" customHeight="1" x14ac:dyDescent="0.25">
      <c r="A33" s="713"/>
      <c r="B33" s="714"/>
      <c r="C33" s="715"/>
      <c r="D33" s="1935"/>
      <c r="E33" s="1713"/>
      <c r="F33" s="164"/>
      <c r="G33" s="1943"/>
      <c r="H33" s="100" t="s">
        <v>243</v>
      </c>
      <c r="I33" s="380">
        <v>451.5</v>
      </c>
      <c r="J33" s="47"/>
      <c r="K33" s="307"/>
      <c r="L33" s="113"/>
      <c r="M33" s="740"/>
      <c r="N33" s="351"/>
      <c r="O33" s="202"/>
      <c r="P33" s="240"/>
      <c r="Q33" s="149"/>
    </row>
    <row r="34" spans="1:17" ht="14.25" customHeight="1" x14ac:dyDescent="0.25">
      <c r="A34" s="800"/>
      <c r="B34" s="803"/>
      <c r="C34" s="801"/>
      <c r="D34" s="1935"/>
      <c r="E34" s="1713"/>
      <c r="F34" s="164"/>
      <c r="G34" s="1943"/>
      <c r="H34" s="100" t="s">
        <v>158</v>
      </c>
      <c r="I34" s="380">
        <f>86.7+125.5</f>
        <v>212.2</v>
      </c>
      <c r="J34" s="47">
        <f>19.4+17.5-1.4</f>
        <v>35.5</v>
      </c>
      <c r="K34" s="307"/>
      <c r="L34" s="113"/>
      <c r="M34" s="802"/>
      <c r="N34" s="351"/>
      <c r="O34" s="202"/>
      <c r="P34" s="240"/>
      <c r="Q34" s="149"/>
    </row>
    <row r="35" spans="1:17" ht="14.25" customHeight="1" x14ac:dyDescent="0.25">
      <c r="A35" s="713"/>
      <c r="B35" s="714"/>
      <c r="C35" s="715"/>
      <c r="D35" s="1936"/>
      <c r="E35" s="1713"/>
      <c r="F35" s="165"/>
      <c r="G35" s="1979"/>
      <c r="H35" s="99" t="s">
        <v>346</v>
      </c>
      <c r="I35" s="804"/>
      <c r="J35" s="807">
        <v>1.4</v>
      </c>
      <c r="K35" s="300"/>
      <c r="L35" s="55"/>
      <c r="M35" s="820"/>
      <c r="N35" s="363"/>
      <c r="O35" s="230"/>
      <c r="P35" s="242"/>
      <c r="Q35" s="170"/>
    </row>
    <row r="36" spans="1:17" ht="16.5" customHeight="1" x14ac:dyDescent="0.25">
      <c r="A36" s="713"/>
      <c r="B36" s="714"/>
      <c r="C36" s="715"/>
      <c r="D36" s="716" t="s">
        <v>32</v>
      </c>
      <c r="E36" s="1789" t="s">
        <v>137</v>
      </c>
      <c r="F36" s="906" t="s">
        <v>225</v>
      </c>
      <c r="G36" s="1914" t="s">
        <v>214</v>
      </c>
      <c r="H36" s="199" t="s">
        <v>51</v>
      </c>
      <c r="I36" s="490">
        <f>68.4-3</f>
        <v>65.400000000000006</v>
      </c>
      <c r="J36" s="261">
        <v>60</v>
      </c>
      <c r="K36" s="254"/>
      <c r="L36" s="767"/>
      <c r="M36" s="819" t="s">
        <v>76</v>
      </c>
      <c r="N36" s="531"/>
      <c r="O36" s="495">
        <v>1</v>
      </c>
      <c r="P36" s="240"/>
      <c r="Q36" s="376"/>
    </row>
    <row r="37" spans="1:17" ht="31.4" customHeight="1" x14ac:dyDescent="0.25">
      <c r="A37" s="713"/>
      <c r="B37" s="714"/>
      <c r="C37" s="715"/>
      <c r="D37" s="716"/>
      <c r="E37" s="1789"/>
      <c r="F37" s="906" t="s">
        <v>194</v>
      </c>
      <c r="G37" s="1915"/>
      <c r="H37" s="199" t="s">
        <v>23</v>
      </c>
      <c r="I37" s="490"/>
      <c r="J37" s="200"/>
      <c r="K37" s="254"/>
      <c r="L37" s="768"/>
      <c r="M37" s="440" t="s">
        <v>321</v>
      </c>
      <c r="N37" s="533"/>
      <c r="O37" s="202"/>
      <c r="P37" s="265"/>
      <c r="Q37" s="379">
        <v>30</v>
      </c>
    </row>
    <row r="38" spans="1:17" ht="25.4" customHeight="1" x14ac:dyDescent="0.25">
      <c r="A38" s="713"/>
      <c r="B38" s="714"/>
      <c r="C38" s="715"/>
      <c r="D38" s="716"/>
      <c r="E38" s="1790"/>
      <c r="F38" s="194" t="s">
        <v>164</v>
      </c>
      <c r="G38" s="1978" t="s">
        <v>242</v>
      </c>
      <c r="H38" s="199" t="s">
        <v>44</v>
      </c>
      <c r="I38" s="490"/>
      <c r="J38" s="200"/>
      <c r="K38" s="254"/>
      <c r="L38" s="769"/>
      <c r="M38" s="1857" t="s">
        <v>322</v>
      </c>
      <c r="N38" s="351"/>
      <c r="O38" s="255"/>
      <c r="P38" s="240"/>
      <c r="Q38" s="149"/>
    </row>
    <row r="39" spans="1:17" ht="27.65" customHeight="1" x14ac:dyDescent="0.25">
      <c r="A39" s="713"/>
      <c r="B39" s="714"/>
      <c r="C39" s="715"/>
      <c r="D39" s="685"/>
      <c r="E39" s="1790"/>
      <c r="F39" s="924" t="s">
        <v>43</v>
      </c>
      <c r="G39" s="1979"/>
      <c r="H39" s="46" t="s">
        <v>130</v>
      </c>
      <c r="I39" s="504"/>
      <c r="J39" s="46"/>
      <c r="K39" s="300"/>
      <c r="L39" s="770">
        <v>1500</v>
      </c>
      <c r="M39" s="1858"/>
      <c r="N39" s="363"/>
      <c r="O39" s="230"/>
      <c r="P39" s="242"/>
      <c r="Q39" s="170"/>
    </row>
    <row r="40" spans="1:17" ht="14.25" customHeight="1" x14ac:dyDescent="0.25">
      <c r="A40" s="713"/>
      <c r="B40" s="714"/>
      <c r="C40" s="715"/>
      <c r="D40" s="716" t="s">
        <v>33</v>
      </c>
      <c r="E40" s="1712" t="s">
        <v>111</v>
      </c>
      <c r="F40" s="922" t="s">
        <v>225</v>
      </c>
      <c r="G40" s="1914" t="s">
        <v>214</v>
      </c>
      <c r="H40" s="199" t="s">
        <v>23</v>
      </c>
      <c r="I40" s="490">
        <v>85.1</v>
      </c>
      <c r="J40" s="200">
        <f>219-24-195</f>
        <v>0</v>
      </c>
      <c r="K40" s="254"/>
      <c r="L40" s="217"/>
      <c r="M40" s="1859" t="s">
        <v>204</v>
      </c>
      <c r="N40" s="623">
        <v>80</v>
      </c>
      <c r="O40" s="202">
        <v>100</v>
      </c>
      <c r="P40" s="240"/>
      <c r="Q40" s="149"/>
    </row>
    <row r="41" spans="1:17" ht="14.25" customHeight="1" x14ac:dyDescent="0.25">
      <c r="A41" s="814"/>
      <c r="B41" s="815"/>
      <c r="C41" s="816"/>
      <c r="D41" s="813"/>
      <c r="E41" s="1713"/>
      <c r="F41" s="905"/>
      <c r="G41" s="1915"/>
      <c r="H41" s="199" t="s">
        <v>243</v>
      </c>
      <c r="I41" s="490"/>
      <c r="J41" s="200">
        <v>195</v>
      </c>
      <c r="K41" s="254"/>
      <c r="L41" s="217"/>
      <c r="M41" s="1858"/>
      <c r="N41" s="623"/>
      <c r="O41" s="202"/>
      <c r="P41" s="240"/>
      <c r="Q41" s="149"/>
    </row>
    <row r="42" spans="1:17" ht="14.25" customHeight="1" x14ac:dyDescent="0.25">
      <c r="A42" s="713"/>
      <c r="B42" s="714"/>
      <c r="C42" s="715"/>
      <c r="D42" s="716"/>
      <c r="E42" s="1713"/>
      <c r="F42" s="908" t="s">
        <v>194</v>
      </c>
      <c r="G42" s="1915"/>
      <c r="H42" s="199" t="s">
        <v>159</v>
      </c>
      <c r="I42" s="490">
        <v>1219.8</v>
      </c>
      <c r="J42" s="200">
        <f>76.6-76.6</f>
        <v>0</v>
      </c>
      <c r="K42" s="254"/>
      <c r="L42" s="217"/>
      <c r="M42" s="1858"/>
      <c r="N42" s="351"/>
      <c r="O42" s="240"/>
      <c r="P42" s="240"/>
      <c r="Q42" s="149"/>
    </row>
    <row r="43" spans="1:17" ht="14.25" customHeight="1" x14ac:dyDescent="0.25">
      <c r="A43" s="800"/>
      <c r="B43" s="803"/>
      <c r="C43" s="801"/>
      <c r="D43" s="798"/>
      <c r="E43" s="1713"/>
      <c r="F43" s="907"/>
      <c r="G43" s="799"/>
      <c r="H43" s="100" t="s">
        <v>347</v>
      </c>
      <c r="I43" s="490"/>
      <c r="J43" s="200">
        <v>135</v>
      </c>
      <c r="K43" s="254"/>
      <c r="L43" s="217"/>
      <c r="M43" s="1858"/>
      <c r="N43" s="202"/>
      <c r="O43" s="240"/>
      <c r="P43" s="240"/>
      <c r="Q43" s="149"/>
    </row>
    <row r="44" spans="1:17" ht="14.25" customHeight="1" x14ac:dyDescent="0.25">
      <c r="A44" s="713"/>
      <c r="B44" s="714"/>
      <c r="C44" s="715"/>
      <c r="D44" s="716"/>
      <c r="E44" s="1713"/>
      <c r="F44" s="907" t="s">
        <v>164</v>
      </c>
      <c r="G44" s="1978" t="s">
        <v>242</v>
      </c>
      <c r="H44" s="199" t="s">
        <v>51</v>
      </c>
      <c r="I44" s="490">
        <v>211.5</v>
      </c>
      <c r="J44" s="200">
        <v>40.200000000000003</v>
      </c>
      <c r="K44" s="254"/>
      <c r="L44" s="217"/>
      <c r="M44" s="1858"/>
      <c r="N44" s="202"/>
      <c r="O44" s="240"/>
      <c r="P44" s="240"/>
      <c r="Q44" s="149"/>
    </row>
    <row r="45" spans="1:17" ht="14.25" customHeight="1" x14ac:dyDescent="0.25">
      <c r="A45" s="800"/>
      <c r="B45" s="803"/>
      <c r="C45" s="801"/>
      <c r="D45" s="798"/>
      <c r="E45" s="1713"/>
      <c r="F45" s="907"/>
      <c r="G45" s="1943"/>
      <c r="H45" s="199" t="s">
        <v>158</v>
      </c>
      <c r="I45" s="380">
        <v>107.7</v>
      </c>
      <c r="J45" s="307">
        <f>6.8-6.8</f>
        <v>0</v>
      </c>
      <c r="K45" s="254"/>
      <c r="L45" s="217"/>
      <c r="M45" s="806"/>
      <c r="N45" s="623"/>
      <c r="O45" s="202"/>
      <c r="P45" s="240"/>
      <c r="Q45" s="149"/>
    </row>
    <row r="46" spans="1:17" ht="13.4" customHeight="1" x14ac:dyDescent="0.25">
      <c r="A46" s="713"/>
      <c r="B46" s="714"/>
      <c r="C46" s="715"/>
      <c r="D46" s="685"/>
      <c r="E46" s="1746"/>
      <c r="F46" s="905" t="s">
        <v>43</v>
      </c>
      <c r="G46" s="1979"/>
      <c r="H46" s="58" t="s">
        <v>346</v>
      </c>
      <c r="I46" s="504"/>
      <c r="J46" s="46">
        <v>11.9</v>
      </c>
      <c r="K46" s="300"/>
      <c r="L46" s="55"/>
      <c r="M46" s="712"/>
      <c r="N46" s="363"/>
      <c r="O46" s="230"/>
      <c r="P46" s="242"/>
      <c r="Q46" s="170"/>
    </row>
    <row r="47" spans="1:17" ht="19.5" customHeight="1" x14ac:dyDescent="0.25">
      <c r="A47" s="713"/>
      <c r="B47" s="721"/>
      <c r="C47" s="85"/>
      <c r="D47" s="1930" t="s">
        <v>26</v>
      </c>
      <c r="E47" s="1712" t="s">
        <v>193</v>
      </c>
      <c r="F47" s="910" t="s">
        <v>225</v>
      </c>
      <c r="G47" s="1914" t="s">
        <v>216</v>
      </c>
      <c r="H47" s="332" t="s">
        <v>23</v>
      </c>
      <c r="I47" s="525">
        <v>24</v>
      </c>
      <c r="J47" s="53"/>
      <c r="K47" s="308">
        <v>140.80000000000001</v>
      </c>
      <c r="L47" s="53">
        <v>150</v>
      </c>
      <c r="M47" s="352" t="s">
        <v>228</v>
      </c>
      <c r="N47" s="673"/>
      <c r="O47" s="378">
        <v>10</v>
      </c>
      <c r="P47" s="378">
        <v>100</v>
      </c>
      <c r="Q47" s="151"/>
    </row>
    <row r="48" spans="1:17" ht="27.75" customHeight="1" x14ac:dyDescent="0.25">
      <c r="A48" s="713"/>
      <c r="B48" s="721"/>
      <c r="C48" s="85"/>
      <c r="D48" s="1931"/>
      <c r="E48" s="1746"/>
      <c r="F48" s="923" t="s">
        <v>384</v>
      </c>
      <c r="G48" s="1933"/>
      <c r="H48" s="333" t="s">
        <v>51</v>
      </c>
      <c r="I48" s="504"/>
      <c r="J48" s="46">
        <v>24</v>
      </c>
      <c r="K48" s="300"/>
      <c r="L48" s="46"/>
      <c r="M48" s="130" t="s">
        <v>258</v>
      </c>
      <c r="N48" s="498"/>
      <c r="O48" s="497"/>
      <c r="P48" s="343"/>
      <c r="Q48" s="528">
        <v>100</v>
      </c>
    </row>
    <row r="49" spans="1:17" ht="13.5" customHeight="1" x14ac:dyDescent="0.25">
      <c r="A49" s="713"/>
      <c r="B49" s="721"/>
      <c r="C49" s="86"/>
      <c r="D49" s="1930" t="s">
        <v>34</v>
      </c>
      <c r="E49" s="1712" t="s">
        <v>95</v>
      </c>
      <c r="F49" s="912" t="s">
        <v>225</v>
      </c>
      <c r="G49" s="1914" t="s">
        <v>215</v>
      </c>
      <c r="H49" s="332" t="s">
        <v>23</v>
      </c>
      <c r="I49" s="380">
        <v>753.4</v>
      </c>
      <c r="J49" s="47">
        <v>158.19999999999999</v>
      </c>
      <c r="K49" s="307"/>
      <c r="L49" s="113"/>
      <c r="M49" s="1786" t="s">
        <v>108</v>
      </c>
      <c r="N49" s="590">
        <v>85</v>
      </c>
      <c r="O49" s="227">
        <v>100</v>
      </c>
      <c r="P49" s="245"/>
      <c r="Q49" s="148"/>
    </row>
    <row r="50" spans="1:17" ht="11.25" customHeight="1" x14ac:dyDescent="0.25">
      <c r="A50" s="713"/>
      <c r="B50" s="721"/>
      <c r="C50" s="86"/>
      <c r="D50" s="1940"/>
      <c r="E50" s="1713"/>
      <c r="F50" s="911" t="s">
        <v>194</v>
      </c>
      <c r="G50" s="1915"/>
      <c r="H50" s="334"/>
      <c r="I50" s="380"/>
      <c r="J50" s="47"/>
      <c r="K50" s="307"/>
      <c r="L50" s="47"/>
      <c r="M50" s="1786"/>
      <c r="N50" s="459"/>
      <c r="O50" s="227"/>
      <c r="P50" s="245"/>
      <c r="Q50" s="148"/>
    </row>
    <row r="51" spans="1:17" ht="11.25" customHeight="1" x14ac:dyDescent="0.25">
      <c r="A51" s="900"/>
      <c r="B51" s="901"/>
      <c r="C51" s="86"/>
      <c r="D51" s="1940"/>
      <c r="E51" s="1713"/>
      <c r="F51" s="908" t="s">
        <v>164</v>
      </c>
      <c r="G51" s="1915"/>
      <c r="H51" s="334"/>
      <c r="I51" s="380"/>
      <c r="J51" s="47"/>
      <c r="K51" s="307"/>
      <c r="L51" s="47"/>
      <c r="M51" s="1786"/>
      <c r="N51" s="459"/>
      <c r="O51" s="227"/>
      <c r="P51" s="245"/>
      <c r="Q51" s="148"/>
    </row>
    <row r="52" spans="1:17" ht="13.5" customHeight="1" x14ac:dyDescent="0.25">
      <c r="A52" s="713"/>
      <c r="B52" s="721"/>
      <c r="C52" s="715"/>
      <c r="D52" s="1931"/>
      <c r="E52" s="1746"/>
      <c r="F52" s="924" t="s">
        <v>43</v>
      </c>
      <c r="G52" s="1915"/>
      <c r="H52" s="99" t="s">
        <v>337</v>
      </c>
      <c r="I52" s="504"/>
      <c r="J52" s="46">
        <v>22.9</v>
      </c>
      <c r="K52" s="300"/>
      <c r="L52" s="46"/>
      <c r="M52" s="1787"/>
      <c r="N52" s="458"/>
      <c r="O52" s="228"/>
      <c r="P52" s="244"/>
      <c r="Q52" s="167"/>
    </row>
    <row r="53" spans="1:17" ht="19.5" customHeight="1" x14ac:dyDescent="0.25">
      <c r="A53" s="713"/>
      <c r="B53" s="721"/>
      <c r="C53" s="86"/>
      <c r="D53" s="1930" t="s">
        <v>27</v>
      </c>
      <c r="E53" s="1760" t="s">
        <v>83</v>
      </c>
      <c r="F53" s="911" t="s">
        <v>225</v>
      </c>
      <c r="G53" s="1915"/>
      <c r="H53" s="36" t="s">
        <v>51</v>
      </c>
      <c r="I53" s="525">
        <v>16.600000000000001</v>
      </c>
      <c r="J53" s="53"/>
      <c r="K53" s="308"/>
      <c r="L53" s="53"/>
      <c r="M53" s="409" t="s">
        <v>76</v>
      </c>
      <c r="N53" s="526">
        <v>1</v>
      </c>
      <c r="O53" s="637"/>
      <c r="P53" s="378"/>
      <c r="Q53" s="638"/>
    </row>
    <row r="54" spans="1:17" ht="13.5" customHeight="1" x14ac:dyDescent="0.25">
      <c r="A54" s="900"/>
      <c r="B54" s="901"/>
      <c r="C54" s="86"/>
      <c r="D54" s="1940"/>
      <c r="E54" s="1760"/>
      <c r="F54" s="194" t="s">
        <v>164</v>
      </c>
      <c r="G54" s="1915"/>
      <c r="H54" s="334"/>
      <c r="I54" s="380"/>
      <c r="J54" s="47"/>
      <c r="K54" s="307"/>
      <c r="L54" s="47"/>
      <c r="M54" s="904"/>
      <c r="N54" s="459"/>
      <c r="O54" s="227"/>
      <c r="P54" s="245"/>
      <c r="Q54" s="148"/>
    </row>
    <row r="55" spans="1:17" ht="15" customHeight="1" x14ac:dyDescent="0.25">
      <c r="A55" s="713"/>
      <c r="B55" s="721"/>
      <c r="C55" s="715"/>
      <c r="D55" s="1940"/>
      <c r="E55" s="1760"/>
      <c r="F55" s="924" t="s">
        <v>43</v>
      </c>
      <c r="G55" s="1915"/>
      <c r="H55" s="334" t="s">
        <v>23</v>
      </c>
      <c r="I55" s="380"/>
      <c r="J55" s="47"/>
      <c r="K55" s="307">
        <v>512.70000000000005</v>
      </c>
      <c r="L55" s="47">
        <v>591.5</v>
      </c>
      <c r="M55" s="710" t="s">
        <v>86</v>
      </c>
      <c r="N55" s="459"/>
      <c r="O55" s="227"/>
      <c r="P55" s="244">
        <v>50</v>
      </c>
      <c r="Q55" s="167">
        <v>100</v>
      </c>
    </row>
    <row r="56" spans="1:17" ht="20.25" customHeight="1" x14ac:dyDescent="0.25">
      <c r="A56" s="713"/>
      <c r="B56" s="721"/>
      <c r="C56" s="85"/>
      <c r="D56" s="684" t="s">
        <v>56</v>
      </c>
      <c r="E56" s="1712" t="s">
        <v>259</v>
      </c>
      <c r="F56" s="912" t="s">
        <v>225</v>
      </c>
      <c r="G56" s="1915"/>
      <c r="H56" s="139" t="s">
        <v>23</v>
      </c>
      <c r="I56" s="525"/>
      <c r="J56" s="53">
        <f>200-100</f>
        <v>100</v>
      </c>
      <c r="K56" s="308">
        <f>200+100</f>
        <v>300</v>
      </c>
      <c r="L56" s="53"/>
      <c r="M56" s="1794" t="s">
        <v>260</v>
      </c>
      <c r="N56" s="489"/>
      <c r="O56" s="232">
        <v>25</v>
      </c>
      <c r="P56" s="252">
        <v>100</v>
      </c>
      <c r="Q56" s="148"/>
    </row>
    <row r="57" spans="1:17" ht="15.75" customHeight="1" x14ac:dyDescent="0.25">
      <c r="A57" s="900"/>
      <c r="B57" s="901"/>
      <c r="C57" s="85"/>
      <c r="D57" s="903"/>
      <c r="E57" s="1713"/>
      <c r="F57" s="194" t="s">
        <v>164</v>
      </c>
      <c r="G57" s="1915"/>
      <c r="H57" s="100"/>
      <c r="I57" s="380"/>
      <c r="J57" s="47"/>
      <c r="K57" s="307"/>
      <c r="L57" s="47"/>
      <c r="M57" s="1796"/>
      <c r="N57" s="615"/>
      <c r="O57" s="572"/>
      <c r="P57" s="925"/>
      <c r="Q57" s="148"/>
    </row>
    <row r="58" spans="1:17" ht="16.5" customHeight="1" x14ac:dyDescent="0.25">
      <c r="A58" s="713"/>
      <c r="B58" s="721"/>
      <c r="C58" s="85"/>
      <c r="D58" s="685"/>
      <c r="E58" s="1746"/>
      <c r="F58" s="924" t="s">
        <v>43</v>
      </c>
      <c r="G58" s="1915"/>
      <c r="H58" s="99"/>
      <c r="I58" s="504"/>
      <c r="J58" s="46"/>
      <c r="K58" s="300"/>
      <c r="L58" s="46"/>
      <c r="M58" s="1787"/>
      <c r="N58" s="641"/>
      <c r="O58" s="448"/>
      <c r="P58" s="276"/>
      <c r="Q58" s="148"/>
    </row>
    <row r="59" spans="1:17" ht="43.5" customHeight="1" x14ac:dyDescent="0.25">
      <c r="A59" s="713"/>
      <c r="B59" s="721"/>
      <c r="C59" s="85"/>
      <c r="D59" s="685" t="s">
        <v>117</v>
      </c>
      <c r="E59" s="705" t="s">
        <v>261</v>
      </c>
      <c r="F59" s="926" t="s">
        <v>385</v>
      </c>
      <c r="G59" s="1915"/>
      <c r="H59" s="99" t="s">
        <v>23</v>
      </c>
      <c r="I59" s="504"/>
      <c r="J59" s="46">
        <f>500-200</f>
        <v>300</v>
      </c>
      <c r="K59" s="300">
        <f>1500+200</f>
        <v>1700</v>
      </c>
      <c r="L59" s="46">
        <v>1178.3</v>
      </c>
      <c r="M59" s="454" t="s">
        <v>262</v>
      </c>
      <c r="N59" s="641"/>
      <c r="O59" s="448">
        <v>12</v>
      </c>
      <c r="P59" s="276">
        <v>70</v>
      </c>
      <c r="Q59" s="289">
        <v>100</v>
      </c>
    </row>
    <row r="60" spans="1:17" ht="18" customHeight="1" x14ac:dyDescent="0.25">
      <c r="A60" s="713"/>
      <c r="B60" s="721"/>
      <c r="C60" s="85"/>
      <c r="D60" s="1940" t="s">
        <v>199</v>
      </c>
      <c r="E60" s="1713" t="s">
        <v>129</v>
      </c>
      <c r="F60" s="911" t="s">
        <v>194</v>
      </c>
      <c r="G60" s="1915"/>
      <c r="H60" s="334" t="s">
        <v>51</v>
      </c>
      <c r="I60" s="380">
        <v>238.5</v>
      </c>
      <c r="J60" s="47"/>
      <c r="K60" s="307"/>
      <c r="L60" s="578"/>
      <c r="M60" s="1783" t="s">
        <v>108</v>
      </c>
      <c r="N60" s="459">
        <v>100</v>
      </c>
      <c r="O60" s="227"/>
      <c r="P60" s="245"/>
      <c r="Q60" s="148"/>
    </row>
    <row r="61" spans="1:17" ht="24.75" customHeight="1" x14ac:dyDescent="0.25">
      <c r="A61" s="713"/>
      <c r="B61" s="721"/>
      <c r="C61" s="85"/>
      <c r="D61" s="1931"/>
      <c r="E61" s="1746"/>
      <c r="F61" s="884"/>
      <c r="G61" s="1915"/>
      <c r="H61" s="333" t="s">
        <v>23</v>
      </c>
      <c r="I61" s="504">
        <v>3.5</v>
      </c>
      <c r="J61" s="46"/>
      <c r="K61" s="300"/>
      <c r="L61" s="382"/>
      <c r="M61" s="1659"/>
      <c r="N61" s="458"/>
      <c r="O61" s="228"/>
      <c r="P61" s="244"/>
      <c r="Q61" s="167"/>
    </row>
    <row r="62" spans="1:17" ht="40.4" customHeight="1" x14ac:dyDescent="0.25">
      <c r="A62" s="713"/>
      <c r="B62" s="721"/>
      <c r="C62" s="85"/>
      <c r="D62" s="1930" t="s">
        <v>198</v>
      </c>
      <c r="E62" s="1712" t="s">
        <v>334</v>
      </c>
      <c r="F62" s="911" t="s">
        <v>194</v>
      </c>
      <c r="G62" s="1915"/>
      <c r="H62" s="332" t="s">
        <v>51</v>
      </c>
      <c r="I62" s="525">
        <v>15</v>
      </c>
      <c r="J62" s="53"/>
      <c r="K62" s="308"/>
      <c r="L62" s="53"/>
      <c r="M62" s="706" t="s">
        <v>76</v>
      </c>
      <c r="N62" s="526">
        <v>1</v>
      </c>
      <c r="O62" s="378"/>
      <c r="P62" s="378"/>
      <c r="Q62" s="151"/>
    </row>
    <row r="63" spans="1:17" ht="40.4" customHeight="1" x14ac:dyDescent="0.25">
      <c r="A63" s="713"/>
      <c r="B63" s="721"/>
      <c r="C63" s="85"/>
      <c r="D63" s="1931"/>
      <c r="E63" s="1746"/>
      <c r="F63" s="162"/>
      <c r="G63" s="1933"/>
      <c r="H63" s="333" t="s">
        <v>23</v>
      </c>
      <c r="I63" s="504">
        <v>1.5</v>
      </c>
      <c r="J63" s="46"/>
      <c r="K63" s="300"/>
      <c r="L63" s="46"/>
      <c r="M63" s="527" t="s">
        <v>282</v>
      </c>
      <c r="N63" s="458"/>
      <c r="O63" s="228"/>
      <c r="P63" s="244"/>
      <c r="Q63" s="528"/>
    </row>
    <row r="64" spans="1:17" ht="20.149999999999999" customHeight="1" x14ac:dyDescent="0.25">
      <c r="A64" s="713"/>
      <c r="B64" s="721"/>
      <c r="C64" s="85"/>
      <c r="D64" s="1940" t="s">
        <v>200</v>
      </c>
      <c r="E64" s="1713" t="s">
        <v>324</v>
      </c>
      <c r="F64" s="911" t="s">
        <v>194</v>
      </c>
      <c r="G64" s="1914" t="s">
        <v>351</v>
      </c>
      <c r="H64" s="334" t="s">
        <v>23</v>
      </c>
      <c r="I64" s="380"/>
      <c r="J64" s="47"/>
      <c r="K64" s="307"/>
      <c r="L64" s="47"/>
      <c r="M64" s="738" t="s">
        <v>323</v>
      </c>
      <c r="N64" s="642"/>
      <c r="O64" s="227"/>
      <c r="P64" s="378"/>
      <c r="Q64" s="643"/>
    </row>
    <row r="65" spans="1:17" ht="24.75" customHeight="1" x14ac:dyDescent="0.25">
      <c r="A65" s="713"/>
      <c r="B65" s="721"/>
      <c r="C65" s="85"/>
      <c r="D65" s="1931"/>
      <c r="E65" s="1746"/>
      <c r="F65" s="924" t="s">
        <v>43</v>
      </c>
      <c r="G65" s="1933"/>
      <c r="H65" s="333" t="s">
        <v>130</v>
      </c>
      <c r="I65" s="504"/>
      <c r="J65" s="46"/>
      <c r="K65" s="300"/>
      <c r="L65" s="46"/>
      <c r="M65" s="739" t="s">
        <v>76</v>
      </c>
      <c r="N65" s="463"/>
      <c r="O65" s="644"/>
      <c r="P65" s="644"/>
      <c r="Q65" s="167"/>
    </row>
    <row r="66" spans="1:17" ht="12.75" customHeight="1" x14ac:dyDescent="0.25">
      <c r="A66" s="713"/>
      <c r="B66" s="721"/>
      <c r="C66" s="85"/>
      <c r="D66" s="1784" t="s">
        <v>224</v>
      </c>
      <c r="E66" s="1785"/>
      <c r="F66" s="1785"/>
      <c r="G66" s="1785"/>
      <c r="H66" s="625"/>
      <c r="I66" s="147"/>
      <c r="J66" s="741"/>
      <c r="K66" s="741"/>
      <c r="L66" s="741"/>
      <c r="M66" s="624"/>
      <c r="N66" s="626"/>
      <c r="O66" s="627"/>
      <c r="P66" s="627"/>
      <c r="Q66" s="628"/>
    </row>
    <row r="67" spans="1:17" ht="14.25" customHeight="1" x14ac:dyDescent="0.25">
      <c r="A67" s="713"/>
      <c r="B67" s="721"/>
      <c r="C67" s="715"/>
      <c r="D67" s="716" t="s">
        <v>200</v>
      </c>
      <c r="E67" s="1713" t="s">
        <v>82</v>
      </c>
      <c r="F67" s="117"/>
      <c r="G67" s="1915"/>
      <c r="H67" s="334" t="s">
        <v>23</v>
      </c>
      <c r="I67" s="525">
        <v>140.1</v>
      </c>
      <c r="J67" s="47">
        <v>146.80000000000001</v>
      </c>
      <c r="K67" s="307">
        <v>146.80000000000001</v>
      </c>
      <c r="L67" s="47">
        <v>146.80000000000001</v>
      </c>
      <c r="M67" s="413" t="s">
        <v>136</v>
      </c>
      <c r="N67" s="529">
        <v>3.9</v>
      </c>
      <c r="O67" s="496">
        <v>3.9</v>
      </c>
      <c r="P67" s="365">
        <v>3.9</v>
      </c>
      <c r="Q67" s="207">
        <v>3.9</v>
      </c>
    </row>
    <row r="68" spans="1:17" ht="15" customHeight="1" x14ac:dyDescent="0.25">
      <c r="A68" s="713"/>
      <c r="B68" s="721"/>
      <c r="C68" s="715"/>
      <c r="D68" s="716"/>
      <c r="E68" s="1713"/>
      <c r="F68" s="117"/>
      <c r="G68" s="1915"/>
      <c r="H68" s="334"/>
      <c r="I68" s="380"/>
      <c r="J68" s="47"/>
      <c r="K68" s="307"/>
      <c r="L68" s="47"/>
      <c r="M68" s="688" t="s">
        <v>163</v>
      </c>
      <c r="N68" s="530">
        <v>357</v>
      </c>
      <c r="O68" s="410">
        <v>357</v>
      </c>
      <c r="P68" s="246">
        <v>357</v>
      </c>
      <c r="Q68" s="208">
        <v>357</v>
      </c>
    </row>
    <row r="69" spans="1:17" ht="15" customHeight="1" x14ac:dyDescent="0.25">
      <c r="A69" s="1705"/>
      <c r="B69" s="1706"/>
      <c r="C69" s="1745"/>
      <c r="D69" s="1930" t="s">
        <v>201</v>
      </c>
      <c r="E69" s="1712" t="s">
        <v>28</v>
      </c>
      <c r="F69" s="818" t="s">
        <v>225</v>
      </c>
      <c r="G69" s="1915" t="s">
        <v>217</v>
      </c>
      <c r="H69" s="139" t="s">
        <v>23</v>
      </c>
      <c r="I69" s="525">
        <f>22.4+30+0.9</f>
        <v>53.3</v>
      </c>
      <c r="J69" s="53">
        <v>49.4</v>
      </c>
      <c r="K69" s="308">
        <v>49.4</v>
      </c>
      <c r="L69" s="53">
        <v>49.4</v>
      </c>
      <c r="M69" s="413" t="s">
        <v>30</v>
      </c>
      <c r="N69" s="531">
        <v>5</v>
      </c>
      <c r="O69" s="495">
        <v>7</v>
      </c>
      <c r="P69" s="239">
        <v>7</v>
      </c>
      <c r="Q69" s="168">
        <v>7</v>
      </c>
    </row>
    <row r="70" spans="1:17" ht="16.5" customHeight="1" x14ac:dyDescent="0.25">
      <c r="A70" s="1705"/>
      <c r="B70" s="1706"/>
      <c r="C70" s="1745"/>
      <c r="D70" s="1940"/>
      <c r="E70" s="1713"/>
      <c r="F70" s="186"/>
      <c r="G70" s="1915"/>
      <c r="H70" s="100"/>
      <c r="I70" s="380"/>
      <c r="J70" s="47"/>
      <c r="K70" s="307"/>
      <c r="L70" s="47"/>
      <c r="M70" s="689" t="s">
        <v>65</v>
      </c>
      <c r="N70" s="384">
        <v>3</v>
      </c>
      <c r="O70" s="229">
        <v>6</v>
      </c>
      <c r="P70" s="265">
        <v>6</v>
      </c>
      <c r="Q70" s="379"/>
    </row>
    <row r="71" spans="1:17" ht="27" customHeight="1" x14ac:dyDescent="0.25">
      <c r="A71" s="1705"/>
      <c r="B71" s="1706"/>
      <c r="C71" s="1745"/>
      <c r="D71" s="1940"/>
      <c r="E71" s="1713"/>
      <c r="F71" s="186"/>
      <c r="G71" s="1915"/>
      <c r="H71" s="100"/>
      <c r="I71" s="380"/>
      <c r="J71" s="505"/>
      <c r="K71" s="307"/>
      <c r="L71" s="113"/>
      <c r="M71" s="414" t="s">
        <v>230</v>
      </c>
      <c r="N71" s="532">
        <v>100</v>
      </c>
      <c r="O71" s="265"/>
      <c r="P71" s="265"/>
      <c r="Q71" s="379"/>
    </row>
    <row r="72" spans="1:17" ht="16.5" customHeight="1" x14ac:dyDescent="0.25">
      <c r="A72" s="1705"/>
      <c r="B72" s="1706"/>
      <c r="C72" s="1745"/>
      <c r="D72" s="1940"/>
      <c r="E72" s="1713"/>
      <c r="F72" s="186"/>
      <c r="G72" s="1915"/>
      <c r="H72" s="100"/>
      <c r="I72" s="380"/>
      <c r="J72" s="505"/>
      <c r="K72" s="307"/>
      <c r="L72" s="113"/>
      <c r="M72" s="630" t="s">
        <v>326</v>
      </c>
      <c r="N72" s="532">
        <v>1</v>
      </c>
      <c r="O72" s="202"/>
      <c r="P72" s="240"/>
      <c r="Q72" s="379"/>
    </row>
    <row r="73" spans="1:17" ht="15.75" customHeight="1" x14ac:dyDescent="0.25">
      <c r="A73" s="1705"/>
      <c r="B73" s="1706"/>
      <c r="C73" s="1745"/>
      <c r="D73" s="1940"/>
      <c r="E73" s="1713"/>
      <c r="F73" s="186"/>
      <c r="G73" s="1915"/>
      <c r="H73" s="100" t="s">
        <v>23</v>
      </c>
      <c r="I73" s="380"/>
      <c r="J73" s="505"/>
      <c r="K73" s="307">
        <v>42.2</v>
      </c>
      <c r="L73" s="381"/>
      <c r="M73" s="414" t="s">
        <v>283</v>
      </c>
      <c r="N73" s="533"/>
      <c r="O73" s="391"/>
      <c r="P73" s="265">
        <v>3</v>
      </c>
      <c r="Q73" s="149"/>
    </row>
    <row r="74" spans="1:17" ht="15.75" customHeight="1" x14ac:dyDescent="0.25">
      <c r="A74" s="1705"/>
      <c r="B74" s="1706"/>
      <c r="C74" s="1745"/>
      <c r="D74" s="1940"/>
      <c r="E74" s="1713"/>
      <c r="F74" s="186"/>
      <c r="G74" s="1915"/>
      <c r="H74" s="728" t="s">
        <v>51</v>
      </c>
      <c r="I74" s="504">
        <v>12.8</v>
      </c>
      <c r="J74" s="46"/>
      <c r="K74" s="300"/>
      <c r="L74" s="382"/>
      <c r="M74" s="415" t="s">
        <v>176</v>
      </c>
      <c r="N74" s="534">
        <v>1</v>
      </c>
      <c r="O74" s="411"/>
      <c r="P74" s="247"/>
      <c r="Q74" s="209"/>
    </row>
    <row r="75" spans="1:17" ht="18" customHeight="1" x14ac:dyDescent="0.25">
      <c r="A75" s="713"/>
      <c r="B75" s="721"/>
      <c r="C75" s="715"/>
      <c r="D75" s="1930" t="s">
        <v>202</v>
      </c>
      <c r="E75" s="1712" t="s">
        <v>29</v>
      </c>
      <c r="F75" s="184"/>
      <c r="G75" s="690"/>
      <c r="H75" s="100" t="s">
        <v>23</v>
      </c>
      <c r="I75" s="380">
        <f>288.1-1.8-0.9</f>
        <v>285.39999999999998</v>
      </c>
      <c r="J75" s="47">
        <v>89.7</v>
      </c>
      <c r="K75" s="307">
        <v>88.5</v>
      </c>
      <c r="L75" s="47">
        <v>88.5</v>
      </c>
      <c r="M75" s="416" t="s">
        <v>119</v>
      </c>
      <c r="N75" s="351"/>
      <c r="O75" s="202"/>
      <c r="P75" s="240"/>
      <c r="Q75" s="149"/>
    </row>
    <row r="76" spans="1:17" ht="29.25" customHeight="1" x14ac:dyDescent="0.25">
      <c r="A76" s="713"/>
      <c r="B76" s="721"/>
      <c r="C76" s="715"/>
      <c r="D76" s="1940"/>
      <c r="E76" s="1714"/>
      <c r="F76" s="185"/>
      <c r="G76" s="690"/>
      <c r="H76" s="779" t="s">
        <v>51</v>
      </c>
      <c r="I76" s="380"/>
      <c r="J76" s="47">
        <v>45.9</v>
      </c>
      <c r="K76" s="307"/>
      <c r="L76" s="47"/>
      <c r="M76" s="689" t="s">
        <v>120</v>
      </c>
      <c r="N76" s="384">
        <v>44</v>
      </c>
      <c r="O76" s="229">
        <v>20</v>
      </c>
      <c r="P76" s="241">
        <v>20</v>
      </c>
      <c r="Q76" s="103">
        <v>20</v>
      </c>
    </row>
    <row r="77" spans="1:17" ht="25.5" customHeight="1" x14ac:dyDescent="0.25">
      <c r="A77" s="713"/>
      <c r="B77" s="721"/>
      <c r="C77" s="715"/>
      <c r="D77" s="1940"/>
      <c r="E77" s="1714"/>
      <c r="F77" s="1779"/>
      <c r="G77" s="690"/>
      <c r="H77" s="775"/>
      <c r="I77" s="380"/>
      <c r="J77" s="47"/>
      <c r="K77" s="307"/>
      <c r="L77" s="47"/>
      <c r="M77" s="689" t="s">
        <v>104</v>
      </c>
      <c r="N77" s="384">
        <v>49</v>
      </c>
      <c r="O77" s="229">
        <v>30</v>
      </c>
      <c r="P77" s="241">
        <v>30</v>
      </c>
      <c r="Q77" s="169">
        <v>30</v>
      </c>
    </row>
    <row r="78" spans="1:17" ht="15" customHeight="1" x14ac:dyDescent="0.25">
      <c r="A78" s="713"/>
      <c r="B78" s="721"/>
      <c r="C78" s="715"/>
      <c r="D78" s="1940"/>
      <c r="E78" s="1714"/>
      <c r="F78" s="1779"/>
      <c r="G78" s="690"/>
      <c r="H78" s="100"/>
      <c r="I78" s="380"/>
      <c r="J78" s="47"/>
      <c r="K78" s="307"/>
      <c r="L78" s="47"/>
      <c r="M78" s="417" t="s">
        <v>121</v>
      </c>
      <c r="N78" s="742"/>
      <c r="O78" s="412"/>
      <c r="P78" s="248"/>
      <c r="Q78" s="210"/>
    </row>
    <row r="79" spans="1:17" ht="13.5" customHeight="1" x14ac:dyDescent="0.25">
      <c r="A79" s="713"/>
      <c r="B79" s="721"/>
      <c r="C79" s="715"/>
      <c r="D79" s="1940"/>
      <c r="E79" s="59"/>
      <c r="F79" s="1779"/>
      <c r="G79" s="690"/>
      <c r="H79" s="100"/>
      <c r="I79" s="380"/>
      <c r="J79" s="47"/>
      <c r="K79" s="307"/>
      <c r="L79" s="47"/>
      <c r="M79" s="689" t="s">
        <v>79</v>
      </c>
      <c r="N79" s="384">
        <v>58</v>
      </c>
      <c r="O79" s="491">
        <v>2</v>
      </c>
      <c r="P79" s="241">
        <v>0</v>
      </c>
      <c r="Q79" s="149">
        <v>20</v>
      </c>
    </row>
    <row r="80" spans="1:17" ht="13.5" customHeight="1" x14ac:dyDescent="0.25">
      <c r="A80" s="713"/>
      <c r="B80" s="721"/>
      <c r="C80" s="715"/>
      <c r="D80" s="1940"/>
      <c r="E80" s="59"/>
      <c r="F80" s="1779"/>
      <c r="G80" s="690"/>
      <c r="H80" s="100"/>
      <c r="I80" s="380"/>
      <c r="J80" s="47"/>
      <c r="K80" s="307"/>
      <c r="L80" s="47"/>
      <c r="M80" s="724" t="s">
        <v>31</v>
      </c>
      <c r="N80" s="535" t="s">
        <v>247</v>
      </c>
      <c r="O80" s="427" t="s">
        <v>186</v>
      </c>
      <c r="P80" s="197" t="s">
        <v>146</v>
      </c>
      <c r="Q80" s="385" t="s">
        <v>284</v>
      </c>
    </row>
    <row r="81" spans="1:17" ht="13.5" customHeight="1" x14ac:dyDescent="0.25">
      <c r="A81" s="713"/>
      <c r="B81" s="721"/>
      <c r="C81" s="715"/>
      <c r="D81" s="1940"/>
      <c r="E81" s="59"/>
      <c r="F81" s="1779"/>
      <c r="G81" s="690"/>
      <c r="H81" s="100"/>
      <c r="I81" s="380"/>
      <c r="J81" s="47"/>
      <c r="K81" s="307"/>
      <c r="L81" s="47"/>
      <c r="M81" s="724" t="s">
        <v>64</v>
      </c>
      <c r="N81" s="535" t="s">
        <v>179</v>
      </c>
      <c r="O81" s="492" t="s">
        <v>186</v>
      </c>
      <c r="P81" s="373" t="s">
        <v>146</v>
      </c>
      <c r="Q81" s="383" t="s">
        <v>186</v>
      </c>
    </row>
    <row r="82" spans="1:17" ht="13.5" customHeight="1" x14ac:dyDescent="0.25">
      <c r="A82" s="713"/>
      <c r="B82" s="721"/>
      <c r="C82" s="715"/>
      <c r="D82" s="1940"/>
      <c r="E82" s="59"/>
      <c r="F82" s="185"/>
      <c r="G82" s="690"/>
      <c r="H82" s="100"/>
      <c r="I82" s="380"/>
      <c r="J82" s="47"/>
      <c r="K82" s="307"/>
      <c r="L82" s="47"/>
      <c r="M82" s="724" t="s">
        <v>144</v>
      </c>
      <c r="N82" s="535" t="s">
        <v>180</v>
      </c>
      <c r="O82" s="493"/>
      <c r="P82" s="373"/>
      <c r="Q82" s="386"/>
    </row>
    <row r="83" spans="1:17" ht="13.5" customHeight="1" x14ac:dyDescent="0.25">
      <c r="A83" s="713"/>
      <c r="B83" s="721"/>
      <c r="C83" s="715"/>
      <c r="D83" s="1940"/>
      <c r="E83" s="59"/>
      <c r="F83" s="185"/>
      <c r="G83" s="690"/>
      <c r="H83" s="100"/>
      <c r="I83" s="380"/>
      <c r="J83" s="47"/>
      <c r="K83" s="307"/>
      <c r="L83" s="47"/>
      <c r="M83" s="442" t="s">
        <v>141</v>
      </c>
      <c r="N83" s="536" t="s">
        <v>138</v>
      </c>
      <c r="O83" s="427"/>
      <c r="P83" s="373"/>
      <c r="Q83" s="386"/>
    </row>
    <row r="84" spans="1:17" ht="13.5" customHeight="1" x14ac:dyDescent="0.25">
      <c r="A84" s="713"/>
      <c r="B84" s="721"/>
      <c r="C84" s="715"/>
      <c r="D84" s="1940"/>
      <c r="E84" s="59"/>
      <c r="F84" s="185"/>
      <c r="G84" s="690"/>
      <c r="H84" s="100"/>
      <c r="I84" s="380"/>
      <c r="J84" s="47"/>
      <c r="K84" s="307"/>
      <c r="L84" s="47"/>
      <c r="M84" s="433" t="s">
        <v>145</v>
      </c>
      <c r="N84" s="535" t="s">
        <v>146</v>
      </c>
      <c r="O84" s="492"/>
      <c r="P84" s="197" t="s">
        <v>146</v>
      </c>
      <c r="Q84" s="211"/>
    </row>
    <row r="85" spans="1:17" ht="14.25" customHeight="1" x14ac:dyDescent="0.25">
      <c r="A85" s="713"/>
      <c r="B85" s="721"/>
      <c r="C85" s="715"/>
      <c r="D85" s="1940"/>
      <c r="E85" s="59"/>
      <c r="F85" s="185"/>
      <c r="G85" s="690"/>
      <c r="H85" s="100"/>
      <c r="I85" s="380"/>
      <c r="J85" s="47"/>
      <c r="K85" s="307"/>
      <c r="L85" s="47"/>
      <c r="M85" s="417" t="s">
        <v>122</v>
      </c>
      <c r="N85" s="742"/>
      <c r="O85" s="412"/>
      <c r="P85" s="248"/>
      <c r="Q85" s="210"/>
    </row>
    <row r="86" spans="1:17" ht="13.5" customHeight="1" x14ac:dyDescent="0.25">
      <c r="A86" s="713"/>
      <c r="B86" s="721"/>
      <c r="C86" s="715"/>
      <c r="D86" s="1940"/>
      <c r="E86" s="59"/>
      <c r="F86" s="185"/>
      <c r="G86" s="690"/>
      <c r="H86" s="100"/>
      <c r="I86" s="380"/>
      <c r="J86" s="47"/>
      <c r="K86" s="307"/>
      <c r="L86" s="47"/>
      <c r="M86" s="727" t="s">
        <v>106</v>
      </c>
      <c r="N86" s="537">
        <v>10</v>
      </c>
      <c r="O86" s="494">
        <v>30</v>
      </c>
      <c r="P86" s="354">
        <v>30</v>
      </c>
      <c r="Q86" s="387">
        <v>30</v>
      </c>
    </row>
    <row r="87" spans="1:17" ht="15" customHeight="1" x14ac:dyDescent="0.25">
      <c r="A87" s="713"/>
      <c r="B87" s="721"/>
      <c r="C87" s="715"/>
      <c r="D87" s="1940"/>
      <c r="E87" s="59"/>
      <c r="F87" s="185"/>
      <c r="G87" s="690"/>
      <c r="H87" s="100"/>
      <c r="I87" s="380"/>
      <c r="J87" s="47"/>
      <c r="K87" s="307"/>
      <c r="L87" s="47"/>
      <c r="M87" s="433" t="s">
        <v>105</v>
      </c>
      <c r="N87" s="535" t="s">
        <v>96</v>
      </c>
      <c r="O87" s="431" t="s">
        <v>352</v>
      </c>
      <c r="P87" s="250" t="s">
        <v>352</v>
      </c>
      <c r="Q87" s="213" t="s">
        <v>352</v>
      </c>
    </row>
    <row r="88" spans="1:17" ht="27" customHeight="1" x14ac:dyDescent="0.25">
      <c r="A88" s="713"/>
      <c r="B88" s="721"/>
      <c r="C88" s="715"/>
      <c r="D88" s="1940"/>
      <c r="E88" s="59"/>
      <c r="F88" s="185"/>
      <c r="G88" s="690"/>
      <c r="H88" s="779" t="s">
        <v>51</v>
      </c>
      <c r="I88" s="380"/>
      <c r="J88" s="47">
        <v>48.2</v>
      </c>
      <c r="K88" s="307"/>
      <c r="L88" s="47"/>
      <c r="M88" s="724" t="s">
        <v>353</v>
      </c>
      <c r="N88" s="536"/>
      <c r="O88" s="373" t="s">
        <v>354</v>
      </c>
      <c r="P88" s="373"/>
      <c r="Q88" s="211"/>
    </row>
    <row r="89" spans="1:17" ht="16.399999999999999" customHeight="1" x14ac:dyDescent="0.25">
      <c r="A89" s="713"/>
      <c r="B89" s="721"/>
      <c r="C89" s="715"/>
      <c r="D89" s="1940"/>
      <c r="E89" s="59"/>
      <c r="F89" s="185"/>
      <c r="G89" s="690"/>
      <c r="H89" s="100"/>
      <c r="I89" s="380"/>
      <c r="J89" s="47"/>
      <c r="K89" s="307"/>
      <c r="L89" s="47"/>
      <c r="M89" s="417" t="s">
        <v>123</v>
      </c>
      <c r="N89" s="574"/>
      <c r="O89" s="430"/>
      <c r="P89" s="249"/>
      <c r="Q89" s="629"/>
    </row>
    <row r="90" spans="1:17" ht="28.5" customHeight="1" x14ac:dyDescent="0.25">
      <c r="A90" s="713"/>
      <c r="B90" s="721"/>
      <c r="C90" s="715"/>
      <c r="D90" s="1940"/>
      <c r="E90" s="59"/>
      <c r="F90" s="185"/>
      <c r="G90" s="690"/>
      <c r="H90" s="100"/>
      <c r="I90" s="380"/>
      <c r="J90" s="47"/>
      <c r="K90" s="307"/>
      <c r="L90" s="47"/>
      <c r="M90" s="727" t="s">
        <v>168</v>
      </c>
      <c r="N90" s="537">
        <v>180</v>
      </c>
      <c r="O90" s="743">
        <v>281</v>
      </c>
      <c r="P90" s="354"/>
      <c r="Q90" s="212"/>
    </row>
    <row r="91" spans="1:17" ht="27.75" customHeight="1" x14ac:dyDescent="0.25">
      <c r="A91" s="713"/>
      <c r="B91" s="721"/>
      <c r="C91" s="715"/>
      <c r="D91" s="1940"/>
      <c r="E91" s="59"/>
      <c r="F91" s="185"/>
      <c r="G91" s="690"/>
      <c r="H91" s="100" t="s">
        <v>23</v>
      </c>
      <c r="I91" s="380"/>
      <c r="J91" s="47">
        <f>145-50.4</f>
        <v>94.6</v>
      </c>
      <c r="K91" s="307"/>
      <c r="L91" s="47">
        <v>15</v>
      </c>
      <c r="M91" s="433" t="s">
        <v>169</v>
      </c>
      <c r="N91" s="539">
        <v>0.7</v>
      </c>
      <c r="O91" s="419">
        <v>0.3</v>
      </c>
      <c r="P91" s="251"/>
      <c r="Q91" s="214">
        <v>0.5</v>
      </c>
    </row>
    <row r="92" spans="1:17" ht="18" customHeight="1" x14ac:dyDescent="0.25">
      <c r="A92" s="713"/>
      <c r="B92" s="721"/>
      <c r="C92" s="715"/>
      <c r="D92" s="1940"/>
      <c r="E92" s="59"/>
      <c r="F92" s="185"/>
      <c r="G92" s="690"/>
      <c r="H92" s="100"/>
      <c r="I92" s="380"/>
      <c r="J92" s="47"/>
      <c r="K92" s="307"/>
      <c r="L92" s="47"/>
      <c r="M92" s="443" t="s">
        <v>134</v>
      </c>
      <c r="N92" s="538">
        <v>1</v>
      </c>
      <c r="O92" s="431"/>
      <c r="P92" s="250"/>
      <c r="Q92" s="213"/>
    </row>
    <row r="93" spans="1:17" ht="17.149999999999999" customHeight="1" x14ac:dyDescent="0.25">
      <c r="A93" s="1705"/>
      <c r="B93" s="1749"/>
      <c r="C93" s="1745"/>
      <c r="D93" s="1949" t="s">
        <v>203</v>
      </c>
      <c r="E93" s="1712" t="s">
        <v>172</v>
      </c>
      <c r="F93" s="1780"/>
      <c r="G93" s="1937" t="s">
        <v>62</v>
      </c>
      <c r="H93" s="139" t="s">
        <v>23</v>
      </c>
      <c r="I93" s="525">
        <f>118+3.5+23.8</f>
        <v>145.30000000000001</v>
      </c>
      <c r="J93" s="53">
        <f>161.1-2.4</f>
        <v>158.69999999999999</v>
      </c>
      <c r="K93" s="308">
        <f>176.7-2.4</f>
        <v>174.3</v>
      </c>
      <c r="L93" s="53">
        <f>176.7-2.4</f>
        <v>174.3</v>
      </c>
      <c r="M93" s="413" t="s">
        <v>90</v>
      </c>
      <c r="N93" s="531">
        <v>154</v>
      </c>
      <c r="O93" s="495">
        <v>185</v>
      </c>
      <c r="P93" s="377">
        <v>198</v>
      </c>
      <c r="Q93" s="376">
        <v>198</v>
      </c>
    </row>
    <row r="94" spans="1:17" ht="17.149999999999999" customHeight="1" x14ac:dyDescent="0.25">
      <c r="A94" s="1705"/>
      <c r="B94" s="1749"/>
      <c r="C94" s="1745"/>
      <c r="D94" s="1950"/>
      <c r="E94" s="1713"/>
      <c r="F94" s="1781"/>
      <c r="G94" s="1938"/>
      <c r="H94" s="718" t="s">
        <v>23</v>
      </c>
      <c r="I94" s="380"/>
      <c r="J94" s="47"/>
      <c r="K94" s="307">
        <v>18.600000000000001</v>
      </c>
      <c r="L94" s="47">
        <v>74.400000000000006</v>
      </c>
      <c r="M94" s="689" t="s">
        <v>285</v>
      </c>
      <c r="N94" s="533"/>
      <c r="O94" s="265"/>
      <c r="P94" s="265">
        <v>62</v>
      </c>
      <c r="Q94" s="149">
        <v>62</v>
      </c>
    </row>
    <row r="95" spans="1:17" ht="17.149999999999999" customHeight="1" x14ac:dyDescent="0.25">
      <c r="A95" s="1705"/>
      <c r="B95" s="1749"/>
      <c r="C95" s="1745"/>
      <c r="D95" s="1950"/>
      <c r="E95" s="1713"/>
      <c r="F95" s="1781"/>
      <c r="G95" s="1938"/>
      <c r="H95" s="718" t="s">
        <v>51</v>
      </c>
      <c r="I95" s="380">
        <v>56.3</v>
      </c>
      <c r="J95" s="307"/>
      <c r="K95" s="307"/>
      <c r="L95" s="113"/>
      <c r="M95" s="631" t="s">
        <v>177</v>
      </c>
      <c r="N95" s="351">
        <v>1</v>
      </c>
      <c r="O95" s="265"/>
      <c r="P95" s="255"/>
      <c r="Q95" s="379"/>
    </row>
    <row r="96" spans="1:17" ht="17.149999999999999" customHeight="1" x14ac:dyDescent="0.25">
      <c r="A96" s="1705"/>
      <c r="B96" s="1749"/>
      <c r="C96" s="1745"/>
      <c r="D96" s="1950"/>
      <c r="E96" s="1713"/>
      <c r="F96" s="1781"/>
      <c r="G96" s="1938"/>
      <c r="H96" s="718" t="s">
        <v>23</v>
      </c>
      <c r="I96" s="380"/>
      <c r="J96" s="47"/>
      <c r="K96" s="307">
        <v>231.2</v>
      </c>
      <c r="L96" s="381"/>
      <c r="M96" s="414" t="s">
        <v>286</v>
      </c>
      <c r="N96" s="533"/>
      <c r="O96" s="202"/>
      <c r="P96" s="255">
        <v>62</v>
      </c>
      <c r="Q96" s="149"/>
    </row>
    <row r="97" spans="1:17" ht="17.149999999999999" customHeight="1" x14ac:dyDescent="0.25">
      <c r="A97" s="1705"/>
      <c r="B97" s="1749"/>
      <c r="C97" s="1745"/>
      <c r="D97" s="1950"/>
      <c r="E97" s="1713"/>
      <c r="F97" s="1781"/>
      <c r="G97" s="1938"/>
      <c r="H97" s="718" t="s">
        <v>23</v>
      </c>
      <c r="I97" s="380"/>
      <c r="J97" s="47"/>
      <c r="K97" s="640">
        <v>12.1</v>
      </c>
      <c r="L97" s="640"/>
      <c r="M97" s="414" t="s">
        <v>287</v>
      </c>
      <c r="N97" s="533"/>
      <c r="O97" s="265"/>
      <c r="P97" s="255">
        <v>1</v>
      </c>
      <c r="Q97" s="379"/>
    </row>
    <row r="98" spans="1:17" ht="17.149999999999999" customHeight="1" x14ac:dyDescent="0.25">
      <c r="A98" s="1705"/>
      <c r="B98" s="1749"/>
      <c r="C98" s="1745"/>
      <c r="D98" s="1950"/>
      <c r="E98" s="1713"/>
      <c r="F98" s="1781"/>
      <c r="G98" s="1938"/>
      <c r="H98" s="718" t="s">
        <v>23</v>
      </c>
      <c r="I98" s="47"/>
      <c r="J98" s="307">
        <v>24.2</v>
      </c>
      <c r="K98" s="640"/>
      <c r="L98" s="640"/>
      <c r="M98" s="711" t="s">
        <v>328</v>
      </c>
      <c r="N98" s="351"/>
      <c r="O98" s="255">
        <v>1</v>
      </c>
      <c r="P98" s="255"/>
      <c r="Q98" s="104"/>
    </row>
    <row r="99" spans="1:17" ht="17.149999999999999" customHeight="1" x14ac:dyDescent="0.25">
      <c r="A99" s="1705"/>
      <c r="B99" s="1749"/>
      <c r="C99" s="1745"/>
      <c r="D99" s="1951"/>
      <c r="E99" s="1746"/>
      <c r="F99" s="1782"/>
      <c r="G99" s="1939"/>
      <c r="H99" s="718" t="s">
        <v>23</v>
      </c>
      <c r="I99" s="3"/>
      <c r="J99" s="540"/>
      <c r="K99" s="544">
        <v>12.1</v>
      </c>
      <c r="L99" s="540"/>
      <c r="M99" s="543" t="s">
        <v>288</v>
      </c>
      <c r="N99" s="614"/>
      <c r="O99" s="541"/>
      <c r="P99" s="636">
        <v>1</v>
      </c>
      <c r="Q99" s="542"/>
    </row>
    <row r="100" spans="1:17" ht="20.9" customHeight="1" x14ac:dyDescent="0.25">
      <c r="A100" s="1705"/>
      <c r="B100" s="1749"/>
      <c r="C100" s="1745"/>
      <c r="D100" s="1985" t="s">
        <v>209</v>
      </c>
      <c r="E100" s="1713" t="s">
        <v>161</v>
      </c>
      <c r="F100" s="1762"/>
      <c r="G100" s="1914" t="s">
        <v>236</v>
      </c>
      <c r="H100" s="139" t="s">
        <v>23</v>
      </c>
      <c r="I100" s="525">
        <v>6.8</v>
      </c>
      <c r="J100" s="53"/>
      <c r="K100" s="308"/>
      <c r="L100" s="56"/>
      <c r="M100" s="1925" t="s">
        <v>162</v>
      </c>
      <c r="N100" s="350">
        <v>2</v>
      </c>
      <c r="O100" s="201"/>
      <c r="P100" s="239"/>
      <c r="Q100" s="168"/>
    </row>
    <row r="101" spans="1:17" ht="20.9" customHeight="1" x14ac:dyDescent="0.25">
      <c r="A101" s="1705"/>
      <c r="B101" s="1749"/>
      <c r="C101" s="1745"/>
      <c r="D101" s="1985"/>
      <c r="E101" s="1713"/>
      <c r="F101" s="1986"/>
      <c r="G101" s="1933"/>
      <c r="H101" s="99"/>
      <c r="I101" s="504"/>
      <c r="J101" s="46"/>
      <c r="K101" s="300"/>
      <c r="L101" s="55"/>
      <c r="M101" s="1932"/>
      <c r="N101" s="363"/>
      <c r="O101" s="230"/>
      <c r="P101" s="242"/>
      <c r="Q101" s="170"/>
    </row>
    <row r="102" spans="1:17" ht="30.75" customHeight="1" x14ac:dyDescent="0.25">
      <c r="A102" s="713"/>
      <c r="B102" s="714"/>
      <c r="C102" s="715"/>
      <c r="D102" s="735" t="s">
        <v>210</v>
      </c>
      <c r="E102" s="1712" t="s">
        <v>143</v>
      </c>
      <c r="F102" s="193" t="s">
        <v>164</v>
      </c>
      <c r="G102" s="899" t="s">
        <v>214</v>
      </c>
      <c r="H102" s="139" t="s">
        <v>51</v>
      </c>
      <c r="I102" s="525">
        <v>10</v>
      </c>
      <c r="J102" s="53">
        <v>10</v>
      </c>
      <c r="K102" s="308"/>
      <c r="L102" s="56"/>
      <c r="M102" s="438" t="s">
        <v>76</v>
      </c>
      <c r="N102" s="531"/>
      <c r="O102" s="201">
        <v>1</v>
      </c>
      <c r="P102" s="377"/>
      <c r="Q102" s="168"/>
    </row>
    <row r="103" spans="1:17" ht="42" customHeight="1" x14ac:dyDescent="0.25">
      <c r="A103" s="713"/>
      <c r="B103" s="714"/>
      <c r="C103" s="715"/>
      <c r="D103" s="396"/>
      <c r="E103" s="1746"/>
      <c r="F103" s="909" t="s">
        <v>386</v>
      </c>
      <c r="G103" s="927" t="s">
        <v>216</v>
      </c>
      <c r="H103" s="100" t="s">
        <v>23</v>
      </c>
      <c r="I103" s="380"/>
      <c r="J103" s="47"/>
      <c r="K103" s="307">
        <v>84</v>
      </c>
      <c r="L103" s="113"/>
      <c r="M103" s="727" t="s">
        <v>263</v>
      </c>
      <c r="N103" s="351"/>
      <c r="O103" s="485"/>
      <c r="P103" s="240">
        <v>1</v>
      </c>
      <c r="Q103" s="645"/>
    </row>
    <row r="104" spans="1:17" ht="16.5" customHeight="1" x14ac:dyDescent="0.25">
      <c r="A104" s="1705"/>
      <c r="B104" s="1749"/>
      <c r="C104" s="1745"/>
      <c r="D104" s="1982" t="s">
        <v>220</v>
      </c>
      <c r="E104" s="1713" t="s">
        <v>227</v>
      </c>
      <c r="F104" s="1775"/>
      <c r="G104" s="1915" t="s">
        <v>214</v>
      </c>
      <c r="H104" s="139" t="s">
        <v>51</v>
      </c>
      <c r="I104" s="525">
        <v>10</v>
      </c>
      <c r="J104" s="53">
        <v>10</v>
      </c>
      <c r="K104" s="308"/>
      <c r="L104" s="56"/>
      <c r="M104" s="805" t="s">
        <v>76</v>
      </c>
      <c r="N104" s="350"/>
      <c r="O104" s="201">
        <v>1</v>
      </c>
      <c r="P104" s="239"/>
      <c r="Q104" s="168"/>
    </row>
    <row r="105" spans="1:17" ht="16.5" customHeight="1" x14ac:dyDescent="0.25">
      <c r="A105" s="1705"/>
      <c r="B105" s="1749"/>
      <c r="C105" s="1745"/>
      <c r="D105" s="1983"/>
      <c r="E105" s="1713"/>
      <c r="F105" s="1776"/>
      <c r="G105" s="1933"/>
      <c r="H105" s="99" t="s">
        <v>23</v>
      </c>
      <c r="I105" s="504"/>
      <c r="J105" s="46"/>
      <c r="K105" s="300"/>
      <c r="L105" s="55"/>
      <c r="M105" s="707"/>
      <c r="N105" s="363"/>
      <c r="O105" s="230"/>
      <c r="P105" s="242"/>
      <c r="Q105" s="170"/>
    </row>
    <row r="106" spans="1:17" ht="27" customHeight="1" x14ac:dyDescent="0.25">
      <c r="A106" s="1705"/>
      <c r="B106" s="1749"/>
      <c r="C106" s="1745"/>
      <c r="D106" s="1940" t="s">
        <v>146</v>
      </c>
      <c r="E106" s="1712" t="s">
        <v>355</v>
      </c>
      <c r="F106" s="1767" t="s">
        <v>194</v>
      </c>
      <c r="G106" s="1914" t="s">
        <v>215</v>
      </c>
      <c r="H106" s="339" t="s">
        <v>23</v>
      </c>
      <c r="I106" s="525"/>
      <c r="J106" s="53">
        <v>100</v>
      </c>
      <c r="K106" s="308">
        <v>100</v>
      </c>
      <c r="L106" s="56">
        <v>100</v>
      </c>
      <c r="M106" s="817" t="s">
        <v>356</v>
      </c>
      <c r="N106" s="350"/>
      <c r="O106" s="239">
        <v>5</v>
      </c>
      <c r="P106" s="239">
        <v>5</v>
      </c>
      <c r="Q106" s="168">
        <v>5</v>
      </c>
    </row>
    <row r="107" spans="1:17" ht="16.5" customHeight="1" x14ac:dyDescent="0.25">
      <c r="A107" s="1705"/>
      <c r="B107" s="1749"/>
      <c r="C107" s="1745"/>
      <c r="D107" s="1940"/>
      <c r="E107" s="1941"/>
      <c r="F107" s="1768"/>
      <c r="G107" s="1933"/>
      <c r="H107" s="549"/>
      <c r="I107" s="503"/>
      <c r="J107" s="327"/>
      <c r="K107" s="324"/>
      <c r="L107" s="112"/>
      <c r="M107" s="434"/>
      <c r="N107" s="384"/>
      <c r="O107" s="486"/>
      <c r="P107" s="242"/>
      <c r="Q107" s="169"/>
    </row>
    <row r="108" spans="1:17" ht="13.5" customHeight="1" x14ac:dyDescent="0.25">
      <c r="A108" s="713"/>
      <c r="B108" s="714"/>
      <c r="C108" s="715"/>
      <c r="D108" s="1988" t="s">
        <v>219</v>
      </c>
      <c r="E108" s="1772"/>
      <c r="F108" s="1772"/>
      <c r="G108" s="146"/>
      <c r="H108" s="146"/>
      <c r="I108" s="146"/>
      <c r="J108" s="146"/>
      <c r="K108" s="146"/>
      <c r="L108" s="146"/>
      <c r="M108" s="441"/>
      <c r="N108" s="231"/>
      <c r="O108" s="231"/>
      <c r="P108" s="231"/>
      <c r="Q108" s="171"/>
    </row>
    <row r="109" spans="1:17" ht="29.25" customHeight="1" x14ac:dyDescent="0.25">
      <c r="A109" s="713"/>
      <c r="B109" s="714"/>
      <c r="C109" s="715"/>
      <c r="D109" s="395" t="s">
        <v>146</v>
      </c>
      <c r="E109" s="1712" t="s">
        <v>84</v>
      </c>
      <c r="F109" s="153"/>
      <c r="G109" s="1981"/>
      <c r="H109" s="115" t="s">
        <v>23</v>
      </c>
      <c r="I109" s="525">
        <v>10</v>
      </c>
      <c r="J109" s="53">
        <v>10</v>
      </c>
      <c r="K109" s="308">
        <v>10</v>
      </c>
      <c r="L109" s="56">
        <v>10</v>
      </c>
      <c r="M109" s="1852" t="s">
        <v>231</v>
      </c>
      <c r="N109" s="489">
        <v>1</v>
      </c>
      <c r="O109" s="232">
        <v>1</v>
      </c>
      <c r="P109" s="252">
        <v>1</v>
      </c>
      <c r="Q109" s="172">
        <v>1</v>
      </c>
    </row>
    <row r="110" spans="1:17" ht="11.25" customHeight="1" x14ac:dyDescent="0.25">
      <c r="A110" s="713"/>
      <c r="B110" s="714"/>
      <c r="C110" s="85"/>
      <c r="D110" s="685"/>
      <c r="E110" s="1746"/>
      <c r="F110" s="160"/>
      <c r="G110" s="1916"/>
      <c r="H110" s="335"/>
      <c r="I110" s="504"/>
      <c r="J110" s="46"/>
      <c r="K110" s="300"/>
      <c r="L110" s="55"/>
      <c r="M110" s="1856"/>
      <c r="N110" s="363"/>
      <c r="O110" s="230"/>
      <c r="P110" s="242"/>
      <c r="Q110" s="170"/>
    </row>
    <row r="111" spans="1:17" ht="27" customHeight="1" x14ac:dyDescent="0.25">
      <c r="A111" s="713"/>
      <c r="B111" s="714"/>
      <c r="C111" s="85"/>
      <c r="D111" s="684" t="s">
        <v>221</v>
      </c>
      <c r="E111" s="1712" t="s">
        <v>68</v>
      </c>
      <c r="F111" s="915" t="s">
        <v>225</v>
      </c>
      <c r="G111" s="1915" t="s">
        <v>215</v>
      </c>
      <c r="H111" s="139" t="s">
        <v>23</v>
      </c>
      <c r="I111" s="664">
        <f>783.7+24.2+56.5</f>
        <v>864.4</v>
      </c>
      <c r="J111" s="744">
        <f>935-100</f>
        <v>835</v>
      </c>
      <c r="K111" s="745">
        <v>870.9</v>
      </c>
      <c r="L111" s="746">
        <v>865.2</v>
      </c>
      <c r="M111" s="659" t="s">
        <v>88</v>
      </c>
      <c r="N111" s="660">
        <v>22.5</v>
      </c>
      <c r="O111" s="661">
        <v>22.5</v>
      </c>
      <c r="P111" s="662">
        <v>22.5</v>
      </c>
      <c r="Q111" s="663">
        <v>22.5</v>
      </c>
    </row>
    <row r="112" spans="1:17" ht="15.75" customHeight="1" x14ac:dyDescent="0.25">
      <c r="A112" s="713"/>
      <c r="B112" s="714"/>
      <c r="C112" s="145"/>
      <c r="D112" s="716"/>
      <c r="E112" s="1713"/>
      <c r="F112" s="194" t="s">
        <v>164</v>
      </c>
      <c r="G112" s="1977"/>
      <c r="H112" s="100" t="s">
        <v>38</v>
      </c>
      <c r="I112" s="380">
        <v>7.7</v>
      </c>
      <c r="J112" s="47">
        <v>7.7</v>
      </c>
      <c r="K112" s="307">
        <v>7.7</v>
      </c>
      <c r="L112" s="113">
        <v>7.7</v>
      </c>
      <c r="M112" s="719" t="s">
        <v>89</v>
      </c>
      <c r="N112" s="545">
        <v>108</v>
      </c>
      <c r="O112" s="428">
        <v>108</v>
      </c>
      <c r="P112" s="388">
        <v>108</v>
      </c>
      <c r="Q112" s="215">
        <v>109</v>
      </c>
    </row>
    <row r="113" spans="1:17" ht="15.75" customHeight="1" x14ac:dyDescent="0.25">
      <c r="A113" s="713"/>
      <c r="B113" s="721"/>
      <c r="C113" s="145"/>
      <c r="D113" s="195"/>
      <c r="E113" s="1713"/>
      <c r="F113" s="928"/>
      <c r="G113" s="1977"/>
      <c r="H113" s="100" t="s">
        <v>51</v>
      </c>
      <c r="I113" s="380">
        <v>21.5</v>
      </c>
      <c r="J113" s="47"/>
      <c r="K113" s="307"/>
      <c r="L113" s="113"/>
      <c r="M113" s="440" t="s">
        <v>87</v>
      </c>
      <c r="N113" s="546">
        <v>5</v>
      </c>
      <c r="O113" s="488">
        <v>6</v>
      </c>
      <c r="P113" s="390">
        <v>6</v>
      </c>
      <c r="Q113" s="389">
        <v>6</v>
      </c>
    </row>
    <row r="114" spans="1:17" ht="15.75" customHeight="1" x14ac:dyDescent="0.25">
      <c r="A114" s="713"/>
      <c r="B114" s="714"/>
      <c r="C114" s="145"/>
      <c r="D114" s="195"/>
      <c r="E114" s="1713"/>
      <c r="F114" s="928"/>
      <c r="G114" s="1977"/>
      <c r="H114" s="100"/>
      <c r="I114" s="380"/>
      <c r="J114" s="47"/>
      <c r="K114" s="307"/>
      <c r="L114" s="113"/>
      <c r="M114" s="731" t="s">
        <v>125</v>
      </c>
      <c r="N114" s="546" t="s">
        <v>186</v>
      </c>
      <c r="O114" s="488" t="s">
        <v>186</v>
      </c>
      <c r="P114" s="390" t="s">
        <v>186</v>
      </c>
      <c r="Q114" s="389">
        <v>40</v>
      </c>
    </row>
    <row r="115" spans="1:17" ht="15.75" customHeight="1" x14ac:dyDescent="0.25">
      <c r="A115" s="713"/>
      <c r="B115" s="714"/>
      <c r="C115" s="145"/>
      <c r="D115" s="195"/>
      <c r="E115" s="1713"/>
      <c r="F115" s="928"/>
      <c r="G115" s="1977"/>
      <c r="H115" s="100"/>
      <c r="I115" s="380"/>
      <c r="J115" s="47"/>
      <c r="K115" s="307"/>
      <c r="L115" s="113"/>
      <c r="M115" s="440" t="s">
        <v>124</v>
      </c>
      <c r="N115" s="547" t="s">
        <v>117</v>
      </c>
      <c r="O115" s="429" t="s">
        <v>117</v>
      </c>
      <c r="P115" s="253" t="s">
        <v>117</v>
      </c>
      <c r="Q115" s="216">
        <v>10</v>
      </c>
    </row>
    <row r="116" spans="1:17" ht="15" customHeight="1" x14ac:dyDescent="0.25">
      <c r="A116" s="713"/>
      <c r="B116" s="714"/>
      <c r="C116" s="145"/>
      <c r="D116" s="195"/>
      <c r="E116" s="1713"/>
      <c r="F116" s="928"/>
      <c r="G116" s="1977"/>
      <c r="H116" s="100"/>
      <c r="I116" s="380"/>
      <c r="J116" s="47"/>
      <c r="K116" s="307"/>
      <c r="L116" s="113"/>
      <c r="M116" s="1851" t="s">
        <v>232</v>
      </c>
      <c r="N116" s="536">
        <v>1</v>
      </c>
      <c r="O116" s="427">
        <v>1</v>
      </c>
      <c r="P116" s="197">
        <v>1</v>
      </c>
      <c r="Q116" s="211" t="s">
        <v>289</v>
      </c>
    </row>
    <row r="117" spans="1:17" ht="12.75" customHeight="1" x14ac:dyDescent="0.25">
      <c r="A117" s="713"/>
      <c r="B117" s="714"/>
      <c r="C117" s="145"/>
      <c r="D117" s="195"/>
      <c r="E117" s="159"/>
      <c r="F117" s="928"/>
      <c r="G117" s="1977"/>
      <c r="H117" s="100"/>
      <c r="I117" s="380"/>
      <c r="J117" s="47"/>
      <c r="K117" s="307"/>
      <c r="L117" s="113"/>
      <c r="M117" s="1851"/>
      <c r="N117" s="490"/>
      <c r="O117" s="200"/>
      <c r="P117" s="254"/>
      <c r="Q117" s="217"/>
    </row>
    <row r="118" spans="1:17" ht="15.65" customHeight="1" x14ac:dyDescent="0.25">
      <c r="A118" s="713"/>
      <c r="B118" s="714"/>
      <c r="C118" s="145"/>
      <c r="D118" s="195"/>
      <c r="E118" s="701"/>
      <c r="F118" s="118"/>
      <c r="G118" s="696"/>
      <c r="H118" s="549"/>
      <c r="I118" s="503"/>
      <c r="J118" s="324"/>
      <c r="K118" s="324"/>
      <c r="L118" s="550"/>
      <c r="M118" s="414" t="s">
        <v>235</v>
      </c>
      <c r="N118" s="535" t="s">
        <v>198</v>
      </c>
      <c r="O118" s="373" t="s">
        <v>332</v>
      </c>
      <c r="P118" s="808"/>
      <c r="Q118" s="809"/>
    </row>
    <row r="119" spans="1:17" ht="26.15" customHeight="1" x14ac:dyDescent="0.25">
      <c r="A119" s="713"/>
      <c r="B119" s="714"/>
      <c r="C119" s="145"/>
      <c r="D119" s="195"/>
      <c r="E119" s="701"/>
      <c r="F119" s="118"/>
      <c r="G119" s="696"/>
      <c r="H119" s="556" t="s">
        <v>23</v>
      </c>
      <c r="I119" s="747"/>
      <c r="J119" s="552"/>
      <c r="K119" s="552"/>
      <c r="L119" s="113">
        <v>5</v>
      </c>
      <c r="M119" s="688" t="s">
        <v>293</v>
      </c>
      <c r="N119" s="535"/>
      <c r="O119" s="373"/>
      <c r="P119" s="197"/>
      <c r="Q119" s="385">
        <v>5</v>
      </c>
    </row>
    <row r="120" spans="1:17" ht="26.9" customHeight="1" x14ac:dyDescent="0.25">
      <c r="A120" s="713"/>
      <c r="B120" s="714"/>
      <c r="C120" s="145"/>
      <c r="D120" s="195"/>
      <c r="E120" s="701"/>
      <c r="F120" s="118"/>
      <c r="G120" s="696"/>
      <c r="H120" s="556" t="s">
        <v>23</v>
      </c>
      <c r="I120" s="380"/>
      <c r="J120" s="47"/>
      <c r="K120" s="307"/>
      <c r="L120" s="558">
        <v>5</v>
      </c>
      <c r="M120" s="414" t="s">
        <v>294</v>
      </c>
      <c r="N120" s="536"/>
      <c r="O120" s="373"/>
      <c r="P120" s="373"/>
      <c r="Q120" s="383">
        <v>5</v>
      </c>
    </row>
    <row r="121" spans="1:17" ht="26.9" customHeight="1" x14ac:dyDescent="0.25">
      <c r="A121" s="713"/>
      <c r="B121" s="714"/>
      <c r="C121" s="145"/>
      <c r="D121" s="195"/>
      <c r="E121" s="701"/>
      <c r="F121" s="118"/>
      <c r="G121" s="696"/>
      <c r="H121" s="556" t="s">
        <v>23</v>
      </c>
      <c r="I121" s="747"/>
      <c r="J121" s="551"/>
      <c r="K121" s="552">
        <v>9</v>
      </c>
      <c r="L121" s="558"/>
      <c r="M121" s="553" t="s">
        <v>290</v>
      </c>
      <c r="N121" s="535"/>
      <c r="O121" s="373"/>
      <c r="P121" s="248">
        <v>100</v>
      </c>
      <c r="Q121" s="383"/>
    </row>
    <row r="122" spans="1:17" ht="25.5" customHeight="1" x14ac:dyDescent="0.25">
      <c r="A122" s="713"/>
      <c r="B122" s="714"/>
      <c r="C122" s="145"/>
      <c r="D122" s="195"/>
      <c r="E122" s="701"/>
      <c r="F122" s="118"/>
      <c r="G122" s="696"/>
      <c r="H122" s="556" t="s">
        <v>23</v>
      </c>
      <c r="I122" s="747"/>
      <c r="J122" s="551"/>
      <c r="K122" s="552"/>
      <c r="L122" s="558">
        <v>59.8</v>
      </c>
      <c r="M122" s="554" t="s">
        <v>291</v>
      </c>
      <c r="N122" s="535"/>
      <c r="O122" s="373"/>
      <c r="P122" s="373"/>
      <c r="Q122" s="383" t="s">
        <v>138</v>
      </c>
    </row>
    <row r="123" spans="1:17" ht="25.5" customHeight="1" x14ac:dyDescent="0.25">
      <c r="A123" s="713"/>
      <c r="B123" s="714"/>
      <c r="C123" s="145"/>
      <c r="D123" s="195"/>
      <c r="E123" s="701"/>
      <c r="F123" s="118"/>
      <c r="G123" s="696"/>
      <c r="H123" s="152" t="s">
        <v>23</v>
      </c>
      <c r="I123" s="380"/>
      <c r="J123" s="47"/>
      <c r="K123" s="307">
        <v>55.1</v>
      </c>
      <c r="L123" s="381"/>
      <c r="M123" s="557" t="s">
        <v>292</v>
      </c>
      <c r="N123" s="536"/>
      <c r="O123" s="427"/>
      <c r="P123" s="197" t="s">
        <v>138</v>
      </c>
      <c r="Q123" s="548"/>
    </row>
    <row r="124" spans="1:17" ht="25.5" customHeight="1" x14ac:dyDescent="0.25">
      <c r="A124" s="713"/>
      <c r="B124" s="714"/>
      <c r="C124" s="145"/>
      <c r="D124" s="195"/>
      <c r="E124" s="693"/>
      <c r="F124" s="732"/>
      <c r="G124" s="690"/>
      <c r="H124" s="556"/>
      <c r="I124" s="747"/>
      <c r="J124" s="551"/>
      <c r="K124" s="552"/>
      <c r="L124" s="558"/>
      <c r="M124" s="555" t="s">
        <v>244</v>
      </c>
      <c r="N124" s="532">
        <v>100</v>
      </c>
      <c r="O124" s="233"/>
      <c r="P124" s="255"/>
      <c r="Q124" s="173"/>
    </row>
    <row r="125" spans="1:17" ht="16.399999999999999" customHeight="1" x14ac:dyDescent="0.25">
      <c r="A125" s="713"/>
      <c r="B125" s="714"/>
      <c r="C125" s="145"/>
      <c r="D125" s="195"/>
      <c r="E125" s="1777" t="s">
        <v>248</v>
      </c>
      <c r="F125" s="166" t="s">
        <v>194</v>
      </c>
      <c r="G125" s="690"/>
      <c r="H125" s="336"/>
      <c r="I125" s="582"/>
      <c r="J125" s="328"/>
      <c r="K125" s="329"/>
      <c r="L125" s="123"/>
      <c r="M125" s="1857" t="s">
        <v>147</v>
      </c>
      <c r="N125" s="794">
        <v>1</v>
      </c>
      <c r="O125" s="793"/>
      <c r="P125" s="793"/>
      <c r="Q125" s="218"/>
    </row>
    <row r="126" spans="1:17" ht="16.399999999999999" customHeight="1" x14ac:dyDescent="0.25">
      <c r="A126" s="713"/>
      <c r="B126" s="714"/>
      <c r="C126" s="145"/>
      <c r="D126" s="195"/>
      <c r="E126" s="1778"/>
      <c r="F126" s="163" t="s">
        <v>164</v>
      </c>
      <c r="G126" s="690"/>
      <c r="H126" s="791"/>
      <c r="I126" s="504"/>
      <c r="J126" s="300"/>
      <c r="K126" s="300"/>
      <c r="L126" s="382"/>
      <c r="M126" s="1861"/>
      <c r="N126" s="792"/>
      <c r="O126" s="795"/>
      <c r="P126" s="796"/>
      <c r="Q126" s="797"/>
    </row>
    <row r="127" spans="1:17" ht="18.75" customHeight="1" x14ac:dyDescent="0.25">
      <c r="A127" s="1705"/>
      <c r="B127" s="1706"/>
      <c r="C127" s="145"/>
      <c r="D127" s="1930" t="s">
        <v>222</v>
      </c>
      <c r="E127" s="1712" t="s">
        <v>139</v>
      </c>
      <c r="F127" s="1771"/>
      <c r="G127" s="690"/>
      <c r="H127" s="100" t="s">
        <v>23</v>
      </c>
      <c r="I127" s="380">
        <v>26.5</v>
      </c>
      <c r="J127" s="47">
        <v>25.4</v>
      </c>
      <c r="K127" s="307">
        <v>26</v>
      </c>
      <c r="L127" s="113">
        <v>26.5</v>
      </c>
      <c r="M127" s="413" t="s">
        <v>99</v>
      </c>
      <c r="N127" s="531">
        <v>2</v>
      </c>
      <c r="O127" s="377">
        <v>2</v>
      </c>
      <c r="P127" s="241">
        <v>2</v>
      </c>
      <c r="Q127" s="376">
        <v>2</v>
      </c>
    </row>
    <row r="128" spans="1:17" ht="18.75" customHeight="1" x14ac:dyDescent="0.25">
      <c r="A128" s="1705"/>
      <c r="B128" s="1706"/>
      <c r="C128" s="145"/>
      <c r="D128" s="1940"/>
      <c r="E128" s="1713"/>
      <c r="F128" s="1771"/>
      <c r="G128" s="810"/>
      <c r="H128" s="812" t="s">
        <v>69</v>
      </c>
      <c r="I128" s="380"/>
      <c r="J128" s="47">
        <v>1.4</v>
      </c>
      <c r="K128" s="307"/>
      <c r="L128" s="113"/>
      <c r="M128" s="811"/>
      <c r="N128" s="351"/>
      <c r="O128" s="202"/>
      <c r="P128" s="240"/>
      <c r="Q128" s="149"/>
    </row>
    <row r="129" spans="1:17" ht="20.25" customHeight="1" x14ac:dyDescent="0.25">
      <c r="A129" s="1705"/>
      <c r="B129" s="1706"/>
      <c r="C129" s="145"/>
      <c r="D129" s="1931"/>
      <c r="E129" s="1746"/>
      <c r="F129" s="1771"/>
      <c r="G129" s="690"/>
      <c r="H129" s="100" t="s">
        <v>38</v>
      </c>
      <c r="I129" s="380">
        <v>5</v>
      </c>
      <c r="J129" s="47">
        <v>5</v>
      </c>
      <c r="K129" s="307">
        <v>5</v>
      </c>
      <c r="L129" s="113">
        <v>5</v>
      </c>
      <c r="M129" s="415" t="s">
        <v>89</v>
      </c>
      <c r="N129" s="351">
        <v>5</v>
      </c>
      <c r="O129" s="202">
        <v>5</v>
      </c>
      <c r="P129" s="240">
        <v>5</v>
      </c>
      <c r="Q129" s="149">
        <v>5</v>
      </c>
    </row>
    <row r="130" spans="1:17" ht="15" customHeight="1" x14ac:dyDescent="0.25">
      <c r="A130" s="713"/>
      <c r="B130" s="714"/>
      <c r="C130" s="145"/>
      <c r="D130" s="394" t="s">
        <v>223</v>
      </c>
      <c r="E130" s="1713" t="s">
        <v>55</v>
      </c>
      <c r="F130" s="732"/>
      <c r="G130" s="690"/>
      <c r="H130" s="139" t="s">
        <v>38</v>
      </c>
      <c r="I130" s="525">
        <v>21</v>
      </c>
      <c r="J130" s="53">
        <v>21</v>
      </c>
      <c r="K130" s="308">
        <v>21</v>
      </c>
      <c r="L130" s="56">
        <v>21</v>
      </c>
      <c r="M130" s="697" t="s">
        <v>88</v>
      </c>
      <c r="N130" s="350">
        <v>2</v>
      </c>
      <c r="O130" s="201">
        <v>2</v>
      </c>
      <c r="P130" s="239">
        <v>2</v>
      </c>
      <c r="Q130" s="168">
        <v>2</v>
      </c>
    </row>
    <row r="131" spans="1:17" ht="15" customHeight="1" x14ac:dyDescent="0.25">
      <c r="A131" s="713"/>
      <c r="B131" s="714"/>
      <c r="C131" s="85"/>
      <c r="D131" s="716"/>
      <c r="E131" s="1746"/>
      <c r="F131" s="160"/>
      <c r="G131" s="690"/>
      <c r="H131" s="335" t="s">
        <v>69</v>
      </c>
      <c r="I131" s="504">
        <v>6.3</v>
      </c>
      <c r="J131" s="46">
        <v>1.3</v>
      </c>
      <c r="K131" s="300"/>
      <c r="L131" s="55"/>
      <c r="M131" s="703"/>
      <c r="N131" s="363"/>
      <c r="O131" s="230"/>
      <c r="P131" s="242"/>
      <c r="Q131" s="170"/>
    </row>
    <row r="132" spans="1:17" ht="41.9" customHeight="1" x14ac:dyDescent="0.25">
      <c r="A132" s="713"/>
      <c r="B132" s="714"/>
      <c r="C132" s="85"/>
      <c r="D132" s="684" t="s">
        <v>276</v>
      </c>
      <c r="E132" s="107" t="s">
        <v>185</v>
      </c>
      <c r="F132" s="1767" t="s">
        <v>225</v>
      </c>
      <c r="G132" s="1943"/>
      <c r="H132" s="337" t="s">
        <v>23</v>
      </c>
      <c r="I132" s="525">
        <f>90-3.5-28.2+1.8</f>
        <v>60.1</v>
      </c>
      <c r="J132" s="53"/>
      <c r="K132" s="308"/>
      <c r="L132" s="56"/>
      <c r="M132" s="435" t="s">
        <v>183</v>
      </c>
      <c r="N132" s="567">
        <v>5</v>
      </c>
      <c r="O132" s="234"/>
      <c r="P132" s="256"/>
      <c r="Q132" s="174"/>
    </row>
    <row r="133" spans="1:17" ht="28.4" customHeight="1" x14ac:dyDescent="0.25">
      <c r="A133" s="713"/>
      <c r="B133" s="714"/>
      <c r="C133" s="85"/>
      <c r="D133" s="716"/>
      <c r="E133" s="563"/>
      <c r="F133" s="1768"/>
      <c r="G133" s="1943"/>
      <c r="H133" s="564" t="s">
        <v>23</v>
      </c>
      <c r="I133" s="380"/>
      <c r="J133" s="47">
        <f>135-85</f>
        <v>50</v>
      </c>
      <c r="K133" s="307">
        <f>155+60</f>
        <v>215</v>
      </c>
      <c r="L133" s="113">
        <v>60</v>
      </c>
      <c r="M133" s="443" t="s">
        <v>295</v>
      </c>
      <c r="N133" s="565"/>
      <c r="O133" s="566">
        <v>1</v>
      </c>
      <c r="P133" s="566">
        <v>2</v>
      </c>
      <c r="Q133" s="761">
        <v>2</v>
      </c>
    </row>
    <row r="134" spans="1:17" ht="28.5" customHeight="1" x14ac:dyDescent="0.25">
      <c r="A134" s="713"/>
      <c r="B134" s="714"/>
      <c r="C134" s="715"/>
      <c r="D134" s="716"/>
      <c r="E134" s="717"/>
      <c r="F134" s="695"/>
      <c r="G134" s="1943"/>
      <c r="H134" s="718"/>
      <c r="I134" s="380"/>
      <c r="J134" s="505"/>
      <c r="K134" s="307"/>
      <c r="L134" s="113"/>
      <c r="M134" s="414" t="s">
        <v>233</v>
      </c>
      <c r="N134" s="568">
        <v>1</v>
      </c>
      <c r="O134" s="418"/>
      <c r="P134" s="257"/>
      <c r="Q134" s="178"/>
    </row>
    <row r="135" spans="1:17" ht="41.15" customHeight="1" x14ac:dyDescent="0.25">
      <c r="A135" s="713"/>
      <c r="B135" s="714"/>
      <c r="C135" s="85"/>
      <c r="D135" s="716"/>
      <c r="E135" s="701"/>
      <c r="F135" s="686"/>
      <c r="G135" s="718"/>
      <c r="H135" s="333" t="s">
        <v>51</v>
      </c>
      <c r="I135" s="504">
        <v>26.9</v>
      </c>
      <c r="J135" s="46">
        <v>77.5</v>
      </c>
      <c r="K135" s="300"/>
      <c r="L135" s="382"/>
      <c r="M135" s="432" t="s">
        <v>184</v>
      </c>
      <c r="N135" s="569"/>
      <c r="O135" s="235">
        <v>1</v>
      </c>
      <c r="P135" s="258"/>
      <c r="Q135" s="175"/>
    </row>
    <row r="136" spans="1:17" ht="53.25" customHeight="1" x14ac:dyDescent="0.25">
      <c r="A136" s="713"/>
      <c r="B136" s="714"/>
      <c r="C136" s="85"/>
      <c r="D136" s="353" t="s">
        <v>277</v>
      </c>
      <c r="E136" s="131" t="s">
        <v>264</v>
      </c>
      <c r="F136" s="918" t="s">
        <v>387</v>
      </c>
      <c r="G136" s="718"/>
      <c r="H136" s="560" t="s">
        <v>23</v>
      </c>
      <c r="I136" s="504"/>
      <c r="J136" s="46"/>
      <c r="K136" s="300"/>
      <c r="L136" s="55">
        <v>459.2</v>
      </c>
      <c r="M136" s="668" t="s">
        <v>265</v>
      </c>
      <c r="N136" s="748"/>
      <c r="O136" s="749"/>
      <c r="P136" s="750"/>
      <c r="Q136" s="176">
        <v>100</v>
      </c>
    </row>
    <row r="137" spans="1:17" ht="19.399999999999999" customHeight="1" x14ac:dyDescent="0.25">
      <c r="A137" s="713"/>
      <c r="B137" s="714"/>
      <c r="C137" s="85"/>
      <c r="D137" s="394" t="s">
        <v>278</v>
      </c>
      <c r="E137" s="692" t="s">
        <v>196</v>
      </c>
      <c r="F137" s="570"/>
      <c r="G137" s="718"/>
      <c r="H137" s="36" t="s">
        <v>23</v>
      </c>
      <c r="I137" s="380">
        <v>22</v>
      </c>
      <c r="J137" s="308">
        <v>85.7</v>
      </c>
      <c r="K137" s="307"/>
      <c r="L137" s="113"/>
      <c r="M137" s="1925" t="s">
        <v>234</v>
      </c>
      <c r="N137" s="615">
        <v>1</v>
      </c>
      <c r="O137" s="572">
        <v>1</v>
      </c>
      <c r="P137" s="252"/>
      <c r="Q137" s="573"/>
    </row>
    <row r="138" spans="1:17" ht="19.399999999999999" customHeight="1" x14ac:dyDescent="0.25">
      <c r="A138" s="713"/>
      <c r="B138" s="714"/>
      <c r="C138" s="85"/>
      <c r="D138" s="685"/>
      <c r="E138" s="705"/>
      <c r="F138" s="571"/>
      <c r="G138" s="728"/>
      <c r="H138" s="333" t="s">
        <v>51</v>
      </c>
      <c r="I138" s="504"/>
      <c r="J138" s="46">
        <v>16</v>
      </c>
      <c r="K138" s="300"/>
      <c r="L138" s="382"/>
      <c r="M138" s="1882"/>
      <c r="N138" s="751"/>
      <c r="O138" s="259"/>
      <c r="P138" s="259"/>
      <c r="Q138" s="176"/>
    </row>
    <row r="139" spans="1:17" ht="16.5" customHeight="1" thickBot="1" x14ac:dyDescent="0.3">
      <c r="A139" s="22"/>
      <c r="B139" s="156"/>
      <c r="C139" s="80"/>
      <c r="D139" s="105"/>
      <c r="E139" s="89"/>
      <c r="F139" s="88"/>
      <c r="G139" s="82"/>
      <c r="H139" s="26" t="s">
        <v>5</v>
      </c>
      <c r="I139" s="506">
        <f>SUM(I17:I138)</f>
        <v>13910.4</v>
      </c>
      <c r="J139" s="314">
        <f>SUM(J17:J138)</f>
        <v>8535.5</v>
      </c>
      <c r="K139" s="309">
        <f>SUM(K17:K138)</f>
        <v>8503.4</v>
      </c>
      <c r="L139" s="314">
        <f>SUM(L17:L138)</f>
        <v>11699.5</v>
      </c>
      <c r="M139" s="436"/>
      <c r="N139" s="361"/>
      <c r="O139" s="361"/>
      <c r="P139" s="236"/>
      <c r="Q139" s="360"/>
    </row>
    <row r="140" spans="1:17" ht="27" customHeight="1" x14ac:dyDescent="0.25">
      <c r="A140" s="713" t="s">
        <v>4</v>
      </c>
      <c r="B140" s="714" t="s">
        <v>4</v>
      </c>
      <c r="C140" s="715" t="s">
        <v>6</v>
      </c>
      <c r="D140" s="38"/>
      <c r="E140" s="42" t="s">
        <v>47</v>
      </c>
      <c r="F140" s="41"/>
      <c r="G140" s="1944" t="s">
        <v>218</v>
      </c>
      <c r="H140" s="338"/>
      <c r="I140" s="507"/>
      <c r="J140" s="340"/>
      <c r="K140" s="330"/>
      <c r="L140" s="325"/>
      <c r="M140" s="437"/>
      <c r="N140" s="487"/>
      <c r="O140" s="423"/>
      <c r="P140" s="260"/>
      <c r="Q140" s="219"/>
    </row>
    <row r="141" spans="1:17" ht="27" customHeight="1" x14ac:dyDescent="0.25">
      <c r="A141" s="1705"/>
      <c r="B141" s="1749"/>
      <c r="C141" s="1745"/>
      <c r="D141" s="1940" t="s">
        <v>4</v>
      </c>
      <c r="E141" s="1712" t="s">
        <v>58</v>
      </c>
      <c r="F141" s="1762"/>
      <c r="G141" s="1945"/>
      <c r="H141" s="339" t="s">
        <v>23</v>
      </c>
      <c r="I141" s="525">
        <f>3092.7-250</f>
        <v>2842.7</v>
      </c>
      <c r="J141" s="53">
        <f>2931-150.7</f>
        <v>2780.3</v>
      </c>
      <c r="K141" s="308">
        <v>2931</v>
      </c>
      <c r="L141" s="56">
        <v>2931</v>
      </c>
      <c r="M141" s="726" t="s">
        <v>135</v>
      </c>
      <c r="N141" s="665">
        <v>8.9</v>
      </c>
      <c r="O141" s="392">
        <v>8.9</v>
      </c>
      <c r="P141" s="666">
        <v>8.9</v>
      </c>
      <c r="Q141" s="667">
        <v>8.9</v>
      </c>
    </row>
    <row r="142" spans="1:17" ht="16.5" customHeight="1" x14ac:dyDescent="0.25">
      <c r="A142" s="1705"/>
      <c r="B142" s="1749"/>
      <c r="C142" s="1745"/>
      <c r="D142" s="1940"/>
      <c r="E142" s="1761"/>
      <c r="F142" s="1763"/>
      <c r="G142" s="1945"/>
      <c r="H142" s="331" t="s">
        <v>51</v>
      </c>
      <c r="I142" s="503">
        <v>130</v>
      </c>
      <c r="J142" s="327">
        <v>150.69999999999999</v>
      </c>
      <c r="K142" s="324"/>
      <c r="L142" s="112"/>
      <c r="M142" s="432" t="s">
        <v>115</v>
      </c>
      <c r="N142" s="384">
        <v>425</v>
      </c>
      <c r="O142" s="485">
        <v>425</v>
      </c>
      <c r="P142" s="247">
        <v>425</v>
      </c>
      <c r="Q142" s="169">
        <v>425</v>
      </c>
    </row>
    <row r="143" spans="1:17" ht="12.75" customHeight="1" x14ac:dyDescent="0.25">
      <c r="A143" s="1705"/>
      <c r="B143" s="1749"/>
      <c r="C143" s="1745"/>
      <c r="D143" s="1930" t="s">
        <v>6</v>
      </c>
      <c r="E143" s="1757" t="s">
        <v>35</v>
      </c>
      <c r="F143" s="694"/>
      <c r="G143" s="1915"/>
      <c r="H143" s="339" t="s">
        <v>23</v>
      </c>
      <c r="I143" s="525">
        <f>132+59.5+130-59.5-130</f>
        <v>132</v>
      </c>
      <c r="J143" s="53">
        <v>150</v>
      </c>
      <c r="K143" s="308">
        <v>150</v>
      </c>
      <c r="L143" s="56">
        <v>150</v>
      </c>
      <c r="M143" s="708"/>
      <c r="N143" s="350"/>
      <c r="O143" s="201"/>
      <c r="P143" s="239"/>
      <c r="Q143" s="168"/>
    </row>
    <row r="144" spans="1:17" ht="12.75" customHeight="1" x14ac:dyDescent="0.25">
      <c r="A144" s="1705"/>
      <c r="B144" s="1749"/>
      <c r="C144" s="1745"/>
      <c r="D144" s="1940"/>
      <c r="E144" s="1760"/>
      <c r="F144" s="695"/>
      <c r="G144" s="1915"/>
      <c r="H144" s="100" t="s">
        <v>38</v>
      </c>
      <c r="I144" s="380">
        <v>2</v>
      </c>
      <c r="J144" s="47">
        <v>2</v>
      </c>
      <c r="K144" s="307">
        <v>2</v>
      </c>
      <c r="L144" s="113">
        <v>2</v>
      </c>
      <c r="M144" s="697"/>
      <c r="N144" s="351"/>
      <c r="O144" s="202"/>
      <c r="P144" s="240"/>
      <c r="Q144" s="149"/>
    </row>
    <row r="145" spans="1:17" ht="12.75" customHeight="1" x14ac:dyDescent="0.25">
      <c r="A145" s="1705"/>
      <c r="B145" s="1749"/>
      <c r="C145" s="1745"/>
      <c r="D145" s="1940"/>
      <c r="E145" s="1760"/>
      <c r="F145" s="695"/>
      <c r="G145" s="1915"/>
      <c r="H145" s="100" t="s">
        <v>51</v>
      </c>
      <c r="I145" s="380">
        <v>10</v>
      </c>
      <c r="J145" s="47"/>
      <c r="K145" s="307"/>
      <c r="L145" s="113"/>
      <c r="M145" s="697"/>
      <c r="N145" s="351"/>
      <c r="O145" s="202"/>
      <c r="P145" s="240"/>
      <c r="Q145" s="149"/>
    </row>
    <row r="146" spans="1:17" ht="16.5" customHeight="1" x14ac:dyDescent="0.25">
      <c r="A146" s="1705"/>
      <c r="B146" s="1749"/>
      <c r="C146" s="1745"/>
      <c r="D146" s="1940"/>
      <c r="E146" s="1760"/>
      <c r="F146" s="695"/>
      <c r="G146" s="1915"/>
      <c r="H146" s="100" t="s">
        <v>69</v>
      </c>
      <c r="I146" s="380">
        <v>0.3</v>
      </c>
      <c r="J146" s="47"/>
      <c r="K146" s="307"/>
      <c r="L146" s="113"/>
      <c r="M146" s="697" t="s">
        <v>37</v>
      </c>
      <c r="N146" s="384">
        <v>60</v>
      </c>
      <c r="O146" s="202">
        <v>60</v>
      </c>
      <c r="P146" s="240">
        <v>60</v>
      </c>
      <c r="Q146" s="169">
        <v>60</v>
      </c>
    </row>
    <row r="147" spans="1:17" ht="18.649999999999999" customHeight="1" x14ac:dyDescent="0.25">
      <c r="A147" s="1705"/>
      <c r="B147" s="1749"/>
      <c r="C147" s="1745"/>
      <c r="D147" s="1940"/>
      <c r="E147" s="1760"/>
      <c r="F147" s="695"/>
      <c r="G147" s="1915"/>
      <c r="H147" s="100"/>
      <c r="I147" s="380"/>
      <c r="J147" s="47"/>
      <c r="K147" s="307"/>
      <c r="L147" s="113"/>
      <c r="M147" s="688" t="s">
        <v>59</v>
      </c>
      <c r="N147" s="574">
        <v>1500</v>
      </c>
      <c r="O147" s="424">
        <v>1500</v>
      </c>
      <c r="P147" s="262">
        <v>1500</v>
      </c>
      <c r="Q147" s="221">
        <v>1500</v>
      </c>
    </row>
    <row r="148" spans="1:17" ht="28.4" customHeight="1" x14ac:dyDescent="0.25">
      <c r="A148" s="713"/>
      <c r="B148" s="714"/>
      <c r="C148" s="715"/>
      <c r="D148" s="716"/>
      <c r="E148" s="717"/>
      <c r="F148" s="695"/>
      <c r="G148" s="690"/>
      <c r="H148" s="575" t="s">
        <v>23</v>
      </c>
      <c r="I148" s="747"/>
      <c r="J148" s="552">
        <v>30</v>
      </c>
      <c r="K148" s="552"/>
      <c r="L148" s="558"/>
      <c r="M148" s="414" t="s">
        <v>245</v>
      </c>
      <c r="N148" s="568">
        <v>1</v>
      </c>
      <c r="O148" s="418">
        <v>1</v>
      </c>
      <c r="P148" s="257"/>
      <c r="Q148" s="178"/>
    </row>
    <row r="149" spans="1:17" ht="27.75" customHeight="1" x14ac:dyDescent="0.25">
      <c r="A149" s="713"/>
      <c r="B149" s="714"/>
      <c r="C149" s="715"/>
      <c r="D149" s="716"/>
      <c r="E149" s="717"/>
      <c r="F149" s="695"/>
      <c r="G149" s="690"/>
      <c r="H149" s="559" t="s">
        <v>23</v>
      </c>
      <c r="I149" s="747"/>
      <c r="J149" s="47">
        <v>150</v>
      </c>
      <c r="K149" s="552"/>
      <c r="L149" s="113"/>
      <c r="M149" s="414" t="s">
        <v>279</v>
      </c>
      <c r="N149" s="568"/>
      <c r="O149" s="418">
        <v>1</v>
      </c>
      <c r="P149" s="257"/>
      <c r="Q149" s="178"/>
    </row>
    <row r="150" spans="1:17" ht="39.75" customHeight="1" x14ac:dyDescent="0.25">
      <c r="A150" s="713"/>
      <c r="B150" s="714"/>
      <c r="C150" s="715"/>
      <c r="D150" s="716"/>
      <c r="E150" s="717"/>
      <c r="F150" s="695"/>
      <c r="G150" s="690"/>
      <c r="H150" s="100" t="s">
        <v>23</v>
      </c>
      <c r="I150" s="380"/>
      <c r="J150" s="561"/>
      <c r="K150" s="307">
        <v>50</v>
      </c>
      <c r="L150" s="562"/>
      <c r="M150" s="414" t="s">
        <v>266</v>
      </c>
      <c r="N150" s="568"/>
      <c r="O150" s="418"/>
      <c r="P150" s="354">
        <v>1</v>
      </c>
      <c r="Q150" s="639"/>
    </row>
    <row r="151" spans="1:17" ht="24.75" customHeight="1" x14ac:dyDescent="0.25">
      <c r="A151" s="713"/>
      <c r="B151" s="714"/>
      <c r="C151" s="715"/>
      <c r="D151" s="684" t="s">
        <v>25</v>
      </c>
      <c r="E151" s="1757" t="s">
        <v>85</v>
      </c>
      <c r="F151" s="694"/>
      <c r="G151" s="690"/>
      <c r="H151" s="139" t="s">
        <v>23</v>
      </c>
      <c r="I151" s="525">
        <v>80.2</v>
      </c>
      <c r="J151" s="53">
        <v>89.6</v>
      </c>
      <c r="K151" s="308">
        <v>89.6</v>
      </c>
      <c r="L151" s="56">
        <v>89.6</v>
      </c>
      <c r="M151" s="435" t="s">
        <v>102</v>
      </c>
      <c r="N151" s="576" t="s">
        <v>181</v>
      </c>
      <c r="O151" s="425" t="s">
        <v>181</v>
      </c>
      <c r="P151" s="263" t="s">
        <v>181</v>
      </c>
      <c r="Q151" s="222" t="s">
        <v>181</v>
      </c>
    </row>
    <row r="152" spans="1:17" ht="28.4" customHeight="1" x14ac:dyDescent="0.25">
      <c r="A152" s="713"/>
      <c r="B152" s="714"/>
      <c r="C152" s="715"/>
      <c r="D152" s="716"/>
      <c r="E152" s="1758"/>
      <c r="F152" s="695"/>
      <c r="G152" s="690"/>
      <c r="H152" s="99"/>
      <c r="I152" s="380"/>
      <c r="J152" s="47"/>
      <c r="K152" s="307"/>
      <c r="L152" s="113"/>
      <c r="M152" s="727" t="s">
        <v>103</v>
      </c>
      <c r="N152" s="577" t="s">
        <v>182</v>
      </c>
      <c r="O152" s="426" t="s">
        <v>182</v>
      </c>
      <c r="P152" s="198" t="s">
        <v>182</v>
      </c>
      <c r="Q152" s="223" t="s">
        <v>182</v>
      </c>
    </row>
    <row r="153" spans="1:17" ht="18.649999999999999" customHeight="1" x14ac:dyDescent="0.25">
      <c r="A153" s="713"/>
      <c r="B153" s="714"/>
      <c r="C153" s="715"/>
      <c r="D153" s="1930" t="s">
        <v>32</v>
      </c>
      <c r="E153" s="1712" t="s">
        <v>50</v>
      </c>
      <c r="F153" s="695"/>
      <c r="G153" s="1915"/>
      <c r="H153" s="139" t="s">
        <v>23</v>
      </c>
      <c r="I153" s="525">
        <v>80</v>
      </c>
      <c r="J153" s="308">
        <v>81</v>
      </c>
      <c r="K153" s="308">
        <v>88.3</v>
      </c>
      <c r="L153" s="578">
        <v>88.3</v>
      </c>
      <c r="M153" s="726" t="s">
        <v>36</v>
      </c>
      <c r="N153" s="350">
        <v>9</v>
      </c>
      <c r="O153" s="201">
        <v>15</v>
      </c>
      <c r="P153" s="239">
        <v>15</v>
      </c>
      <c r="Q153" s="168">
        <v>15</v>
      </c>
    </row>
    <row r="154" spans="1:17" ht="18.649999999999999" customHeight="1" x14ac:dyDescent="0.25">
      <c r="A154" s="713"/>
      <c r="B154" s="714"/>
      <c r="C154" s="85"/>
      <c r="D154" s="1931"/>
      <c r="E154" s="1746"/>
      <c r="F154" s="695"/>
      <c r="G154" s="1915"/>
      <c r="H154" s="99" t="s">
        <v>51</v>
      </c>
      <c r="I154" s="504"/>
      <c r="J154" s="47">
        <v>7.3</v>
      </c>
      <c r="K154" s="300"/>
      <c r="L154" s="113"/>
      <c r="M154" s="434"/>
      <c r="N154" s="363"/>
      <c r="O154" s="242"/>
      <c r="P154" s="240"/>
      <c r="Q154" s="579"/>
    </row>
    <row r="155" spans="1:17" ht="18.649999999999999" customHeight="1" x14ac:dyDescent="0.25">
      <c r="A155" s="713"/>
      <c r="B155" s="714"/>
      <c r="C155" s="85"/>
      <c r="D155" s="1930" t="s">
        <v>33</v>
      </c>
      <c r="E155" s="1759" t="s">
        <v>160</v>
      </c>
      <c r="F155" s="695"/>
      <c r="G155" s="1915"/>
      <c r="H155" s="139" t="s">
        <v>51</v>
      </c>
      <c r="I155" s="525">
        <v>13.8</v>
      </c>
      <c r="J155" s="53">
        <v>4</v>
      </c>
      <c r="K155" s="308"/>
      <c r="L155" s="56"/>
      <c r="M155" s="438" t="s">
        <v>76</v>
      </c>
      <c r="N155" s="350"/>
      <c r="O155" s="422">
        <v>1</v>
      </c>
      <c r="P155" s="377"/>
      <c r="Q155" s="393"/>
    </row>
    <row r="156" spans="1:17" ht="29.15" customHeight="1" x14ac:dyDescent="0.25">
      <c r="A156" s="21"/>
      <c r="B156" s="714"/>
      <c r="C156" s="85"/>
      <c r="D156" s="1931"/>
      <c r="E156" s="1660"/>
      <c r="F156" s="733"/>
      <c r="G156" s="1933"/>
      <c r="H156" s="99" t="s">
        <v>23</v>
      </c>
      <c r="I156" s="504"/>
      <c r="J156" s="46">
        <v>100</v>
      </c>
      <c r="K156" s="300"/>
      <c r="L156" s="55"/>
      <c r="M156" s="434" t="s">
        <v>267</v>
      </c>
      <c r="N156" s="534"/>
      <c r="O156" s="486">
        <v>100</v>
      </c>
      <c r="P156" s="242"/>
      <c r="Q156" s="170"/>
    </row>
    <row r="157" spans="1:17" ht="16.5" customHeight="1" thickBot="1" x14ac:dyDescent="0.3">
      <c r="A157" s="22"/>
      <c r="B157" s="156"/>
      <c r="C157" s="80"/>
      <c r="D157" s="83"/>
      <c r="E157" s="84"/>
      <c r="F157" s="88"/>
      <c r="G157" s="82"/>
      <c r="H157" s="26" t="s">
        <v>5</v>
      </c>
      <c r="I157" s="506">
        <f>SUM(I141:I156)</f>
        <v>3291</v>
      </c>
      <c r="J157" s="314">
        <f>SUM(J141:J156)</f>
        <v>3544.9</v>
      </c>
      <c r="K157" s="309">
        <f>SUM(K141:K156)</f>
        <v>3310.9</v>
      </c>
      <c r="L157" s="302">
        <f>SUM(L141:L156)</f>
        <v>3260.9</v>
      </c>
      <c r="M157" s="439"/>
      <c r="N157" s="361"/>
      <c r="O157" s="361"/>
      <c r="P157" s="236"/>
      <c r="Q157" s="360"/>
    </row>
    <row r="158" spans="1:17" ht="18" customHeight="1" x14ac:dyDescent="0.25">
      <c r="A158" s="1747" t="s">
        <v>4</v>
      </c>
      <c r="B158" s="1748" t="s">
        <v>4</v>
      </c>
      <c r="C158" s="1750" t="s">
        <v>25</v>
      </c>
      <c r="D158" s="1991"/>
      <c r="E158" s="1751" t="s">
        <v>48</v>
      </c>
      <c r="F158" s="1753" t="s">
        <v>225</v>
      </c>
      <c r="G158" s="142"/>
      <c r="H158" s="101"/>
      <c r="I158" s="509"/>
      <c r="J158" s="326"/>
      <c r="K158" s="306"/>
      <c r="L158" s="326"/>
      <c r="M158" s="1901"/>
      <c r="N158" s="1918"/>
      <c r="O158" s="1737"/>
      <c r="P158" s="1741"/>
      <c r="Q158" s="1743"/>
    </row>
    <row r="159" spans="1:17" ht="11.25" customHeight="1" x14ac:dyDescent="0.25">
      <c r="A159" s="1705"/>
      <c r="B159" s="1749"/>
      <c r="C159" s="1745"/>
      <c r="D159" s="1992"/>
      <c r="E159" s="1752"/>
      <c r="F159" s="1754"/>
      <c r="G159" s="143"/>
      <c r="H159" s="99"/>
      <c r="I159" s="504"/>
      <c r="J159" s="46"/>
      <c r="K159" s="300"/>
      <c r="L159" s="46"/>
      <c r="M159" s="1882"/>
      <c r="N159" s="1919"/>
      <c r="O159" s="1942"/>
      <c r="P159" s="1926"/>
      <c r="Q159" s="1927"/>
    </row>
    <row r="160" spans="1:17" ht="15.75" customHeight="1" x14ac:dyDescent="0.25">
      <c r="A160" s="1705"/>
      <c r="B160" s="1706"/>
      <c r="C160" s="1745"/>
      <c r="D160" s="1989" t="s">
        <v>4</v>
      </c>
      <c r="E160" s="1713" t="s">
        <v>77</v>
      </c>
      <c r="F160" s="1755"/>
      <c r="G160" s="690"/>
      <c r="H160" s="139" t="s">
        <v>23</v>
      </c>
      <c r="I160" s="525">
        <v>2002.6</v>
      </c>
      <c r="J160" s="53">
        <f>2473.3-264.1</f>
        <v>2209.1999999999998</v>
      </c>
      <c r="K160" s="308">
        <v>2597</v>
      </c>
      <c r="L160" s="53">
        <v>2726.8</v>
      </c>
      <c r="M160" s="697" t="s">
        <v>60</v>
      </c>
      <c r="N160" s="632">
        <v>17.399999999999999</v>
      </c>
      <c r="O160" s="633">
        <v>18.100000000000001</v>
      </c>
      <c r="P160" s="634">
        <v>18.899999999999999</v>
      </c>
      <c r="Q160" s="635">
        <v>19.600000000000001</v>
      </c>
    </row>
    <row r="161" spans="1:17" ht="15.75" customHeight="1" x14ac:dyDescent="0.25">
      <c r="A161" s="1705"/>
      <c r="B161" s="1706"/>
      <c r="C161" s="1745"/>
      <c r="D161" s="1990"/>
      <c r="E161" s="1746"/>
      <c r="F161" s="1756"/>
      <c r="G161" s="144"/>
      <c r="H161" s="99" t="s">
        <v>51</v>
      </c>
      <c r="I161" s="504">
        <v>110</v>
      </c>
      <c r="J161" s="46">
        <v>264.10000000000002</v>
      </c>
      <c r="K161" s="300"/>
      <c r="L161" s="46"/>
      <c r="M161" s="432" t="s">
        <v>45</v>
      </c>
      <c r="N161" s="580">
        <v>9.4</v>
      </c>
      <c r="O161" s="484">
        <v>9.6999999999999993</v>
      </c>
      <c r="P161" s="264">
        <v>10.1</v>
      </c>
      <c r="Q161" s="224">
        <v>10.5</v>
      </c>
    </row>
    <row r="162" spans="1:17" ht="16.5" customHeight="1" x14ac:dyDescent="0.25">
      <c r="A162" s="713"/>
      <c r="B162" s="714"/>
      <c r="C162" s="715"/>
      <c r="D162" s="195" t="s">
        <v>6</v>
      </c>
      <c r="E162" s="1712" t="s">
        <v>116</v>
      </c>
      <c r="F162" s="141"/>
      <c r="G162" s="1915" t="s">
        <v>217</v>
      </c>
      <c r="H162" s="100" t="s">
        <v>23</v>
      </c>
      <c r="I162" s="525">
        <f>64+35.1</f>
        <v>99.1</v>
      </c>
      <c r="J162" s="53">
        <v>38.4</v>
      </c>
      <c r="K162" s="308">
        <v>41.1</v>
      </c>
      <c r="L162" s="56">
        <v>44</v>
      </c>
      <c r="M162" s="708" t="s">
        <v>45</v>
      </c>
      <c r="N162" s="581">
        <v>0.5</v>
      </c>
      <c r="O162" s="392">
        <v>0.3</v>
      </c>
      <c r="P162" s="261">
        <v>0.3</v>
      </c>
      <c r="Q162" s="220">
        <v>0.3</v>
      </c>
    </row>
    <row r="163" spans="1:17" ht="26.25" customHeight="1" x14ac:dyDescent="0.25">
      <c r="A163" s="713"/>
      <c r="B163" s="714"/>
      <c r="C163" s="715"/>
      <c r="D163" s="195"/>
      <c r="E163" s="1713"/>
      <c r="F163" s="152"/>
      <c r="G163" s="1915"/>
      <c r="H163" s="100"/>
      <c r="I163" s="380"/>
      <c r="J163" s="47"/>
      <c r="K163" s="307"/>
      <c r="L163" s="47"/>
      <c r="M163" s="414" t="s">
        <v>246</v>
      </c>
      <c r="N163" s="533">
        <v>11</v>
      </c>
      <c r="O163" s="391"/>
      <c r="P163" s="265"/>
      <c r="Q163" s="225"/>
    </row>
    <row r="164" spans="1:17" ht="26.25" customHeight="1" x14ac:dyDescent="0.25">
      <c r="A164" s="713"/>
      <c r="B164" s="714"/>
      <c r="C164" s="715"/>
      <c r="D164" s="195"/>
      <c r="E164" s="1713"/>
      <c r="F164" s="152"/>
      <c r="G164" s="1915"/>
      <c r="H164" s="100" t="s">
        <v>23</v>
      </c>
      <c r="I164" s="380">
        <v>116.6</v>
      </c>
      <c r="J164" s="47">
        <v>147.80000000000001</v>
      </c>
      <c r="K164" s="307">
        <v>149.19999999999999</v>
      </c>
      <c r="L164" s="113">
        <v>150.6</v>
      </c>
      <c r="M164" s="433" t="s">
        <v>170</v>
      </c>
      <c r="N164" s="568">
        <v>1646</v>
      </c>
      <c r="O164" s="418">
        <v>1632</v>
      </c>
      <c r="P164" s="257">
        <v>1632</v>
      </c>
      <c r="Q164" s="178">
        <v>1632</v>
      </c>
    </row>
    <row r="165" spans="1:17" ht="39" customHeight="1" x14ac:dyDescent="0.25">
      <c r="A165" s="713"/>
      <c r="B165" s="721"/>
      <c r="C165" s="715"/>
      <c r="D165" s="195"/>
      <c r="E165" s="1713"/>
      <c r="F165" s="152"/>
      <c r="G165" s="1915"/>
      <c r="H165" s="100" t="s">
        <v>51</v>
      </c>
      <c r="I165" s="380"/>
      <c r="J165" s="47"/>
      <c r="K165" s="307"/>
      <c r="L165" s="47"/>
      <c r="M165" s="433" t="s">
        <v>171</v>
      </c>
      <c r="N165" s="539">
        <v>29.2</v>
      </c>
      <c r="O165" s="419">
        <v>17.5</v>
      </c>
      <c r="P165" s="251">
        <v>17.5</v>
      </c>
      <c r="Q165" s="214">
        <v>17.5</v>
      </c>
    </row>
    <row r="166" spans="1:17" ht="30" customHeight="1" x14ac:dyDescent="0.25">
      <c r="A166" s="713"/>
      <c r="B166" s="714"/>
      <c r="C166" s="715"/>
      <c r="D166" s="197"/>
      <c r="E166" s="1734"/>
      <c r="F166" s="733"/>
      <c r="G166" s="1916"/>
      <c r="H166" s="99" t="s">
        <v>23</v>
      </c>
      <c r="I166" s="504">
        <v>3.9</v>
      </c>
      <c r="J166" s="46">
        <v>3.9</v>
      </c>
      <c r="K166" s="300">
        <v>3.9</v>
      </c>
      <c r="L166" s="55">
        <v>3.9</v>
      </c>
      <c r="M166" s="434" t="s">
        <v>187</v>
      </c>
      <c r="N166" s="363">
        <v>3</v>
      </c>
      <c r="O166" s="230">
        <v>3</v>
      </c>
      <c r="P166" s="242">
        <v>3</v>
      </c>
      <c r="Q166" s="170"/>
    </row>
    <row r="167" spans="1:17" ht="14.25" customHeight="1" x14ac:dyDescent="0.25">
      <c r="A167" s="713"/>
      <c r="B167" s="714"/>
      <c r="C167" s="715"/>
      <c r="D167" s="196" t="s">
        <v>25</v>
      </c>
      <c r="E167" s="1712" t="s">
        <v>190</v>
      </c>
      <c r="F167" s="695"/>
      <c r="G167" s="730"/>
      <c r="H167" s="100"/>
      <c r="I167" s="582"/>
      <c r="J167" s="328"/>
      <c r="K167" s="329"/>
      <c r="L167" s="123"/>
      <c r="M167" s="726"/>
      <c r="N167" s="350"/>
      <c r="O167" s="201"/>
      <c r="P167" s="239"/>
      <c r="Q167" s="168"/>
    </row>
    <row r="168" spans="1:17" ht="14.25" customHeight="1" x14ac:dyDescent="0.25">
      <c r="A168" s="713"/>
      <c r="B168" s="714"/>
      <c r="C168" s="715"/>
      <c r="D168" s="1928" t="s">
        <v>188</v>
      </c>
      <c r="E168" s="1778"/>
      <c r="F168" s="695"/>
      <c r="G168" s="730"/>
      <c r="H168" s="100" t="s">
        <v>23</v>
      </c>
      <c r="I168" s="380">
        <v>21.1</v>
      </c>
      <c r="J168" s="47"/>
      <c r="K168" s="307"/>
      <c r="L168" s="47"/>
      <c r="M168" s="727" t="s">
        <v>154</v>
      </c>
      <c r="N168" s="483">
        <v>16</v>
      </c>
      <c r="O168" s="420"/>
      <c r="P168" s="266"/>
      <c r="Q168" s="226"/>
    </row>
    <row r="169" spans="1:17" ht="27" customHeight="1" x14ac:dyDescent="0.25">
      <c r="A169" s="713"/>
      <c r="B169" s="714"/>
      <c r="C169" s="715"/>
      <c r="D169" s="1928"/>
      <c r="E169" s="110" t="s">
        <v>340</v>
      </c>
      <c r="F169" s="695"/>
      <c r="G169" s="730"/>
      <c r="H169" s="100" t="s">
        <v>23</v>
      </c>
      <c r="I169" s="380">
        <v>64.8</v>
      </c>
      <c r="J169" s="47"/>
      <c r="K169" s="307"/>
      <c r="L169" s="47"/>
      <c r="M169" s="727" t="s">
        <v>148</v>
      </c>
      <c r="N169" s="483">
        <v>100</v>
      </c>
      <c r="O169" s="420"/>
      <c r="P169" s="266"/>
      <c r="Q169" s="226"/>
    </row>
    <row r="170" spans="1:17" ht="25.5" customHeight="1" x14ac:dyDescent="0.25">
      <c r="A170" s="713"/>
      <c r="B170" s="714"/>
      <c r="C170" s="715"/>
      <c r="D170" s="1928"/>
      <c r="E170" s="110" t="s">
        <v>341</v>
      </c>
      <c r="F170" s="695"/>
      <c r="G170" s="730"/>
      <c r="H170" s="100" t="s">
        <v>51</v>
      </c>
      <c r="I170" s="380">
        <v>2.9</v>
      </c>
      <c r="J170" s="47"/>
      <c r="K170" s="307"/>
      <c r="L170" s="47"/>
      <c r="M170" s="727"/>
      <c r="N170" s="483"/>
      <c r="O170" s="420"/>
      <c r="P170" s="266"/>
      <c r="Q170" s="226"/>
    </row>
    <row r="171" spans="1:17" ht="27" customHeight="1" x14ac:dyDescent="0.25">
      <c r="A171" s="713"/>
      <c r="B171" s="714"/>
      <c r="C171" s="715"/>
      <c r="D171" s="1928"/>
      <c r="E171" s="110" t="s">
        <v>280</v>
      </c>
      <c r="F171" s="695"/>
      <c r="G171" s="730"/>
      <c r="H171" s="100"/>
      <c r="I171" s="380"/>
      <c r="J171" s="47"/>
      <c r="K171" s="307"/>
      <c r="L171" s="47"/>
      <c r="M171" s="727"/>
      <c r="N171" s="351"/>
      <c r="O171" s="202"/>
      <c r="P171" s="240"/>
      <c r="Q171" s="149"/>
    </row>
    <row r="172" spans="1:17" ht="15.75" customHeight="1" x14ac:dyDescent="0.25">
      <c r="A172" s="713"/>
      <c r="B172" s="714"/>
      <c r="C172" s="715"/>
      <c r="D172" s="1928"/>
      <c r="E172" s="704" t="s">
        <v>342</v>
      </c>
      <c r="F172" s="695"/>
      <c r="G172" s="730"/>
      <c r="H172" s="100"/>
      <c r="I172" s="380"/>
      <c r="J172" s="47"/>
      <c r="K172" s="307"/>
      <c r="L172" s="47"/>
      <c r="M172" s="727"/>
      <c r="N172" s="351"/>
      <c r="O172" s="202"/>
      <c r="P172" s="240"/>
      <c r="Q172" s="149"/>
    </row>
    <row r="173" spans="1:17" ht="16.5" customHeight="1" x14ac:dyDescent="0.25">
      <c r="A173" s="713"/>
      <c r="B173" s="714"/>
      <c r="C173" s="715"/>
      <c r="D173" s="1928"/>
      <c r="E173" s="704" t="s">
        <v>343</v>
      </c>
      <c r="F173" s="695"/>
      <c r="G173" s="730"/>
      <c r="H173" s="100"/>
      <c r="I173" s="380"/>
      <c r="J173" s="47"/>
      <c r="K173" s="307"/>
      <c r="L173" s="47"/>
      <c r="M173" s="727"/>
      <c r="N173" s="351"/>
      <c r="O173" s="202"/>
      <c r="P173" s="240"/>
      <c r="Q173" s="149"/>
    </row>
    <row r="174" spans="1:17" ht="30" customHeight="1" x14ac:dyDescent="0.25">
      <c r="A174" s="713"/>
      <c r="B174" s="714"/>
      <c r="C174" s="715"/>
      <c r="D174" s="1928"/>
      <c r="E174" s="704" t="s">
        <v>344</v>
      </c>
      <c r="F174" s="695"/>
      <c r="G174" s="730"/>
      <c r="H174" s="100"/>
      <c r="I174" s="380"/>
      <c r="J174" s="47"/>
      <c r="K174" s="307"/>
      <c r="L174" s="47"/>
      <c r="M174" s="727"/>
      <c r="N174" s="351"/>
      <c r="O174" s="202"/>
      <c r="P174" s="240"/>
      <c r="Q174" s="149"/>
    </row>
    <row r="175" spans="1:17" ht="29.25" customHeight="1" x14ac:dyDescent="0.25">
      <c r="A175" s="713"/>
      <c r="B175" s="714"/>
      <c r="C175" s="715"/>
      <c r="D175" s="1929"/>
      <c r="E175" s="132" t="s">
        <v>345</v>
      </c>
      <c r="F175" s="733"/>
      <c r="G175" s="734"/>
      <c r="H175" s="99"/>
      <c r="I175" s="504"/>
      <c r="J175" s="46"/>
      <c r="K175" s="300"/>
      <c r="L175" s="46"/>
      <c r="M175" s="434"/>
      <c r="N175" s="363"/>
      <c r="O175" s="230"/>
      <c r="P175" s="242"/>
      <c r="Q175" s="170"/>
    </row>
    <row r="176" spans="1:17" ht="20.149999999999999" customHeight="1" x14ac:dyDescent="0.25">
      <c r="A176" s="21"/>
      <c r="B176" s="714"/>
      <c r="C176" s="85"/>
      <c r="D176" s="1920" t="s">
        <v>269</v>
      </c>
      <c r="E176" s="773" t="s">
        <v>339</v>
      </c>
      <c r="F176" s="583"/>
      <c r="G176" s="584"/>
      <c r="H176" s="100" t="s">
        <v>23</v>
      </c>
      <c r="I176" s="380"/>
      <c r="J176" s="47">
        <v>30</v>
      </c>
      <c r="K176" s="308"/>
      <c r="L176" s="47"/>
      <c r="M176" s="778" t="s">
        <v>148</v>
      </c>
      <c r="N176" s="399"/>
      <c r="O176" s="421">
        <v>100</v>
      </c>
      <c r="P176" s="275"/>
      <c r="Q176" s="149"/>
    </row>
    <row r="177" spans="1:17" ht="20.149999999999999" customHeight="1" x14ac:dyDescent="0.25">
      <c r="A177" s="21"/>
      <c r="B177" s="777"/>
      <c r="C177" s="85"/>
      <c r="D177" s="1921"/>
      <c r="E177" s="774"/>
      <c r="F177" s="780"/>
      <c r="G177" s="776"/>
      <c r="H177" s="100" t="s">
        <v>51</v>
      </c>
      <c r="I177" s="380"/>
      <c r="J177" s="47">
        <v>13.5</v>
      </c>
      <c r="K177" s="307"/>
      <c r="L177" s="47"/>
      <c r="M177" s="434" t="s">
        <v>154</v>
      </c>
      <c r="N177" s="621"/>
      <c r="O177" s="276">
        <v>4</v>
      </c>
      <c r="P177" s="276"/>
      <c r="Q177" s="579"/>
    </row>
    <row r="178" spans="1:17" ht="26.25" customHeight="1" x14ac:dyDescent="0.25">
      <c r="A178" s="21"/>
      <c r="B178" s="714"/>
      <c r="C178" s="85"/>
      <c r="D178" s="1920" t="s">
        <v>338</v>
      </c>
      <c r="E178" s="828" t="s">
        <v>301</v>
      </c>
      <c r="F178" s="117"/>
      <c r="G178" s="584"/>
      <c r="H178" s="115" t="s">
        <v>23</v>
      </c>
      <c r="I178" s="525"/>
      <c r="J178" s="308"/>
      <c r="K178" s="308">
        <v>145.4</v>
      </c>
      <c r="L178" s="578"/>
      <c r="M178" s="726" t="s">
        <v>148</v>
      </c>
      <c r="N178" s="350"/>
      <c r="O178" s="201"/>
      <c r="P178" s="239">
        <v>100</v>
      </c>
      <c r="Q178" s="60"/>
    </row>
    <row r="179" spans="1:17" ht="17.25" customHeight="1" x14ac:dyDescent="0.3">
      <c r="A179" s="21"/>
      <c r="B179" s="714"/>
      <c r="C179" s="85"/>
      <c r="D179" s="1987"/>
      <c r="E179" s="110" t="s">
        <v>302</v>
      </c>
      <c r="F179" s="117"/>
      <c r="G179" s="730"/>
      <c r="H179" s="718" t="s">
        <v>23</v>
      </c>
      <c r="I179" s="380"/>
      <c r="J179" s="47"/>
      <c r="K179" s="307">
        <v>8.6</v>
      </c>
      <c r="L179" s="47"/>
      <c r="M179" s="675" t="s">
        <v>154</v>
      </c>
      <c r="N179" s="351"/>
      <c r="O179" s="202"/>
      <c r="P179" s="240">
        <v>8</v>
      </c>
      <c r="Q179" s="149"/>
    </row>
    <row r="180" spans="1:17" ht="29.25" customHeight="1" x14ac:dyDescent="0.25">
      <c r="A180" s="21"/>
      <c r="B180" s="714"/>
      <c r="C180" s="85"/>
      <c r="D180" s="1987"/>
      <c r="E180" s="110" t="s">
        <v>303</v>
      </c>
      <c r="F180" s="117"/>
      <c r="G180" s="730"/>
      <c r="H180" s="100"/>
      <c r="I180" s="380"/>
      <c r="J180" s="47"/>
      <c r="K180" s="307"/>
      <c r="L180" s="47"/>
      <c r="M180" s="727"/>
      <c r="N180" s="351"/>
      <c r="O180" s="202"/>
      <c r="P180" s="240"/>
      <c r="Q180" s="149"/>
    </row>
    <row r="181" spans="1:17" ht="17.25" customHeight="1" x14ac:dyDescent="0.25">
      <c r="A181" s="21"/>
      <c r="B181" s="714"/>
      <c r="C181" s="85"/>
      <c r="D181" s="1987"/>
      <c r="E181" s="110" t="s">
        <v>304</v>
      </c>
      <c r="F181" s="117"/>
      <c r="G181" s="730"/>
      <c r="H181" s="100"/>
      <c r="I181" s="380"/>
      <c r="J181" s="47"/>
      <c r="K181" s="307"/>
      <c r="L181" s="47"/>
      <c r="M181" s="727"/>
      <c r="N181" s="351"/>
      <c r="O181" s="202"/>
      <c r="P181" s="240"/>
      <c r="Q181" s="149"/>
    </row>
    <row r="182" spans="1:17" ht="17.25" customHeight="1" x14ac:dyDescent="0.25">
      <c r="A182" s="21"/>
      <c r="B182" s="714"/>
      <c r="C182" s="85"/>
      <c r="D182" s="1987"/>
      <c r="E182" s="110" t="s">
        <v>305</v>
      </c>
      <c r="F182" s="117"/>
      <c r="G182" s="730"/>
      <c r="H182" s="100"/>
      <c r="I182" s="380"/>
      <c r="J182" s="47"/>
      <c r="K182" s="307"/>
      <c r="L182" s="47"/>
      <c r="M182" s="727"/>
      <c r="N182" s="351"/>
      <c r="O182" s="202"/>
      <c r="P182" s="240"/>
      <c r="Q182" s="149"/>
    </row>
    <row r="183" spans="1:17" ht="17.25" customHeight="1" x14ac:dyDescent="0.25">
      <c r="A183" s="21"/>
      <c r="B183" s="714"/>
      <c r="C183" s="85"/>
      <c r="D183" s="1987"/>
      <c r="E183" s="110" t="s">
        <v>306</v>
      </c>
      <c r="F183" s="117"/>
      <c r="G183" s="730"/>
      <c r="H183" s="100"/>
      <c r="I183" s="380"/>
      <c r="J183" s="47"/>
      <c r="K183" s="307"/>
      <c r="L183" s="47"/>
      <c r="M183" s="727"/>
      <c r="N183" s="351"/>
      <c r="O183" s="202"/>
      <c r="P183" s="240"/>
      <c r="Q183" s="149"/>
    </row>
    <row r="184" spans="1:17" ht="17.899999999999999" customHeight="1" x14ac:dyDescent="0.25">
      <c r="A184" s="21"/>
      <c r="B184" s="714"/>
      <c r="C184" s="85"/>
      <c r="D184" s="1987"/>
      <c r="E184" s="676" t="s">
        <v>296</v>
      </c>
      <c r="F184" s="117"/>
      <c r="G184" s="730"/>
      <c r="H184" s="100"/>
      <c r="I184" s="380"/>
      <c r="J184" s="47"/>
      <c r="K184" s="307"/>
      <c r="L184" s="47"/>
      <c r="M184" s="727"/>
      <c r="N184" s="351"/>
      <c r="O184" s="202"/>
      <c r="P184" s="240"/>
      <c r="Q184" s="149"/>
    </row>
    <row r="185" spans="1:17" ht="17.899999999999999" customHeight="1" x14ac:dyDescent="0.25">
      <c r="A185" s="21"/>
      <c r="B185" s="714"/>
      <c r="C185" s="85"/>
      <c r="D185" s="1987"/>
      <c r="E185" s="677" t="s">
        <v>297</v>
      </c>
      <c r="F185" s="117"/>
      <c r="G185" s="730"/>
      <c r="H185" s="100"/>
      <c r="I185" s="380"/>
      <c r="J185" s="47"/>
      <c r="K185" s="307"/>
      <c r="L185" s="47"/>
      <c r="M185" s="727"/>
      <c r="N185" s="351"/>
      <c r="O185" s="202"/>
      <c r="P185" s="240"/>
      <c r="Q185" s="149"/>
    </row>
    <row r="186" spans="1:17" ht="17.899999999999999" customHeight="1" x14ac:dyDescent="0.25">
      <c r="A186" s="21"/>
      <c r="B186" s="714"/>
      <c r="C186" s="85"/>
      <c r="D186" s="1987"/>
      <c r="E186" s="678" t="s">
        <v>268</v>
      </c>
      <c r="F186" s="117"/>
      <c r="G186" s="730"/>
      <c r="H186" s="100"/>
      <c r="I186" s="380"/>
      <c r="J186" s="47"/>
      <c r="K186" s="307"/>
      <c r="L186" s="47"/>
      <c r="M186" s="727"/>
      <c r="N186" s="351"/>
      <c r="O186" s="202"/>
      <c r="P186" s="240"/>
      <c r="Q186" s="149"/>
    </row>
    <row r="187" spans="1:17" ht="28.4" customHeight="1" x14ac:dyDescent="0.25">
      <c r="A187" s="21"/>
      <c r="B187" s="714"/>
      <c r="C187" s="85"/>
      <c r="D187" s="1987"/>
      <c r="E187" s="678" t="s">
        <v>298</v>
      </c>
      <c r="F187" s="117"/>
      <c r="G187" s="730"/>
      <c r="H187" s="100"/>
      <c r="I187" s="380"/>
      <c r="J187" s="47"/>
      <c r="K187" s="307"/>
      <c r="L187" s="47"/>
      <c r="M187" s="727"/>
      <c r="N187" s="351"/>
      <c r="O187" s="202"/>
      <c r="P187" s="240"/>
      <c r="Q187" s="149"/>
    </row>
    <row r="188" spans="1:17" ht="28.4" customHeight="1" x14ac:dyDescent="0.25">
      <c r="A188" s="21"/>
      <c r="B188" s="714"/>
      <c r="C188" s="85"/>
      <c r="D188" s="1987"/>
      <c r="E188" s="676" t="s">
        <v>299</v>
      </c>
      <c r="F188" s="117"/>
      <c r="G188" s="730"/>
      <c r="H188" s="100"/>
      <c r="I188" s="380"/>
      <c r="J188" s="47"/>
      <c r="K188" s="307"/>
      <c r="L188" s="47"/>
      <c r="M188" s="727"/>
      <c r="N188" s="351"/>
      <c r="O188" s="202"/>
      <c r="P188" s="240"/>
      <c r="Q188" s="149"/>
    </row>
    <row r="189" spans="1:17" ht="28.4" customHeight="1" x14ac:dyDescent="0.25">
      <c r="A189" s="21"/>
      <c r="B189" s="714"/>
      <c r="C189" s="85"/>
      <c r="D189" s="1921"/>
      <c r="E189" s="679" t="s">
        <v>329</v>
      </c>
      <c r="F189" s="646"/>
      <c r="G189" s="730"/>
      <c r="H189" s="728"/>
      <c r="I189" s="504"/>
      <c r="J189" s="300"/>
      <c r="K189" s="300"/>
      <c r="L189" s="382"/>
      <c r="M189" s="727"/>
      <c r="N189" s="363"/>
      <c r="O189" s="242"/>
      <c r="P189" s="242"/>
      <c r="Q189" s="149"/>
    </row>
    <row r="190" spans="1:17" ht="17.25" customHeight="1" x14ac:dyDescent="0.25">
      <c r="A190" s="21"/>
      <c r="B190" s="714"/>
      <c r="C190" s="85"/>
      <c r="D190" s="1922" t="s">
        <v>312</v>
      </c>
      <c r="E190" s="355" t="s">
        <v>307</v>
      </c>
      <c r="F190" s="117"/>
      <c r="G190" s="584"/>
      <c r="H190" s="100" t="s">
        <v>23</v>
      </c>
      <c r="I190" s="380"/>
      <c r="J190" s="47"/>
      <c r="K190" s="307"/>
      <c r="L190" s="47">
        <v>161</v>
      </c>
      <c r="M190" s="726" t="s">
        <v>148</v>
      </c>
      <c r="N190" s="351"/>
      <c r="O190" s="202"/>
      <c r="P190" s="240"/>
      <c r="Q190" s="60">
        <v>100</v>
      </c>
    </row>
    <row r="191" spans="1:17" ht="26.9" customHeight="1" x14ac:dyDescent="0.25">
      <c r="A191" s="21"/>
      <c r="B191" s="714"/>
      <c r="C191" s="85"/>
      <c r="D191" s="1923"/>
      <c r="E191" s="110" t="s">
        <v>308</v>
      </c>
      <c r="F191" s="117"/>
      <c r="G191" s="730"/>
      <c r="H191" s="100"/>
      <c r="I191" s="380"/>
      <c r="J191" s="47"/>
      <c r="K191" s="307"/>
      <c r="L191" s="47"/>
      <c r="M191" s="727"/>
      <c r="N191" s="351"/>
      <c r="O191" s="202"/>
      <c r="P191" s="240"/>
      <c r="Q191" s="149"/>
    </row>
    <row r="192" spans="1:17" ht="26.9" customHeight="1" x14ac:dyDescent="0.25">
      <c r="A192" s="21"/>
      <c r="B192" s="714"/>
      <c r="C192" s="85"/>
      <c r="D192" s="1923"/>
      <c r="E192" s="110" t="s">
        <v>309</v>
      </c>
      <c r="F192" s="117"/>
      <c r="G192" s="730"/>
      <c r="H192" s="100"/>
      <c r="I192" s="380"/>
      <c r="J192" s="47"/>
      <c r="K192" s="307"/>
      <c r="L192" s="47"/>
      <c r="M192" s="727"/>
      <c r="N192" s="351"/>
      <c r="O192" s="202"/>
      <c r="P192" s="240"/>
      <c r="Q192" s="149"/>
    </row>
    <row r="193" spans="1:17" ht="26.9" customHeight="1" x14ac:dyDescent="0.25">
      <c r="A193" s="21"/>
      <c r="B193" s="714"/>
      <c r="C193" s="85"/>
      <c r="D193" s="1923"/>
      <c r="E193" s="110" t="s">
        <v>314</v>
      </c>
      <c r="F193" s="117"/>
      <c r="G193" s="730"/>
      <c r="H193" s="100"/>
      <c r="I193" s="380"/>
      <c r="J193" s="47"/>
      <c r="K193" s="307"/>
      <c r="L193" s="47"/>
      <c r="M193" s="727"/>
      <c r="N193" s="351"/>
      <c r="O193" s="202"/>
      <c r="P193" s="240"/>
      <c r="Q193" s="149"/>
    </row>
    <row r="194" spans="1:17" ht="26.9" customHeight="1" x14ac:dyDescent="0.25">
      <c r="A194" s="21"/>
      <c r="B194" s="714"/>
      <c r="C194" s="85"/>
      <c r="D194" s="1923"/>
      <c r="E194" s="110" t="s">
        <v>310</v>
      </c>
      <c r="F194" s="117"/>
      <c r="G194" s="730"/>
      <c r="H194" s="100"/>
      <c r="I194" s="380"/>
      <c r="J194" s="47"/>
      <c r="K194" s="307"/>
      <c r="L194" s="47"/>
      <c r="M194" s="727"/>
      <c r="N194" s="351"/>
      <c r="O194" s="202"/>
      <c r="P194" s="240"/>
      <c r="Q194" s="149"/>
    </row>
    <row r="195" spans="1:17" ht="26.9" customHeight="1" x14ac:dyDescent="0.25">
      <c r="A195" s="21"/>
      <c r="B195" s="714"/>
      <c r="C195" s="85"/>
      <c r="D195" s="1923"/>
      <c r="E195" s="110" t="s">
        <v>313</v>
      </c>
      <c r="F195" s="117"/>
      <c r="G195" s="730"/>
      <c r="H195" s="100"/>
      <c r="I195" s="380"/>
      <c r="J195" s="47"/>
      <c r="K195" s="307"/>
      <c r="L195" s="47"/>
      <c r="M195" s="727"/>
      <c r="N195" s="351"/>
      <c r="O195" s="202"/>
      <c r="P195" s="240"/>
      <c r="Q195" s="149"/>
    </row>
    <row r="196" spans="1:17" ht="15" customHeight="1" x14ac:dyDescent="0.25">
      <c r="A196" s="21"/>
      <c r="B196" s="714"/>
      <c r="C196" s="85"/>
      <c r="D196" s="1923"/>
      <c r="E196" s="110" t="s">
        <v>311</v>
      </c>
      <c r="F196" s="117"/>
      <c r="G196" s="730"/>
      <c r="H196" s="100"/>
      <c r="I196" s="380"/>
      <c r="J196" s="47"/>
      <c r="K196" s="307"/>
      <c r="L196" s="47"/>
      <c r="M196" s="727"/>
      <c r="N196" s="351"/>
      <c r="O196" s="202"/>
      <c r="P196" s="240"/>
      <c r="Q196" s="149"/>
    </row>
    <row r="197" spans="1:17" ht="26.9" customHeight="1" x14ac:dyDescent="0.25">
      <c r="A197" s="21"/>
      <c r="B197" s="714"/>
      <c r="C197" s="85"/>
      <c r="D197" s="1923"/>
      <c r="E197" s="110" t="s">
        <v>330</v>
      </c>
      <c r="F197" s="117"/>
      <c r="G197" s="730"/>
      <c r="H197" s="100"/>
      <c r="I197" s="380"/>
      <c r="J197" s="47"/>
      <c r="K197" s="307"/>
      <c r="L197" s="47"/>
      <c r="M197" s="727"/>
      <c r="N197" s="351"/>
      <c r="O197" s="202"/>
      <c r="P197" s="240"/>
      <c r="Q197" s="149"/>
    </row>
    <row r="198" spans="1:17" ht="15.65" customHeight="1" x14ac:dyDescent="0.25">
      <c r="A198" s="21"/>
      <c r="B198" s="714"/>
      <c r="C198" s="85"/>
      <c r="D198" s="1923"/>
      <c r="E198" s="110" t="s">
        <v>300</v>
      </c>
      <c r="F198" s="117"/>
      <c r="G198" s="730"/>
      <c r="H198" s="100"/>
      <c r="I198" s="380"/>
      <c r="J198" s="47"/>
      <c r="K198" s="307"/>
      <c r="L198" s="47"/>
      <c r="M198" s="727"/>
      <c r="N198" s="351"/>
      <c r="O198" s="202"/>
      <c r="P198" s="240"/>
      <c r="Q198" s="149"/>
    </row>
    <row r="199" spans="1:17" ht="27" customHeight="1" x14ac:dyDescent="0.25">
      <c r="A199" s="21"/>
      <c r="B199" s="714"/>
      <c r="C199" s="85"/>
      <c r="D199" s="1924"/>
      <c r="E199" s="110" t="s">
        <v>331</v>
      </c>
      <c r="F199" s="117"/>
      <c r="G199" s="730"/>
      <c r="H199" s="100"/>
      <c r="I199" s="380"/>
      <c r="J199" s="47"/>
      <c r="K199" s="307"/>
      <c r="L199" s="47"/>
      <c r="M199" s="727"/>
      <c r="N199" s="351"/>
      <c r="O199" s="202"/>
      <c r="P199" s="240"/>
      <c r="Q199" s="149"/>
    </row>
    <row r="200" spans="1:17" ht="18" customHeight="1" thickBot="1" x14ac:dyDescent="0.3">
      <c r="A200" s="22"/>
      <c r="B200" s="156"/>
      <c r="C200" s="80"/>
      <c r="D200" s="83"/>
      <c r="E200" s="84"/>
      <c r="F200" s="356"/>
      <c r="G200" s="357"/>
      <c r="H200" s="358" t="s">
        <v>5</v>
      </c>
      <c r="I200" s="511">
        <f>SUM(I160:I199)</f>
        <v>2421</v>
      </c>
      <c r="J200" s="513">
        <f>SUM(J160:J199)</f>
        <v>2706.9</v>
      </c>
      <c r="K200" s="514">
        <f>SUM(K160:K199)</f>
        <v>2945.2</v>
      </c>
      <c r="L200" s="510">
        <f>SUM(L160:L199)</f>
        <v>3086.3</v>
      </c>
      <c r="M200" s="359"/>
      <c r="N200" s="361"/>
      <c r="O200" s="361"/>
      <c r="P200" s="361"/>
      <c r="Q200" s="360"/>
    </row>
    <row r="201" spans="1:17" ht="14.25" customHeight="1" thickBot="1" x14ac:dyDescent="0.3">
      <c r="A201" s="23" t="s">
        <v>4</v>
      </c>
      <c r="B201" s="37" t="s">
        <v>4</v>
      </c>
      <c r="C201" s="1700" t="s">
        <v>7</v>
      </c>
      <c r="D201" s="1701"/>
      <c r="E201" s="1701"/>
      <c r="F201" s="1701"/>
      <c r="G201" s="1701"/>
      <c r="H201" s="1701"/>
      <c r="I201" s="512">
        <f>I200+I157+I139</f>
        <v>19622.400000000001</v>
      </c>
      <c r="J201" s="342">
        <f>J200+J157+J139</f>
        <v>14787.3</v>
      </c>
      <c r="K201" s="310">
        <f>K200+K157+K139</f>
        <v>14759.5</v>
      </c>
      <c r="L201" s="515">
        <f>L200+L157+L139</f>
        <v>18046.7</v>
      </c>
      <c r="M201" s="70"/>
      <c r="N201" s="70"/>
      <c r="O201" s="70"/>
      <c r="P201" s="70"/>
      <c r="Q201" s="65"/>
    </row>
    <row r="202" spans="1:17" ht="17.25" customHeight="1" thickBot="1" x14ac:dyDescent="0.3">
      <c r="A202" s="23" t="s">
        <v>4</v>
      </c>
      <c r="B202" s="37" t="s">
        <v>6</v>
      </c>
      <c r="C202" s="1730" t="s">
        <v>40</v>
      </c>
      <c r="D202" s="1731"/>
      <c r="E202" s="1731"/>
      <c r="F202" s="1731"/>
      <c r="G202" s="1731"/>
      <c r="H202" s="1731"/>
      <c r="I202" s="1731"/>
      <c r="J202" s="1731"/>
      <c r="K202" s="1731"/>
      <c r="L202" s="1731"/>
      <c r="M202" s="1731"/>
      <c r="N202" s="1731"/>
      <c r="O202" s="1731"/>
      <c r="P202" s="1731"/>
      <c r="Q202" s="1732"/>
    </row>
    <row r="203" spans="1:17" ht="27.75" customHeight="1" x14ac:dyDescent="0.25">
      <c r="A203" s="39" t="s">
        <v>4</v>
      </c>
      <c r="B203" s="49" t="s">
        <v>6</v>
      </c>
      <c r="C203" s="90" t="s">
        <v>4</v>
      </c>
      <c r="D203" s="63"/>
      <c r="E203" s="64" t="s">
        <v>63</v>
      </c>
      <c r="F203" s="368"/>
      <c r="G203" s="192"/>
      <c r="H203" s="30"/>
      <c r="I203" s="518"/>
      <c r="J203" s="516"/>
      <c r="K203" s="322"/>
      <c r="L203" s="320"/>
      <c r="M203" s="450"/>
      <c r="N203" s="752"/>
      <c r="O203" s="476"/>
      <c r="P203" s="274"/>
      <c r="Q203" s="268"/>
    </row>
    <row r="204" spans="1:17" ht="26.25" customHeight="1" x14ac:dyDescent="0.25">
      <c r="A204" s="40"/>
      <c r="B204" s="69"/>
      <c r="C204" s="85"/>
      <c r="D204" s="395" t="s">
        <v>4</v>
      </c>
      <c r="E204" s="1675" t="s">
        <v>46</v>
      </c>
      <c r="F204" s="117"/>
      <c r="G204" s="1917" t="s">
        <v>217</v>
      </c>
      <c r="H204" s="32" t="s">
        <v>23</v>
      </c>
      <c r="I204" s="585">
        <v>14</v>
      </c>
      <c r="J204" s="517">
        <v>14.6</v>
      </c>
      <c r="K204" s="323">
        <v>14.6</v>
      </c>
      <c r="L204" s="321">
        <v>14.6</v>
      </c>
      <c r="M204" s="726" t="s">
        <v>92</v>
      </c>
      <c r="N204" s="617">
        <v>270</v>
      </c>
      <c r="O204" s="618">
        <v>310</v>
      </c>
      <c r="P204" s="619">
        <v>310</v>
      </c>
      <c r="Q204" s="620">
        <v>310</v>
      </c>
    </row>
    <row r="205" spans="1:17" ht="26.25" customHeight="1" x14ac:dyDescent="0.25">
      <c r="A205" s="40"/>
      <c r="B205" s="69"/>
      <c r="C205" s="85"/>
      <c r="D205" s="35"/>
      <c r="E205" s="1675"/>
      <c r="F205" s="117"/>
      <c r="G205" s="1917"/>
      <c r="H205" s="33"/>
      <c r="I205" s="380"/>
      <c r="J205" s="47"/>
      <c r="K205" s="307"/>
      <c r="L205" s="113"/>
      <c r="M205" s="724" t="s">
        <v>93</v>
      </c>
      <c r="N205" s="586">
        <v>290</v>
      </c>
      <c r="O205" s="477">
        <v>290</v>
      </c>
      <c r="P205" s="400">
        <v>290</v>
      </c>
      <c r="Q205" s="401">
        <v>290</v>
      </c>
    </row>
    <row r="206" spans="1:17" ht="26.25" customHeight="1" x14ac:dyDescent="0.25">
      <c r="A206" s="40"/>
      <c r="B206" s="69"/>
      <c r="C206" s="715"/>
      <c r="D206" s="52"/>
      <c r="E206" s="1684"/>
      <c r="F206" s="367"/>
      <c r="G206" s="1917"/>
      <c r="H206" s="34"/>
      <c r="I206" s="504"/>
      <c r="J206" s="46"/>
      <c r="K206" s="300"/>
      <c r="L206" s="55"/>
      <c r="M206" s="432" t="s">
        <v>67</v>
      </c>
      <c r="N206" s="621">
        <v>20</v>
      </c>
      <c r="O206" s="448">
        <v>27</v>
      </c>
      <c r="P206" s="276">
        <v>27</v>
      </c>
      <c r="Q206" s="622">
        <v>27</v>
      </c>
    </row>
    <row r="207" spans="1:17" ht="14.25" customHeight="1" x14ac:dyDescent="0.25">
      <c r="A207" s="40"/>
      <c r="B207" s="69"/>
      <c r="C207" s="85"/>
      <c r="D207" s="394" t="s">
        <v>6</v>
      </c>
      <c r="E207" s="1674" t="s">
        <v>229</v>
      </c>
      <c r="F207" s="117"/>
      <c r="G207" s="119"/>
      <c r="H207" s="36" t="s">
        <v>23</v>
      </c>
      <c r="I207" s="525">
        <v>378.5</v>
      </c>
      <c r="J207" s="53">
        <v>498.6</v>
      </c>
      <c r="K207" s="308">
        <v>483.5</v>
      </c>
      <c r="L207" s="56">
        <v>329.5</v>
      </c>
      <c r="M207" s="1872" t="s">
        <v>80</v>
      </c>
      <c r="N207" s="399">
        <v>18</v>
      </c>
      <c r="O207" s="421">
        <v>18</v>
      </c>
      <c r="P207" s="275">
        <v>18</v>
      </c>
      <c r="Q207" s="269">
        <v>18</v>
      </c>
    </row>
    <row r="208" spans="1:17" ht="16.5" customHeight="1" x14ac:dyDescent="0.25">
      <c r="A208" s="40"/>
      <c r="B208" s="69"/>
      <c r="C208" s="85"/>
      <c r="D208" s="191"/>
      <c r="E208" s="1714"/>
      <c r="F208" s="117"/>
      <c r="G208" s="119"/>
      <c r="H208" s="19"/>
      <c r="I208" s="380"/>
      <c r="J208" s="505"/>
      <c r="K208" s="307"/>
      <c r="L208" s="113"/>
      <c r="M208" s="1860"/>
      <c r="N208" s="480"/>
      <c r="O208" s="447"/>
      <c r="P208" s="277"/>
      <c r="Q208" s="270"/>
    </row>
    <row r="209" spans="1:17" ht="18" customHeight="1" x14ac:dyDescent="0.25">
      <c r="A209" s="40"/>
      <c r="B209" s="69"/>
      <c r="C209" s="85"/>
      <c r="D209" s="191"/>
      <c r="E209" s="1714"/>
      <c r="F209" s="117"/>
      <c r="G209" s="119"/>
      <c r="H209" s="19" t="s">
        <v>51</v>
      </c>
      <c r="I209" s="380">
        <v>140</v>
      </c>
      <c r="J209" s="47">
        <f>18.6+43.7</f>
        <v>62.3</v>
      </c>
      <c r="K209" s="307"/>
      <c r="L209" s="381"/>
      <c r="M209" s="1873" t="s">
        <v>150</v>
      </c>
      <c r="N209" s="369">
        <v>33</v>
      </c>
      <c r="O209" s="478">
        <v>66</v>
      </c>
      <c r="P209" s="278">
        <v>95</v>
      </c>
      <c r="Q209" s="271">
        <v>100</v>
      </c>
    </row>
    <row r="210" spans="1:17" ht="12" customHeight="1" x14ac:dyDescent="0.25">
      <c r="A210" s="40"/>
      <c r="B210" s="69"/>
      <c r="C210" s="85"/>
      <c r="D210" s="191"/>
      <c r="E210" s="1714"/>
      <c r="F210" s="117"/>
      <c r="G210" s="119"/>
      <c r="H210" s="19"/>
      <c r="I210" s="380"/>
      <c r="J210" s="47"/>
      <c r="K210" s="307"/>
      <c r="L210" s="113"/>
      <c r="M210" s="1874"/>
      <c r="N210" s="481"/>
      <c r="O210" s="446"/>
      <c r="P210" s="279"/>
      <c r="Q210" s="272"/>
    </row>
    <row r="211" spans="1:17" ht="27.75" customHeight="1" x14ac:dyDescent="0.25">
      <c r="A211" s="40"/>
      <c r="B211" s="69"/>
      <c r="C211" s="85"/>
      <c r="D211" s="191"/>
      <c r="E211" s="1714"/>
      <c r="F211" s="117"/>
      <c r="G211" s="119"/>
      <c r="H211" s="33"/>
      <c r="I211" s="380"/>
      <c r="J211" s="47"/>
      <c r="K211" s="307"/>
      <c r="L211" s="47"/>
      <c r="M211" s="724" t="s">
        <v>197</v>
      </c>
      <c r="N211" s="369"/>
      <c r="O211" s="444">
        <v>200</v>
      </c>
      <c r="P211" s="278"/>
      <c r="Q211" s="271"/>
    </row>
    <row r="212" spans="1:17" ht="26.25" customHeight="1" x14ac:dyDescent="0.25">
      <c r="A212" s="40"/>
      <c r="B212" s="69"/>
      <c r="C212" s="85"/>
      <c r="D212" s="35"/>
      <c r="E212" s="725"/>
      <c r="F212" s="117"/>
      <c r="G212" s="119"/>
      <c r="H212" s="33"/>
      <c r="I212" s="380"/>
      <c r="J212" s="47"/>
      <c r="K212" s="307"/>
      <c r="L212" s="113"/>
      <c r="M212" s="433" t="s">
        <v>149</v>
      </c>
      <c r="N212" s="599">
        <v>5.7</v>
      </c>
      <c r="O212" s="445">
        <v>6.2</v>
      </c>
      <c r="P212" s="280">
        <v>6.2</v>
      </c>
      <c r="Q212" s="273">
        <v>6.2</v>
      </c>
    </row>
    <row r="213" spans="1:17" ht="16.5" customHeight="1" x14ac:dyDescent="0.25">
      <c r="A213" s="40"/>
      <c r="B213" s="69"/>
      <c r="C213" s="85"/>
      <c r="D213" s="35"/>
      <c r="E213" s="725"/>
      <c r="F213" s="117"/>
      <c r="G213" s="119"/>
      <c r="H213" s="33"/>
      <c r="I213" s="380"/>
      <c r="J213" s="47"/>
      <c r="K213" s="307"/>
      <c r="L213" s="113"/>
      <c r="M213" s="724" t="s">
        <v>211</v>
      </c>
      <c r="N213" s="600">
        <v>13</v>
      </c>
      <c r="O213" s="280"/>
      <c r="P213" s="602"/>
      <c r="Q213" s="604"/>
    </row>
    <row r="214" spans="1:17" ht="31.5" customHeight="1" x14ac:dyDescent="0.25">
      <c r="A214" s="40"/>
      <c r="B214" s="69"/>
      <c r="C214" s="85"/>
      <c r="D214" s="402"/>
      <c r="E214" s="725"/>
      <c r="F214" s="709"/>
      <c r="G214" s="119"/>
      <c r="H214" s="33"/>
      <c r="I214" s="380"/>
      <c r="J214" s="505"/>
      <c r="K214" s="307"/>
      <c r="L214" s="381"/>
      <c r="M214" s="433" t="s">
        <v>270</v>
      </c>
      <c r="N214" s="370"/>
      <c r="O214" s="601">
        <v>100</v>
      </c>
      <c r="P214" s="366"/>
      <c r="Q214" s="603"/>
    </row>
    <row r="215" spans="1:17" ht="20.9" customHeight="1" x14ac:dyDescent="0.25">
      <c r="A215" s="40"/>
      <c r="B215" s="69"/>
      <c r="C215" s="85"/>
      <c r="D215" s="35"/>
      <c r="E215" s="725"/>
      <c r="F215" s="117"/>
      <c r="G215" s="119"/>
      <c r="H215" s="33"/>
      <c r="I215" s="380"/>
      <c r="J215" s="47"/>
      <c r="K215" s="307"/>
      <c r="L215" s="381"/>
      <c r="M215" s="4" t="s">
        <v>316</v>
      </c>
      <c r="N215" s="370"/>
      <c r="O215" s="479">
        <v>500</v>
      </c>
      <c r="P215" s="366"/>
      <c r="Q215" s="226"/>
    </row>
    <row r="216" spans="1:17" ht="29.25" customHeight="1" x14ac:dyDescent="0.25">
      <c r="A216" s="40"/>
      <c r="B216" s="69"/>
      <c r="C216" s="85"/>
      <c r="D216" s="402"/>
      <c r="E216" s="725"/>
      <c r="F216" s="117"/>
      <c r="G216" s="119"/>
      <c r="H216" s="33"/>
      <c r="I216" s="380"/>
      <c r="J216" s="47"/>
      <c r="K216" s="307"/>
      <c r="L216" s="47"/>
      <c r="M216" s="724" t="s">
        <v>272</v>
      </c>
      <c r="N216" s="370"/>
      <c r="O216" s="366">
        <v>105</v>
      </c>
      <c r="P216" s="278"/>
      <c r="Q216" s="604"/>
    </row>
    <row r="217" spans="1:17" ht="29.25" customHeight="1" x14ac:dyDescent="0.25">
      <c r="A217" s="40"/>
      <c r="B217" s="69"/>
      <c r="C217" s="85"/>
      <c r="D217" s="35"/>
      <c r="E217" s="725"/>
      <c r="F217" s="117"/>
      <c r="G217" s="119"/>
      <c r="H217" s="33"/>
      <c r="I217" s="380"/>
      <c r="J217" s="47"/>
      <c r="K217" s="307"/>
      <c r="L217" s="47"/>
      <c r="M217" s="449" t="s">
        <v>271</v>
      </c>
      <c r="N217" s="371"/>
      <c r="O217" s="606"/>
      <c r="P217" s="372">
        <v>100</v>
      </c>
      <c r="Q217" s="607"/>
    </row>
    <row r="218" spans="1:17" ht="20.149999999999999" customHeight="1" x14ac:dyDescent="0.25">
      <c r="A218" s="40"/>
      <c r="B218" s="69"/>
      <c r="C218" s="85"/>
      <c r="D218" s="684" t="s">
        <v>25</v>
      </c>
      <c r="E218" s="609" t="s">
        <v>273</v>
      </c>
      <c r="F218" s="583"/>
      <c r="G218" s="1957" t="s">
        <v>217</v>
      </c>
      <c r="H218" s="32" t="s">
        <v>23</v>
      </c>
      <c r="I218" s="525"/>
      <c r="J218" s="53"/>
      <c r="K218" s="308">
        <v>117</v>
      </c>
      <c r="L218" s="53">
        <v>180</v>
      </c>
      <c r="M218" s="726" t="s">
        <v>274</v>
      </c>
      <c r="N218" s="480"/>
      <c r="O218" s="601"/>
      <c r="P218" s="277">
        <v>1</v>
      </c>
      <c r="Q218" s="611"/>
    </row>
    <row r="219" spans="1:17" ht="20.149999999999999" customHeight="1" x14ac:dyDescent="0.25">
      <c r="A219" s="40"/>
      <c r="B219" s="69"/>
      <c r="C219" s="85"/>
      <c r="D219" s="608"/>
      <c r="E219" s="610"/>
      <c r="F219" s="367"/>
      <c r="G219" s="1958"/>
      <c r="H219" s="34"/>
      <c r="I219" s="504"/>
      <c r="J219" s="300"/>
      <c r="K219" s="300"/>
      <c r="L219" s="382"/>
      <c r="M219" s="432" t="s">
        <v>317</v>
      </c>
      <c r="N219" s="482"/>
      <c r="O219" s="372"/>
      <c r="P219" s="372"/>
      <c r="Q219" s="605">
        <v>1</v>
      </c>
    </row>
    <row r="220" spans="1:17" ht="20.149999999999999" customHeight="1" thickBot="1" x14ac:dyDescent="0.3">
      <c r="A220" s="22"/>
      <c r="B220" s="156"/>
      <c r="C220" s="80"/>
      <c r="D220" s="105"/>
      <c r="E220" s="89"/>
      <c r="F220" s="88"/>
      <c r="G220" s="82"/>
      <c r="H220" s="18" t="s">
        <v>5</v>
      </c>
      <c r="I220" s="506">
        <f>SUM(I204:I219)</f>
        <v>532.5</v>
      </c>
      <c r="J220" s="314">
        <f t="shared" ref="J220:L220" si="0">SUM(J204:J219)</f>
        <v>575.5</v>
      </c>
      <c r="K220" s="407">
        <f t="shared" si="0"/>
        <v>615.1</v>
      </c>
      <c r="L220" s="406">
        <f t="shared" si="0"/>
        <v>524.1</v>
      </c>
      <c r="M220" s="81"/>
      <c r="N220" s="236"/>
      <c r="O220" s="361"/>
      <c r="P220" s="361"/>
      <c r="Q220" s="360"/>
    </row>
    <row r="221" spans="1:17" ht="14.25" customHeight="1" thickBot="1" x14ac:dyDescent="0.3">
      <c r="A221" s="24" t="s">
        <v>4</v>
      </c>
      <c r="B221" s="5" t="s">
        <v>6</v>
      </c>
      <c r="C221" s="1701" t="s">
        <v>7</v>
      </c>
      <c r="D221" s="1701"/>
      <c r="E221" s="1701"/>
      <c r="F221" s="1701"/>
      <c r="G221" s="1701"/>
      <c r="H221" s="1701"/>
      <c r="I221" s="512">
        <f t="shared" ref="I221:L221" si="1">I220</f>
        <v>532.5</v>
      </c>
      <c r="J221" s="342">
        <f t="shared" si="1"/>
        <v>575.5</v>
      </c>
      <c r="K221" s="310">
        <f t="shared" si="1"/>
        <v>615.1</v>
      </c>
      <c r="L221" s="303">
        <f t="shared" si="1"/>
        <v>524.1</v>
      </c>
      <c r="M221" s="70"/>
      <c r="N221" s="70"/>
      <c r="O221" s="70"/>
      <c r="P221" s="70"/>
      <c r="Q221" s="65"/>
    </row>
    <row r="222" spans="1:17" ht="17.25" customHeight="1" thickBot="1" x14ac:dyDescent="0.3">
      <c r="A222" s="23" t="s">
        <v>4</v>
      </c>
      <c r="B222" s="5" t="s">
        <v>25</v>
      </c>
      <c r="C222" s="1703" t="s">
        <v>98</v>
      </c>
      <c r="D222" s="1704"/>
      <c r="E222" s="1704"/>
      <c r="F222" s="1704"/>
      <c r="G222" s="1704"/>
      <c r="H222" s="1704"/>
      <c r="I222" s="1704"/>
      <c r="J222" s="1704"/>
      <c r="K222" s="1704"/>
      <c r="L222" s="1704"/>
      <c r="M222" s="1726"/>
      <c r="N222" s="1726"/>
      <c r="O222" s="1726"/>
      <c r="P222" s="1726"/>
      <c r="Q222" s="1727"/>
    </row>
    <row r="223" spans="1:17" ht="27.75" customHeight="1" x14ac:dyDescent="0.25">
      <c r="A223" s="73" t="s">
        <v>4</v>
      </c>
      <c r="B223" s="71" t="s">
        <v>25</v>
      </c>
      <c r="C223" s="722" t="s">
        <v>4</v>
      </c>
      <c r="D223" s="91"/>
      <c r="E223" s="92" t="s">
        <v>208</v>
      </c>
      <c r="F223" s="76"/>
      <c r="G223" s="188"/>
      <c r="H223" s="93"/>
      <c r="I223" s="519"/>
      <c r="J223" s="313"/>
      <c r="K223" s="317"/>
      <c r="L223" s="313"/>
      <c r="M223" s="451"/>
      <c r="N223" s="473"/>
      <c r="O223" s="340"/>
      <c r="P223" s="330"/>
      <c r="Q223" s="187"/>
    </row>
    <row r="224" spans="1:17" ht="14.25" customHeight="1" x14ac:dyDescent="0.25">
      <c r="A224" s="73"/>
      <c r="B224" s="71"/>
      <c r="C224" s="722"/>
      <c r="D224" s="403" t="s">
        <v>4</v>
      </c>
      <c r="E224" s="1712" t="s">
        <v>157</v>
      </c>
      <c r="F224" s="193" t="s">
        <v>43</v>
      </c>
      <c r="G224" s="1943" t="s">
        <v>215</v>
      </c>
      <c r="H224" s="718" t="s">
        <v>23</v>
      </c>
      <c r="I224" s="525">
        <v>1200</v>
      </c>
      <c r="J224" s="47">
        <f>1200-600+550</f>
        <v>1150</v>
      </c>
      <c r="K224" s="307">
        <v>1200</v>
      </c>
      <c r="L224" s="47">
        <v>1200</v>
      </c>
      <c r="M224" s="452"/>
      <c r="N224" s="62"/>
      <c r="O224" s="466"/>
      <c r="P224" s="344"/>
      <c r="Q224" s="284"/>
    </row>
    <row r="225" spans="1:17" ht="15" customHeight="1" x14ac:dyDescent="0.25">
      <c r="A225" s="73"/>
      <c r="B225" s="71"/>
      <c r="C225" s="722"/>
      <c r="D225" s="403"/>
      <c r="E225" s="1714"/>
      <c r="F225" s="902" t="s">
        <v>225</v>
      </c>
      <c r="G225" s="1977"/>
      <c r="H225" s="779" t="s">
        <v>51</v>
      </c>
      <c r="I225" s="380">
        <v>85.2</v>
      </c>
      <c r="J225" s="47">
        <v>63.5</v>
      </c>
      <c r="K225" s="307"/>
      <c r="L225" s="47"/>
      <c r="M225" s="453"/>
      <c r="N225" s="753"/>
      <c r="O225" s="420"/>
      <c r="P225" s="266"/>
      <c r="Q225" s="285"/>
    </row>
    <row r="226" spans="1:17" ht="15" customHeight="1" x14ac:dyDescent="0.25">
      <c r="A226" s="73"/>
      <c r="B226" s="71"/>
      <c r="C226" s="722"/>
      <c r="D226" s="403"/>
      <c r="E226" s="77" t="s">
        <v>100</v>
      </c>
      <c r="F226" s="902" t="s">
        <v>194</v>
      </c>
      <c r="G226" s="1977"/>
      <c r="H226" s="718" t="s">
        <v>333</v>
      </c>
      <c r="I226" s="380"/>
      <c r="J226" s="47">
        <f>600-550</f>
        <v>50</v>
      </c>
      <c r="K226" s="307"/>
      <c r="L226" s="47"/>
      <c r="M226" s="433" t="s">
        <v>151</v>
      </c>
      <c r="N226" s="474">
        <v>10</v>
      </c>
      <c r="O226" s="467">
        <v>10</v>
      </c>
      <c r="P226" s="292">
        <v>10</v>
      </c>
      <c r="Q226" s="179">
        <v>10</v>
      </c>
    </row>
    <row r="227" spans="1:17" ht="13.5" customHeight="1" x14ac:dyDescent="0.25">
      <c r="A227" s="73"/>
      <c r="B227" s="71"/>
      <c r="C227" s="722"/>
      <c r="D227" s="403"/>
      <c r="E227" s="1715" t="s">
        <v>165</v>
      </c>
      <c r="F227" s="723"/>
      <c r="G227" s="1978" t="s">
        <v>242</v>
      </c>
      <c r="H227" s="718"/>
      <c r="I227" s="380"/>
      <c r="J227" s="47"/>
      <c r="K227" s="307"/>
      <c r="L227" s="47"/>
      <c r="M227" s="1862" t="s">
        <v>140</v>
      </c>
      <c r="N227" s="587">
        <v>329</v>
      </c>
      <c r="O227" s="468">
        <v>334</v>
      </c>
      <c r="P227" s="293">
        <v>335</v>
      </c>
      <c r="Q227" s="180">
        <v>506</v>
      </c>
    </row>
    <row r="228" spans="1:17" ht="13.5" customHeight="1" x14ac:dyDescent="0.25">
      <c r="A228" s="73"/>
      <c r="B228" s="71"/>
      <c r="C228" s="722"/>
      <c r="D228" s="403"/>
      <c r="E228" s="1716"/>
      <c r="F228" s="723"/>
      <c r="G228" s="1943"/>
      <c r="H228" s="718"/>
      <c r="I228" s="380"/>
      <c r="J228" s="47"/>
      <c r="K228" s="307"/>
      <c r="L228" s="47"/>
      <c r="M228" s="1863"/>
      <c r="N228" s="588"/>
      <c r="O228" s="754"/>
      <c r="P228" s="755"/>
      <c r="Q228" s="286"/>
    </row>
    <row r="229" spans="1:17" ht="26.25" customHeight="1" x14ac:dyDescent="0.25">
      <c r="A229" s="73"/>
      <c r="B229" s="71"/>
      <c r="C229" s="722"/>
      <c r="D229" s="91"/>
      <c r="E229" s="700" t="s">
        <v>156</v>
      </c>
      <c r="F229" s="161"/>
      <c r="G229" s="1979"/>
      <c r="H229" s="728"/>
      <c r="I229" s="504"/>
      <c r="J229" s="46"/>
      <c r="K229" s="300"/>
      <c r="L229" s="46"/>
      <c r="M229" s="432" t="s">
        <v>110</v>
      </c>
      <c r="N229" s="589">
        <v>7.9</v>
      </c>
      <c r="O229" s="469">
        <v>8.6999999999999993</v>
      </c>
      <c r="P229" s="294">
        <v>9.1</v>
      </c>
      <c r="Q229" s="287">
        <v>7.2</v>
      </c>
    </row>
    <row r="230" spans="1:17" ht="13.5" customHeight="1" x14ac:dyDescent="0.25">
      <c r="A230" s="713"/>
      <c r="B230" s="714"/>
      <c r="C230" s="715"/>
      <c r="D230" s="394" t="s">
        <v>6</v>
      </c>
      <c r="E230" s="1719" t="s">
        <v>113</v>
      </c>
      <c r="F230" s="193" t="s">
        <v>43</v>
      </c>
      <c r="G230" s="1974" t="s">
        <v>214</v>
      </c>
      <c r="H230" s="57" t="s">
        <v>23</v>
      </c>
      <c r="I230" s="380">
        <v>61.3</v>
      </c>
      <c r="J230" s="47">
        <f>345.4-300</f>
        <v>45.4</v>
      </c>
      <c r="K230" s="307">
        <v>363.6</v>
      </c>
      <c r="L230" s="47"/>
      <c r="M230" s="731"/>
      <c r="N230" s="351"/>
      <c r="O230" s="470"/>
      <c r="P230" s="240"/>
      <c r="Q230" s="149"/>
    </row>
    <row r="231" spans="1:17" ht="15.75" customHeight="1" x14ac:dyDescent="0.25">
      <c r="A231" s="713"/>
      <c r="B231" s="714"/>
      <c r="C231" s="715"/>
      <c r="D231" s="394"/>
      <c r="E231" s="1720"/>
      <c r="F231" s="902" t="s">
        <v>225</v>
      </c>
      <c r="G231" s="1980"/>
      <c r="H231" s="57" t="s">
        <v>51</v>
      </c>
      <c r="I231" s="380">
        <v>122.7</v>
      </c>
      <c r="J231" s="47">
        <v>138.19999999999999</v>
      </c>
      <c r="K231" s="307"/>
      <c r="L231" s="47"/>
      <c r="M231" s="1854"/>
      <c r="N231" s="351"/>
      <c r="O231" s="202"/>
      <c r="P231" s="240"/>
      <c r="Q231" s="149"/>
    </row>
    <row r="232" spans="1:17" ht="15" customHeight="1" x14ac:dyDescent="0.25">
      <c r="A232" s="713"/>
      <c r="B232" s="714"/>
      <c r="C232" s="715"/>
      <c r="D232" s="404"/>
      <c r="E232" s="1721"/>
      <c r="F232" s="902" t="s">
        <v>194</v>
      </c>
      <c r="G232" s="730"/>
      <c r="H232" s="57" t="s">
        <v>158</v>
      </c>
      <c r="I232" s="380">
        <v>191.3</v>
      </c>
      <c r="J232" s="47">
        <v>186.1</v>
      </c>
      <c r="K232" s="307">
        <v>35.200000000000003</v>
      </c>
      <c r="L232" s="113"/>
      <c r="M232" s="1863"/>
      <c r="N232" s="384"/>
      <c r="O232" s="229"/>
      <c r="P232" s="241"/>
      <c r="Q232" s="169"/>
    </row>
    <row r="233" spans="1:17" ht="15" customHeight="1" x14ac:dyDescent="0.25">
      <c r="A233" s="713"/>
      <c r="B233" s="714"/>
      <c r="C233" s="715"/>
      <c r="D233" s="404"/>
      <c r="E233" s="729"/>
      <c r="F233" s="164"/>
      <c r="G233" s="730"/>
      <c r="H233" s="57" t="s">
        <v>159</v>
      </c>
      <c r="I233" s="380">
        <v>2169.4</v>
      </c>
      <c r="J233" s="47">
        <v>2109.1</v>
      </c>
      <c r="K233" s="307">
        <v>398.6</v>
      </c>
      <c r="L233" s="113"/>
      <c r="M233" s="731" t="s">
        <v>76</v>
      </c>
      <c r="N233" s="351"/>
      <c r="O233" s="202"/>
      <c r="P233" s="240"/>
      <c r="Q233" s="149"/>
    </row>
    <row r="234" spans="1:17" ht="15" customHeight="1" x14ac:dyDescent="0.25">
      <c r="A234" s="713"/>
      <c r="B234" s="714"/>
      <c r="C234" s="715"/>
      <c r="D234" s="404"/>
      <c r="E234" s="729"/>
      <c r="F234" s="164"/>
      <c r="G234" s="730"/>
      <c r="H234" s="57" t="s">
        <v>243</v>
      </c>
      <c r="I234" s="380">
        <v>225</v>
      </c>
      <c r="J234" s="47">
        <v>300</v>
      </c>
      <c r="K234" s="307"/>
      <c r="L234" s="113"/>
      <c r="M234" s="1883" t="s">
        <v>205</v>
      </c>
      <c r="N234" s="532">
        <v>50</v>
      </c>
      <c r="O234" s="233">
        <v>90</v>
      </c>
      <c r="P234" s="255">
        <v>100</v>
      </c>
      <c r="Q234" s="173"/>
    </row>
    <row r="235" spans="1:17" ht="15" customHeight="1" x14ac:dyDescent="0.25">
      <c r="A235" s="713"/>
      <c r="B235" s="714"/>
      <c r="C235" s="715"/>
      <c r="D235" s="404"/>
      <c r="E235" s="729"/>
      <c r="F235" s="164"/>
      <c r="G235" s="730"/>
      <c r="H235" s="57" t="s">
        <v>346</v>
      </c>
      <c r="I235" s="380"/>
      <c r="J235" s="47">
        <v>32.799999999999997</v>
      </c>
      <c r="K235" s="307"/>
      <c r="L235" s="113"/>
      <c r="M235" s="1863"/>
      <c r="N235" s="384"/>
      <c r="O235" s="229"/>
      <c r="P235" s="241"/>
      <c r="Q235" s="169"/>
    </row>
    <row r="236" spans="1:17" ht="26.25" customHeight="1" x14ac:dyDescent="0.25">
      <c r="A236" s="713"/>
      <c r="B236" s="714"/>
      <c r="C236" s="715"/>
      <c r="D236" s="404"/>
      <c r="E236" s="701"/>
      <c r="F236" s="164"/>
      <c r="G236" s="730"/>
      <c r="H236" s="57" t="s">
        <v>347</v>
      </c>
      <c r="I236" s="380"/>
      <c r="J236" s="47">
        <v>371.7</v>
      </c>
      <c r="K236" s="307"/>
      <c r="L236" s="113"/>
      <c r="M236" s="433" t="s">
        <v>140</v>
      </c>
      <c r="N236" s="474"/>
      <c r="O236" s="471">
        <v>200</v>
      </c>
      <c r="P236" s="373">
        <v>246</v>
      </c>
      <c r="Q236" s="179"/>
    </row>
    <row r="237" spans="1:17" ht="15.75" customHeight="1" x14ac:dyDescent="0.25">
      <c r="A237" s="713"/>
      <c r="B237" s="714"/>
      <c r="C237" s="715"/>
      <c r="D237" s="404"/>
      <c r="E237" s="700"/>
      <c r="F237" s="157"/>
      <c r="G237" s="730"/>
      <c r="H237" s="58"/>
      <c r="I237" s="504"/>
      <c r="J237" s="46"/>
      <c r="K237" s="300"/>
      <c r="L237" s="55"/>
      <c r="M237" s="434" t="s">
        <v>226</v>
      </c>
      <c r="N237" s="475"/>
      <c r="O237" s="472">
        <v>100</v>
      </c>
      <c r="P237" s="197">
        <v>159</v>
      </c>
      <c r="Q237" s="288"/>
    </row>
    <row r="238" spans="1:17" ht="24.75" customHeight="1" x14ac:dyDescent="0.25">
      <c r="A238" s="1705"/>
      <c r="B238" s="1706"/>
      <c r="C238" s="1707"/>
      <c r="D238" s="1955" t="s">
        <v>25</v>
      </c>
      <c r="E238" s="1708" t="s">
        <v>101</v>
      </c>
      <c r="F238" s="1710"/>
      <c r="G238" s="1914" t="s">
        <v>237</v>
      </c>
      <c r="H238" s="115" t="s">
        <v>23</v>
      </c>
      <c r="I238" s="525">
        <v>0.2</v>
      </c>
      <c r="J238" s="53">
        <v>1</v>
      </c>
      <c r="K238" s="308">
        <v>2.1</v>
      </c>
      <c r="L238" s="53">
        <v>2.1</v>
      </c>
      <c r="M238" s="708" t="s">
        <v>109</v>
      </c>
      <c r="N238" s="590">
        <v>1</v>
      </c>
      <c r="O238" s="281">
        <v>1</v>
      </c>
      <c r="P238" s="243">
        <v>1</v>
      </c>
      <c r="Q238" s="151">
        <v>1</v>
      </c>
    </row>
    <row r="239" spans="1:17" ht="21" customHeight="1" x14ac:dyDescent="0.25">
      <c r="A239" s="1705"/>
      <c r="B239" s="1706"/>
      <c r="C239" s="1707"/>
      <c r="D239" s="1956"/>
      <c r="E239" s="1709"/>
      <c r="F239" s="1711"/>
      <c r="G239" s="1915"/>
      <c r="H239" s="718"/>
      <c r="I239" s="380"/>
      <c r="J239" s="47"/>
      <c r="K239" s="307"/>
      <c r="L239" s="47"/>
      <c r="M239" s="697"/>
      <c r="N239" s="459"/>
      <c r="O239" s="227"/>
      <c r="P239" s="245"/>
      <c r="Q239" s="148"/>
    </row>
    <row r="240" spans="1:17" ht="17.899999999999999" customHeight="1" x14ac:dyDescent="0.25">
      <c r="A240" s="713"/>
      <c r="B240" s="721"/>
      <c r="C240" s="85"/>
      <c r="D240" s="684" t="s">
        <v>32</v>
      </c>
      <c r="E240" s="1712" t="s">
        <v>167</v>
      </c>
      <c r="F240" s="193" t="s">
        <v>43</v>
      </c>
      <c r="G240" s="1914" t="s">
        <v>237</v>
      </c>
      <c r="H240" s="115" t="s">
        <v>23</v>
      </c>
      <c r="I240" s="525">
        <f>237+50</f>
        <v>287</v>
      </c>
      <c r="J240" s="53"/>
      <c r="K240" s="308"/>
      <c r="L240" s="56"/>
      <c r="M240" s="726" t="s">
        <v>195</v>
      </c>
      <c r="N240" s="591">
        <v>1</v>
      </c>
      <c r="O240" s="282"/>
      <c r="P240" s="295"/>
      <c r="Q240" s="177"/>
    </row>
    <row r="241" spans="1:17" ht="19.399999999999999" customHeight="1" x14ac:dyDescent="0.25">
      <c r="A241" s="713"/>
      <c r="B241" s="721"/>
      <c r="C241" s="85"/>
      <c r="D241" s="716"/>
      <c r="E241" s="1713"/>
      <c r="F241" s="686"/>
      <c r="G241" s="1915"/>
      <c r="H241" s="718" t="s">
        <v>51</v>
      </c>
      <c r="I241" s="380">
        <f>35+15+10.3</f>
        <v>60.3</v>
      </c>
      <c r="J241" s="47">
        <v>10.7</v>
      </c>
      <c r="K241" s="307"/>
      <c r="L241" s="113"/>
      <c r="M241" s="1873" t="s">
        <v>128</v>
      </c>
      <c r="N241" s="574">
        <v>8</v>
      </c>
      <c r="O241" s="262">
        <v>18</v>
      </c>
      <c r="P241" s="262">
        <v>21</v>
      </c>
      <c r="Q241" s="221">
        <v>24</v>
      </c>
    </row>
    <row r="242" spans="1:17" ht="19.399999999999999" customHeight="1" x14ac:dyDescent="0.25">
      <c r="A242" s="713"/>
      <c r="B242" s="721"/>
      <c r="C242" s="85"/>
      <c r="D242" s="716"/>
      <c r="E242" s="1713"/>
      <c r="F242" s="686"/>
      <c r="G242" s="1915"/>
      <c r="H242" s="718" t="s">
        <v>23</v>
      </c>
      <c r="I242" s="592"/>
      <c r="J242" s="47">
        <v>40</v>
      </c>
      <c r="K242" s="307">
        <v>50</v>
      </c>
      <c r="L242" s="113">
        <v>60</v>
      </c>
      <c r="M242" s="1874"/>
      <c r="N242" s="593"/>
      <c r="O242" s="594"/>
      <c r="P242" s="594"/>
      <c r="Q242" s="595"/>
    </row>
    <row r="243" spans="1:17" ht="17.25" customHeight="1" x14ac:dyDescent="0.25">
      <c r="A243" s="21"/>
      <c r="B243" s="714"/>
      <c r="C243" s="85"/>
      <c r="D243" s="716"/>
      <c r="E243" s="1713"/>
      <c r="F243" s="732"/>
      <c r="G243" s="1916"/>
      <c r="H243" s="348" t="s">
        <v>23</v>
      </c>
      <c r="I243" s="380"/>
      <c r="J243" s="756">
        <v>7</v>
      </c>
      <c r="K243" s="598">
        <v>9</v>
      </c>
      <c r="L243" s="597">
        <v>9</v>
      </c>
      <c r="M243" s="414" t="s">
        <v>152</v>
      </c>
      <c r="N243" s="474">
        <v>100</v>
      </c>
      <c r="O243" s="467">
        <v>100</v>
      </c>
      <c r="P243" s="292">
        <v>130</v>
      </c>
      <c r="Q243" s="179">
        <v>130</v>
      </c>
    </row>
    <row r="244" spans="1:17" ht="18.649999999999999" customHeight="1" x14ac:dyDescent="0.25">
      <c r="A244" s="21"/>
      <c r="B244" s="714"/>
      <c r="C244" s="85"/>
      <c r="D244" s="716"/>
      <c r="E244" s="1713"/>
      <c r="F244" s="732"/>
      <c r="G244" s="690"/>
      <c r="H244" s="718" t="s">
        <v>23</v>
      </c>
      <c r="I244" s="380"/>
      <c r="J244" s="47">
        <v>100</v>
      </c>
      <c r="K244" s="307">
        <v>100</v>
      </c>
      <c r="L244" s="113">
        <v>100</v>
      </c>
      <c r="M244" s="724" t="s">
        <v>127</v>
      </c>
      <c r="N244" s="574">
        <v>2</v>
      </c>
      <c r="O244" s="680">
        <v>3</v>
      </c>
      <c r="P244" s="257">
        <v>3</v>
      </c>
      <c r="Q244" s="221">
        <v>3</v>
      </c>
    </row>
    <row r="245" spans="1:17" ht="27.65" customHeight="1" x14ac:dyDescent="0.25">
      <c r="A245" s="21"/>
      <c r="B245" s="714"/>
      <c r="C245" s="85"/>
      <c r="D245" s="716"/>
      <c r="E245" s="1713"/>
      <c r="F245" s="686"/>
      <c r="G245" s="690"/>
      <c r="H245" s="718" t="s">
        <v>23</v>
      </c>
      <c r="I245" s="380"/>
      <c r="J245" s="47">
        <v>35</v>
      </c>
      <c r="K245" s="307">
        <v>35</v>
      </c>
      <c r="L245" s="113">
        <v>35</v>
      </c>
      <c r="M245" s="724" t="s">
        <v>153</v>
      </c>
      <c r="N245" s="587">
        <v>2</v>
      </c>
      <c r="O245" s="292">
        <v>7</v>
      </c>
      <c r="P245" s="245">
        <v>5</v>
      </c>
      <c r="Q245" s="596">
        <v>5</v>
      </c>
    </row>
    <row r="246" spans="1:17" ht="28.5" customHeight="1" x14ac:dyDescent="0.25">
      <c r="A246" s="21"/>
      <c r="B246" s="714"/>
      <c r="C246" s="85"/>
      <c r="D246" s="685"/>
      <c r="E246" s="705"/>
      <c r="F246" s="687"/>
      <c r="G246" s="691"/>
      <c r="H246" s="728" t="s">
        <v>23</v>
      </c>
      <c r="I246" s="504"/>
      <c r="J246" s="46">
        <v>8</v>
      </c>
      <c r="K246" s="300">
        <v>118</v>
      </c>
      <c r="L246" s="55">
        <v>118</v>
      </c>
      <c r="M246" s="432" t="s">
        <v>315</v>
      </c>
      <c r="N246" s="498"/>
      <c r="O246" s="228"/>
      <c r="P246" s="343">
        <v>1</v>
      </c>
      <c r="Q246" s="167">
        <v>1</v>
      </c>
    </row>
    <row r="247" spans="1:17" ht="15.75" customHeight="1" thickBot="1" x14ac:dyDescent="0.3">
      <c r="A247" s="22"/>
      <c r="B247" s="156"/>
      <c r="C247" s="80"/>
      <c r="D247" s="105"/>
      <c r="E247" s="89"/>
      <c r="F247" s="88"/>
      <c r="G247" s="82"/>
      <c r="H247" s="18" t="s">
        <v>5</v>
      </c>
      <c r="I247" s="506">
        <f>SUM(I224:I246)</f>
        <v>4402.3999999999996</v>
      </c>
      <c r="J247" s="314">
        <f>SUM(J224:J246)-50</f>
        <v>4598.5</v>
      </c>
      <c r="K247" s="309">
        <f>SUM(K224:K246)</f>
        <v>2311.5</v>
      </c>
      <c r="L247" s="314">
        <f>SUM(L224:L246)</f>
        <v>1524.1</v>
      </c>
      <c r="M247" s="97"/>
      <c r="N247" s="236"/>
      <c r="O247" s="361"/>
      <c r="P247" s="236"/>
      <c r="Q247" s="360"/>
    </row>
    <row r="248" spans="1:17" ht="33" customHeight="1" x14ac:dyDescent="0.25">
      <c r="A248" s="25" t="s">
        <v>4</v>
      </c>
      <c r="B248" s="67" t="s">
        <v>25</v>
      </c>
      <c r="C248" s="87" t="s">
        <v>6</v>
      </c>
      <c r="D248" s="68"/>
      <c r="E248" s="120" t="s">
        <v>114</v>
      </c>
      <c r="F248" s="50"/>
      <c r="G248" s="190"/>
      <c r="H248" s="101"/>
      <c r="I248" s="509"/>
      <c r="J248" s="326"/>
      <c r="K248" s="306"/>
      <c r="L248" s="301"/>
      <c r="M248" s="702"/>
      <c r="N248" s="283"/>
      <c r="O248" s="465"/>
      <c r="P248" s="296"/>
      <c r="Q248" s="181"/>
    </row>
    <row r="249" spans="1:17" ht="53.25" customHeight="1" x14ac:dyDescent="0.25">
      <c r="A249" s="73"/>
      <c r="B249" s="71"/>
      <c r="C249" s="722"/>
      <c r="D249" s="405" t="s">
        <v>4</v>
      </c>
      <c r="E249" s="78" t="s">
        <v>173</v>
      </c>
      <c r="F249" s="111"/>
      <c r="G249" s="698" t="s">
        <v>62</v>
      </c>
      <c r="H249" s="126" t="s">
        <v>23</v>
      </c>
      <c r="I249" s="508">
        <v>4</v>
      </c>
      <c r="J249" s="341">
        <v>4</v>
      </c>
      <c r="K249" s="318"/>
      <c r="L249" s="315"/>
      <c r="M249" s="454" t="s">
        <v>107</v>
      </c>
      <c r="N249" s="461"/>
      <c r="O249" s="460">
        <v>1</v>
      </c>
      <c r="P249" s="297"/>
      <c r="Q249" s="124"/>
    </row>
    <row r="250" spans="1:17" ht="53.25" customHeight="1" x14ac:dyDescent="0.25">
      <c r="A250" s="73"/>
      <c r="B250" s="71"/>
      <c r="C250" s="722"/>
      <c r="D250" s="736" t="s">
        <v>6</v>
      </c>
      <c r="E250" s="699" t="s">
        <v>174</v>
      </c>
      <c r="F250" s="51"/>
      <c r="G250" s="690"/>
      <c r="H250" s="100" t="s">
        <v>23</v>
      </c>
      <c r="I250" s="380">
        <v>4</v>
      </c>
      <c r="J250" s="47">
        <v>4</v>
      </c>
      <c r="K250" s="307">
        <v>4</v>
      </c>
      <c r="L250" s="113"/>
      <c r="M250" s="697" t="s">
        <v>107</v>
      </c>
      <c r="N250" s="462"/>
      <c r="O250" s="227"/>
      <c r="P250" s="245">
        <v>1</v>
      </c>
      <c r="Q250" s="125"/>
    </row>
    <row r="251" spans="1:17" ht="43.5" customHeight="1" x14ac:dyDescent="0.25">
      <c r="A251" s="73"/>
      <c r="B251" s="71"/>
      <c r="C251" s="722"/>
      <c r="D251" s="405" t="s">
        <v>25</v>
      </c>
      <c r="E251" s="78" t="s">
        <v>155</v>
      </c>
      <c r="F251" s="111"/>
      <c r="G251" s="690"/>
      <c r="H251" s="126" t="s">
        <v>23</v>
      </c>
      <c r="I251" s="508">
        <v>3.2</v>
      </c>
      <c r="J251" s="341">
        <v>3.2</v>
      </c>
      <c r="K251" s="318"/>
      <c r="L251" s="315"/>
      <c r="M251" s="454" t="s">
        <v>107</v>
      </c>
      <c r="N251" s="461"/>
      <c r="O251" s="460">
        <v>1</v>
      </c>
      <c r="P251" s="297"/>
      <c r="Q251" s="124"/>
    </row>
    <row r="252" spans="1:17" ht="52.5" customHeight="1" x14ac:dyDescent="0.25">
      <c r="A252" s="73"/>
      <c r="B252" s="71"/>
      <c r="C252" s="722"/>
      <c r="D252" s="405" t="s">
        <v>32</v>
      </c>
      <c r="E252" s="78" t="s">
        <v>126</v>
      </c>
      <c r="F252" s="111"/>
      <c r="G252" s="690"/>
      <c r="H252" s="126" t="s">
        <v>23</v>
      </c>
      <c r="I252" s="508">
        <v>4</v>
      </c>
      <c r="J252" s="341">
        <v>4</v>
      </c>
      <c r="K252" s="318"/>
      <c r="L252" s="315"/>
      <c r="M252" s="454" t="s">
        <v>107</v>
      </c>
      <c r="N252" s="461"/>
      <c r="O252" s="460">
        <v>1</v>
      </c>
      <c r="P252" s="297"/>
      <c r="Q252" s="124"/>
    </row>
    <row r="253" spans="1:17" ht="52.5" customHeight="1" x14ac:dyDescent="0.25">
      <c r="A253" s="73"/>
      <c r="B253" s="71"/>
      <c r="C253" s="722"/>
      <c r="D253" s="405" t="s">
        <v>33</v>
      </c>
      <c r="E253" s="700" t="s">
        <v>178</v>
      </c>
      <c r="F253" s="106"/>
      <c r="G253" s="690"/>
      <c r="H253" s="99" t="s">
        <v>23</v>
      </c>
      <c r="I253" s="504">
        <v>25</v>
      </c>
      <c r="J253" s="46">
        <v>25</v>
      </c>
      <c r="K253" s="300"/>
      <c r="L253" s="55"/>
      <c r="M253" s="454" t="s">
        <v>107</v>
      </c>
      <c r="N253" s="463"/>
      <c r="O253" s="228">
        <v>1</v>
      </c>
      <c r="P253" s="244"/>
      <c r="Q253" s="182"/>
    </row>
    <row r="254" spans="1:17" ht="66.75" customHeight="1" x14ac:dyDescent="0.25">
      <c r="A254" s="73"/>
      <c r="B254" s="71"/>
      <c r="C254" s="722"/>
      <c r="D254" s="736" t="s">
        <v>26</v>
      </c>
      <c r="E254" s="700" t="s">
        <v>191</v>
      </c>
      <c r="F254" s="189"/>
      <c r="G254" s="691"/>
      <c r="H254" s="127" t="s">
        <v>23</v>
      </c>
      <c r="I254" s="612">
        <v>4</v>
      </c>
      <c r="J254" s="319">
        <v>4</v>
      </c>
      <c r="K254" s="669">
        <v>4</v>
      </c>
      <c r="L254" s="316"/>
      <c r="M254" s="454" t="s">
        <v>107</v>
      </c>
      <c r="N254" s="464"/>
      <c r="O254" s="616"/>
      <c r="P254" s="297">
        <v>1</v>
      </c>
      <c r="Q254" s="289"/>
    </row>
    <row r="255" spans="1:17" ht="52.5" customHeight="1" x14ac:dyDescent="0.25">
      <c r="A255" s="73"/>
      <c r="B255" s="71"/>
      <c r="C255" s="722"/>
      <c r="D255" s="405" t="s">
        <v>34</v>
      </c>
      <c r="E255" s="700" t="s">
        <v>318</v>
      </c>
      <c r="F255" s="106"/>
      <c r="G255" s="690"/>
      <c r="H255" s="99" t="s">
        <v>23</v>
      </c>
      <c r="I255" s="504"/>
      <c r="J255" s="300"/>
      <c r="K255" s="757">
        <v>7.5</v>
      </c>
      <c r="L255" s="55"/>
      <c r="M255" s="454" t="s">
        <v>107</v>
      </c>
      <c r="N255" s="463"/>
      <c r="O255" s="297"/>
      <c r="P255" s="228">
        <v>1</v>
      </c>
      <c r="Q255" s="771"/>
    </row>
    <row r="256" spans="1:17" ht="52.5" customHeight="1" x14ac:dyDescent="0.25">
      <c r="A256" s="73"/>
      <c r="B256" s="71"/>
      <c r="C256" s="722"/>
      <c r="D256" s="405" t="s">
        <v>27</v>
      </c>
      <c r="E256" s="700" t="s">
        <v>319</v>
      </c>
      <c r="F256" s="106"/>
      <c r="G256" s="690"/>
      <c r="H256" s="99" t="s">
        <v>23</v>
      </c>
      <c r="I256" s="504"/>
      <c r="J256" s="300"/>
      <c r="K256" s="757">
        <v>2.8</v>
      </c>
      <c r="L256" s="55"/>
      <c r="M256" s="454" t="s">
        <v>107</v>
      </c>
      <c r="N256" s="463"/>
      <c r="O256" s="244"/>
      <c r="P256" s="228">
        <v>1</v>
      </c>
      <c r="Q256" s="772"/>
    </row>
    <row r="257" spans="1:17" ht="52.5" customHeight="1" x14ac:dyDescent="0.25">
      <c r="A257" s="73"/>
      <c r="B257" s="71"/>
      <c r="C257" s="722"/>
      <c r="D257" s="736" t="s">
        <v>56</v>
      </c>
      <c r="E257" s="700" t="s">
        <v>320</v>
      </c>
      <c r="F257" s="106"/>
      <c r="G257" s="690"/>
      <c r="H257" s="99" t="s">
        <v>23</v>
      </c>
      <c r="I257" s="504"/>
      <c r="J257" s="300"/>
      <c r="K257" s="757">
        <v>3</v>
      </c>
      <c r="L257" s="55"/>
      <c r="M257" s="454" t="s">
        <v>107</v>
      </c>
      <c r="N257" s="463"/>
      <c r="O257" s="244"/>
      <c r="P257" s="228">
        <v>1</v>
      </c>
      <c r="Q257" s="772"/>
    </row>
    <row r="258" spans="1:17" ht="16.5" customHeight="1" thickBot="1" x14ac:dyDescent="0.3">
      <c r="A258" s="155"/>
      <c r="B258" s="72"/>
      <c r="C258" s="80"/>
      <c r="D258" s="83"/>
      <c r="E258" s="89"/>
      <c r="F258" s="88"/>
      <c r="G258" s="848"/>
      <c r="H258" s="26" t="s">
        <v>5</v>
      </c>
      <c r="I258" s="506">
        <f>SUM(I249:I257)</f>
        <v>44.2</v>
      </c>
      <c r="J258" s="314">
        <f>SUM(J249:J257)</f>
        <v>44.2</v>
      </c>
      <c r="K258" s="407">
        <f>SUM(K249:K257)</f>
        <v>21.3</v>
      </c>
      <c r="L258" s="406">
        <f>SUM(L249:L257)</f>
        <v>0</v>
      </c>
      <c r="M258" s="183"/>
      <c r="N258" s="361"/>
      <c r="O258" s="361"/>
      <c r="P258" s="361"/>
      <c r="Q258" s="133"/>
    </row>
    <row r="259" spans="1:17" ht="16.5" customHeight="1" thickBot="1" x14ac:dyDescent="0.3">
      <c r="A259" s="23" t="s">
        <v>4</v>
      </c>
      <c r="B259" s="5" t="s">
        <v>25</v>
      </c>
      <c r="C259" s="1700" t="s">
        <v>7</v>
      </c>
      <c r="D259" s="1701"/>
      <c r="E259" s="1701"/>
      <c r="F259" s="1701"/>
      <c r="G259" s="1701"/>
      <c r="H259" s="1702"/>
      <c r="I259" s="512">
        <f>I258+I247</f>
        <v>4446.6000000000004</v>
      </c>
      <c r="J259" s="342">
        <f>J258+J247</f>
        <v>4642.7</v>
      </c>
      <c r="K259" s="310">
        <f>K258+K247</f>
        <v>2332.8000000000002</v>
      </c>
      <c r="L259" s="303">
        <f>L258+L247</f>
        <v>1524.1</v>
      </c>
      <c r="M259" s="70"/>
      <c r="N259" s="70"/>
      <c r="O259" s="70"/>
      <c r="P259" s="70"/>
      <c r="Q259" s="65"/>
    </row>
    <row r="260" spans="1:17" ht="15.75" customHeight="1" thickBot="1" x14ac:dyDescent="0.3">
      <c r="A260" s="23" t="s">
        <v>4</v>
      </c>
      <c r="B260" s="5" t="s">
        <v>32</v>
      </c>
      <c r="C260" s="1703" t="s">
        <v>41</v>
      </c>
      <c r="D260" s="1704"/>
      <c r="E260" s="1704"/>
      <c r="F260" s="1704"/>
      <c r="G260" s="1704"/>
      <c r="H260" s="1704"/>
      <c r="I260" s="720"/>
      <c r="J260" s="720"/>
      <c r="K260" s="720"/>
      <c r="L260" s="720"/>
      <c r="M260" s="158"/>
      <c r="N260" s="374"/>
      <c r="O260" s="345"/>
      <c r="P260" s="345"/>
      <c r="Q260" s="66"/>
    </row>
    <row r="261" spans="1:17" ht="12.75" customHeight="1" x14ac:dyDescent="0.25">
      <c r="A261" s="25" t="s">
        <v>4</v>
      </c>
      <c r="B261" s="67" t="s">
        <v>32</v>
      </c>
      <c r="C261" s="87" t="s">
        <v>4</v>
      </c>
      <c r="D261" s="68"/>
      <c r="E261" s="1686" t="s">
        <v>207</v>
      </c>
      <c r="F261" s="50"/>
      <c r="G261" s="138"/>
      <c r="H261" s="101"/>
      <c r="I261" s="509"/>
      <c r="J261" s="326"/>
      <c r="K261" s="306"/>
      <c r="L261" s="301"/>
      <c r="M261" s="702"/>
      <c r="N261" s="457"/>
      <c r="O261" s="455"/>
      <c r="P261" s="298"/>
      <c r="Q261" s="290"/>
    </row>
    <row r="262" spans="1:17" ht="12.75" customHeight="1" x14ac:dyDescent="0.25">
      <c r="A262" s="134"/>
      <c r="B262" s="71"/>
      <c r="C262" s="135"/>
      <c r="D262" s="94"/>
      <c r="E262" s="1733"/>
      <c r="F262" s="136"/>
      <c r="G262" s="137"/>
      <c r="H262" s="100"/>
      <c r="I262" s="380"/>
      <c r="J262" s="300"/>
      <c r="K262" s="300"/>
      <c r="L262" s="113"/>
      <c r="M262" s="697"/>
      <c r="N262" s="458"/>
      <c r="O262" s="228"/>
      <c r="P262" s="244"/>
      <c r="Q262" s="167"/>
    </row>
    <row r="263" spans="1:17" s="31" customFormat="1" ht="16.399999999999999" customHeight="1" x14ac:dyDescent="0.25">
      <c r="A263" s="1688"/>
      <c r="B263" s="1690"/>
      <c r="C263" s="1692"/>
      <c r="D263" s="735" t="s">
        <v>4</v>
      </c>
      <c r="E263" s="1694" t="s">
        <v>133</v>
      </c>
      <c r="F263" s="1696" t="s">
        <v>43</v>
      </c>
      <c r="G263" s="1914" t="s">
        <v>213</v>
      </c>
      <c r="H263" s="129" t="s">
        <v>23</v>
      </c>
      <c r="I263" s="525">
        <v>117.2</v>
      </c>
      <c r="J263" s="648">
        <v>170</v>
      </c>
      <c r="K263" s="648">
        <v>170</v>
      </c>
      <c r="L263" s="758">
        <v>170</v>
      </c>
      <c r="M263" s="1875" t="s">
        <v>132</v>
      </c>
      <c r="N263" s="653">
        <v>907</v>
      </c>
      <c r="O263" s="681">
        <v>730</v>
      </c>
      <c r="P263" s="682">
        <v>730</v>
      </c>
      <c r="Q263" s="683">
        <v>730</v>
      </c>
    </row>
    <row r="264" spans="1:17" s="31" customFormat="1" ht="19.399999999999999" customHeight="1" x14ac:dyDescent="0.25">
      <c r="A264" s="1689"/>
      <c r="B264" s="1691"/>
      <c r="C264" s="1693"/>
      <c r="D264" s="736"/>
      <c r="E264" s="1695"/>
      <c r="F264" s="1697"/>
      <c r="G264" s="1915"/>
      <c r="H264" s="114" t="s">
        <v>51</v>
      </c>
      <c r="I264" s="380">
        <v>149.80000000000001</v>
      </c>
      <c r="J264" s="647"/>
      <c r="K264" s="648"/>
      <c r="L264" s="649"/>
      <c r="M264" s="1876"/>
      <c r="N264" s="613"/>
      <c r="O264" s="456"/>
      <c r="P264" s="299"/>
      <c r="Q264" s="291"/>
    </row>
    <row r="265" spans="1:17" s="31" customFormat="1" ht="35.15" customHeight="1" x14ac:dyDescent="0.25">
      <c r="A265" s="1689"/>
      <c r="B265" s="1691"/>
      <c r="C265" s="1693"/>
      <c r="D265" s="737"/>
      <c r="E265" s="1953"/>
      <c r="F265" s="1954"/>
      <c r="G265" s="1933"/>
      <c r="H265" s="95"/>
      <c r="I265" s="504"/>
      <c r="J265" s="650"/>
      <c r="K265" s="651"/>
      <c r="L265" s="652"/>
      <c r="M265" s="654"/>
      <c r="N265" s="655"/>
      <c r="O265" s="656"/>
      <c r="P265" s="657"/>
      <c r="Q265" s="658"/>
    </row>
    <row r="266" spans="1:17" ht="17.25" customHeight="1" x14ac:dyDescent="0.25">
      <c r="A266" s="713"/>
      <c r="B266" s="721"/>
      <c r="C266" s="85"/>
      <c r="D266" s="716" t="s">
        <v>6</v>
      </c>
      <c r="E266" s="1674" t="s">
        <v>192</v>
      </c>
      <c r="F266" s="128"/>
      <c r="G266" s="1914" t="s">
        <v>237</v>
      </c>
      <c r="H266" s="139" t="s">
        <v>23</v>
      </c>
      <c r="I266" s="380">
        <f>20-10</f>
        <v>10</v>
      </c>
      <c r="J266" s="647">
        <v>9.1</v>
      </c>
      <c r="K266" s="648">
        <v>9.1</v>
      </c>
      <c r="L266" s="649">
        <v>9.1</v>
      </c>
      <c r="M266" s="1876" t="s">
        <v>189</v>
      </c>
      <c r="N266" s="613">
        <v>4</v>
      </c>
      <c r="O266" s="456">
        <v>16</v>
      </c>
      <c r="P266" s="299">
        <v>13</v>
      </c>
      <c r="Q266" s="291">
        <v>13</v>
      </c>
    </row>
    <row r="267" spans="1:17" ht="37.5" customHeight="1" x14ac:dyDescent="0.25">
      <c r="A267" s="21"/>
      <c r="B267" s="721"/>
      <c r="C267" s="86"/>
      <c r="D267" s="394"/>
      <c r="E267" s="1684"/>
      <c r="F267" s="106"/>
      <c r="G267" s="1933"/>
      <c r="H267" s="114" t="s">
        <v>51</v>
      </c>
      <c r="I267" s="504"/>
      <c r="J267" s="789">
        <v>3</v>
      </c>
      <c r="K267" s="759"/>
      <c r="L267" s="760"/>
      <c r="M267" s="1876"/>
      <c r="N267" s="613"/>
      <c r="O267" s="456"/>
      <c r="P267" s="299"/>
      <c r="Q267" s="291"/>
    </row>
    <row r="268" spans="1:17" ht="15" customHeight="1" x14ac:dyDescent="0.25">
      <c r="A268" s="713"/>
      <c r="B268" s="721"/>
      <c r="C268" s="85"/>
      <c r="D268" s="684" t="s">
        <v>25</v>
      </c>
      <c r="E268" s="1675" t="s">
        <v>94</v>
      </c>
      <c r="F268" s="51" t="s">
        <v>43</v>
      </c>
      <c r="G268" s="1915" t="s">
        <v>212</v>
      </c>
      <c r="H268" s="115" t="s">
        <v>51</v>
      </c>
      <c r="I268" s="525">
        <v>26</v>
      </c>
      <c r="J268" s="47">
        <v>26</v>
      </c>
      <c r="K268" s="307"/>
      <c r="L268" s="578"/>
      <c r="M268" s="726" t="s">
        <v>76</v>
      </c>
      <c r="N268" s="590">
        <v>1</v>
      </c>
      <c r="O268" s="281">
        <v>1</v>
      </c>
      <c r="P268" s="243"/>
      <c r="Q268" s="151"/>
    </row>
    <row r="269" spans="1:17" ht="28.5" customHeight="1" x14ac:dyDescent="0.25">
      <c r="A269" s="21"/>
      <c r="B269" s="721"/>
      <c r="C269" s="86"/>
      <c r="D269" s="685"/>
      <c r="E269" s="1675"/>
      <c r="F269" s="51"/>
      <c r="G269" s="1933"/>
      <c r="H269" s="99" t="s">
        <v>130</v>
      </c>
      <c r="I269" s="504"/>
      <c r="J269" s="46"/>
      <c r="K269" s="300"/>
      <c r="L269" s="55"/>
      <c r="M269" s="432" t="s">
        <v>325</v>
      </c>
      <c r="N269" s="498"/>
      <c r="O269" s="343"/>
      <c r="P269" s="343"/>
      <c r="Q269" s="528"/>
    </row>
    <row r="270" spans="1:17" ht="17.25" customHeight="1" x14ac:dyDescent="0.25">
      <c r="A270" s="713"/>
      <c r="B270" s="721"/>
      <c r="C270" s="85"/>
      <c r="D270" s="716" t="s">
        <v>32</v>
      </c>
      <c r="E270" s="1674" t="s">
        <v>175</v>
      </c>
      <c r="F270" s="128"/>
      <c r="G270" s="1914" t="s">
        <v>216</v>
      </c>
      <c r="H270" s="100" t="s">
        <v>51</v>
      </c>
      <c r="I270" s="380">
        <v>2.2000000000000002</v>
      </c>
      <c r="J270" s="47"/>
      <c r="K270" s="307"/>
      <c r="L270" s="113"/>
      <c r="M270" s="727" t="s">
        <v>142</v>
      </c>
      <c r="N270" s="459">
        <v>60</v>
      </c>
      <c r="O270" s="227"/>
      <c r="P270" s="245"/>
      <c r="Q270" s="148"/>
    </row>
    <row r="271" spans="1:17" ht="37.5" customHeight="1" x14ac:dyDescent="0.25">
      <c r="A271" s="21"/>
      <c r="B271" s="721"/>
      <c r="C271" s="86"/>
      <c r="D271" s="394"/>
      <c r="E271" s="1684"/>
      <c r="F271" s="161"/>
      <c r="G271" s="1933"/>
      <c r="H271" s="99"/>
      <c r="I271" s="504"/>
      <c r="J271" s="46"/>
      <c r="K271" s="300"/>
      <c r="L271" s="55"/>
      <c r="M271" s="434"/>
      <c r="N271" s="458"/>
      <c r="O271" s="228"/>
      <c r="P271" s="244"/>
      <c r="Q271" s="167"/>
    </row>
    <row r="272" spans="1:17" ht="28.4" customHeight="1" x14ac:dyDescent="0.25">
      <c r="A272" s="822"/>
      <c r="B272" s="823"/>
      <c r="C272" s="85"/>
      <c r="D272" s="821" t="s">
        <v>33</v>
      </c>
      <c r="E272" s="1674" t="s">
        <v>358</v>
      </c>
      <c r="F272" s="128"/>
      <c r="G272" s="1914" t="s">
        <v>363</v>
      </c>
      <c r="H272" s="100" t="s">
        <v>357</v>
      </c>
      <c r="I272" s="380"/>
      <c r="J272" s="47">
        <v>250</v>
      </c>
      <c r="K272" s="307">
        <v>250</v>
      </c>
      <c r="L272" s="113">
        <v>250</v>
      </c>
      <c r="M272" s="827" t="s">
        <v>359</v>
      </c>
      <c r="N272" s="459"/>
      <c r="O272" s="227">
        <v>100</v>
      </c>
      <c r="P272" s="245">
        <v>100</v>
      </c>
      <c r="Q272" s="148">
        <v>100</v>
      </c>
    </row>
    <row r="273" spans="1:26" ht="57.65" customHeight="1" thickBot="1" x14ac:dyDescent="0.3">
      <c r="A273" s="21"/>
      <c r="B273" s="823"/>
      <c r="C273" s="86"/>
      <c r="D273" s="394"/>
      <c r="E273" s="1684"/>
      <c r="F273" s="161"/>
      <c r="G273" s="1933"/>
      <c r="H273" s="99"/>
      <c r="I273" s="504"/>
      <c r="J273" s="46"/>
      <c r="K273" s="300"/>
      <c r="L273" s="55"/>
      <c r="M273" s="434"/>
      <c r="N273" s="458"/>
      <c r="O273" s="228"/>
      <c r="P273" s="244"/>
      <c r="Q273" s="167"/>
    </row>
    <row r="274" spans="1:26" ht="13.5" thickBot="1" x14ac:dyDescent="0.3">
      <c r="A274" s="155" t="s">
        <v>4</v>
      </c>
      <c r="B274" s="72" t="s">
        <v>32</v>
      </c>
      <c r="C274" s="1975" t="s">
        <v>7</v>
      </c>
      <c r="D274" s="1976"/>
      <c r="E274" s="1976"/>
      <c r="F274" s="1976"/>
      <c r="G274" s="1976"/>
      <c r="H274" s="1976"/>
      <c r="I274" s="824">
        <f>SUM(I263:I273)</f>
        <v>305.2</v>
      </c>
      <c r="J274" s="825">
        <f>SUM(J263:J273)</f>
        <v>458.1</v>
      </c>
      <c r="K274" s="825">
        <f t="shared" ref="K274:L274" si="2">SUM(K263:K273)</f>
        <v>429.1</v>
      </c>
      <c r="L274" s="825">
        <f t="shared" si="2"/>
        <v>429.1</v>
      </c>
      <c r="M274" s="826"/>
      <c r="N274" s="70"/>
      <c r="O274" s="70"/>
      <c r="P274" s="70"/>
      <c r="Q274" s="65"/>
    </row>
    <row r="275" spans="1:26" ht="14.25" customHeight="1" thickBot="1" x14ac:dyDescent="0.3">
      <c r="A275" s="24" t="s">
        <v>4</v>
      </c>
      <c r="B275" s="1679" t="s">
        <v>8</v>
      </c>
      <c r="C275" s="1680"/>
      <c r="D275" s="1680"/>
      <c r="E275" s="1680"/>
      <c r="F275" s="1680"/>
      <c r="G275" s="1680"/>
      <c r="H275" s="1680"/>
      <c r="I275" s="522">
        <f>I274+I259+I221+I201</f>
        <v>24906.7</v>
      </c>
      <c r="J275" s="520">
        <f>J274+J259+J221+J201</f>
        <v>20463.599999999999</v>
      </c>
      <c r="K275" s="311">
        <f>K274+K259+K221+K201</f>
        <v>18136.5</v>
      </c>
      <c r="L275" s="304">
        <f>L274+L259+L221+L201</f>
        <v>20524</v>
      </c>
      <c r="M275" s="1662"/>
      <c r="N275" s="1662"/>
      <c r="O275" s="1662"/>
      <c r="P275" s="1662"/>
      <c r="Q275" s="1663"/>
    </row>
    <row r="276" spans="1:26" ht="14.25" customHeight="1" thickBot="1" x14ac:dyDescent="0.3">
      <c r="A276" s="17" t="s">
        <v>34</v>
      </c>
      <c r="B276" s="1664" t="s">
        <v>49</v>
      </c>
      <c r="C276" s="1665"/>
      <c r="D276" s="1665"/>
      <c r="E276" s="1665"/>
      <c r="F276" s="1665"/>
      <c r="G276" s="1665"/>
      <c r="H276" s="1665"/>
      <c r="I276" s="523">
        <f t="shared" ref="I276:L276" si="3">SUM(I275)</f>
        <v>24906.7</v>
      </c>
      <c r="J276" s="521">
        <f>SUM(J275)</f>
        <v>20463.599999999999</v>
      </c>
      <c r="K276" s="312">
        <f t="shared" si="3"/>
        <v>18136.5</v>
      </c>
      <c r="L276" s="305">
        <f t="shared" si="3"/>
        <v>20524</v>
      </c>
      <c r="M276" s="1667"/>
      <c r="N276" s="1667"/>
      <c r="O276" s="1667"/>
      <c r="P276" s="1667"/>
      <c r="Q276" s="1668"/>
    </row>
    <row r="277" spans="1:26" s="7" customFormat="1" ht="16.5" customHeight="1" x14ac:dyDescent="0.25">
      <c r="A277" s="1669" t="s">
        <v>327</v>
      </c>
      <c r="B277" s="1669"/>
      <c r="C277" s="1669"/>
      <c r="D277" s="1669"/>
      <c r="E277" s="1669"/>
      <c r="F277" s="1669"/>
      <c r="G277" s="1669"/>
      <c r="H277" s="1669"/>
      <c r="I277" s="670"/>
      <c r="J277" s="122"/>
      <c r="K277" s="122"/>
      <c r="L277" s="122"/>
      <c r="M277" s="670"/>
      <c r="N277" s="108"/>
      <c r="O277" s="237"/>
      <c r="P277" s="237"/>
      <c r="Q277" s="108"/>
    </row>
    <row r="278" spans="1:26" s="7" customFormat="1" ht="17.25" customHeight="1" x14ac:dyDescent="0.25">
      <c r="A278" s="108"/>
      <c r="B278" s="122"/>
      <c r="C278" s="122"/>
      <c r="D278" s="122"/>
      <c r="E278" s="122"/>
      <c r="F278" s="122"/>
      <c r="G278" s="122"/>
      <c r="H278" s="122"/>
      <c r="I278" s="122"/>
      <c r="J278" s="671"/>
      <c r="K278" s="671"/>
      <c r="L278" s="671"/>
      <c r="M278" s="122"/>
      <c r="N278" s="108"/>
      <c r="O278" s="237"/>
      <c r="P278" s="237"/>
      <c r="Q278" s="108"/>
      <c r="R278" s="3"/>
      <c r="S278" s="3"/>
      <c r="T278" s="3"/>
      <c r="U278" s="3"/>
      <c r="V278" s="3"/>
      <c r="W278" s="3"/>
      <c r="X278" s="3"/>
      <c r="Y278" s="3"/>
      <c r="Z278" s="3"/>
    </row>
    <row r="279" spans="1:26" s="8" customFormat="1" ht="14.25" customHeight="1" thickBot="1" x14ac:dyDescent="0.3">
      <c r="A279" s="1670" t="s">
        <v>12</v>
      </c>
      <c r="B279" s="1670"/>
      <c r="C279" s="1670"/>
      <c r="D279" s="1670"/>
      <c r="E279" s="1670"/>
      <c r="F279" s="1670"/>
      <c r="G279" s="1670"/>
      <c r="H279" s="1670"/>
      <c r="I279" s="1670"/>
      <c r="J279" s="1670"/>
      <c r="K279" s="1670"/>
      <c r="L279" s="1670"/>
      <c r="M279" s="14"/>
      <c r="N279" s="14"/>
      <c r="O279" s="346"/>
      <c r="P279" s="346"/>
      <c r="Q279" s="14"/>
      <c r="R279" s="3"/>
      <c r="S279" s="3"/>
      <c r="T279" s="3"/>
      <c r="U279" s="3"/>
      <c r="V279" s="3"/>
      <c r="W279" s="3"/>
      <c r="X279" s="3"/>
      <c r="Y279" s="3"/>
      <c r="Z279" s="3"/>
    </row>
    <row r="280" spans="1:26" ht="43.5" customHeight="1" thickBot="1" x14ac:dyDescent="0.3">
      <c r="A280" s="1671" t="s">
        <v>9</v>
      </c>
      <c r="B280" s="1672"/>
      <c r="C280" s="1672"/>
      <c r="D280" s="1672"/>
      <c r="E280" s="1672"/>
      <c r="F280" s="1672"/>
      <c r="G280" s="1672"/>
      <c r="H280" s="1673"/>
      <c r="I280" s="375" t="s">
        <v>281</v>
      </c>
      <c r="J280" s="375" t="s">
        <v>275</v>
      </c>
      <c r="K280" s="375" t="s">
        <v>382</v>
      </c>
      <c r="L280" s="375" t="s">
        <v>383</v>
      </c>
      <c r="M280" s="2"/>
      <c r="N280" s="2"/>
      <c r="O280" s="2"/>
      <c r="P280" s="2"/>
      <c r="Q280" s="2"/>
    </row>
    <row r="281" spans="1:26" ht="14.25" customHeight="1" x14ac:dyDescent="0.25">
      <c r="A281" s="1653" t="s">
        <v>13</v>
      </c>
      <c r="B281" s="1654"/>
      <c r="C281" s="1654"/>
      <c r="D281" s="1654"/>
      <c r="E281" s="1654"/>
      <c r="F281" s="1654"/>
      <c r="G281" s="1654"/>
      <c r="H281" s="1655"/>
      <c r="I281" s="96">
        <f>I282+I293+I296+I297+I292</f>
        <v>24906.7</v>
      </c>
      <c r="J281" s="96">
        <f>J282+J293+J294+J295+J296+J297+J292</f>
        <v>20440.7</v>
      </c>
      <c r="K281" s="96">
        <f t="shared" ref="K281:L281" si="4">K282+K293+K294+K295+K296+K297+K292</f>
        <v>18136.5</v>
      </c>
      <c r="L281" s="96">
        <f t="shared" si="4"/>
        <v>19024</v>
      </c>
    </row>
    <row r="282" spans="1:26" ht="14.25" customHeight="1" x14ac:dyDescent="0.25">
      <c r="A282" s="1656" t="s">
        <v>70</v>
      </c>
      <c r="B282" s="1657"/>
      <c r="C282" s="1657"/>
      <c r="D282" s="1657"/>
      <c r="E282" s="1657"/>
      <c r="F282" s="1657"/>
      <c r="G282" s="1657"/>
      <c r="H282" s="1658"/>
      <c r="I282" s="43">
        <f>SUM(I283:I291)</f>
        <v>23299.5</v>
      </c>
      <c r="J282" s="43">
        <f>SUM(J283:J291)</f>
        <v>17548.8</v>
      </c>
      <c r="K282" s="43">
        <f>SUM(K283:K291)</f>
        <v>18136.5</v>
      </c>
      <c r="L282" s="43">
        <f t="shared" ref="L282" si="5">SUM(L283:L291)</f>
        <v>19024</v>
      </c>
      <c r="M282" s="79"/>
    </row>
    <row r="283" spans="1:26" ht="14.25" customHeight="1" x14ac:dyDescent="0.25">
      <c r="A283" s="1659" t="s">
        <v>17</v>
      </c>
      <c r="B283" s="1660"/>
      <c r="C283" s="1660"/>
      <c r="D283" s="1660"/>
      <c r="E283" s="1660"/>
      <c r="F283" s="1660"/>
      <c r="G283" s="1660"/>
      <c r="H283" s="1661"/>
      <c r="I283" s="48">
        <f>SUMIF(H17:H276,"SB",I17:I276)</f>
        <v>10705.8</v>
      </c>
      <c r="J283" s="48">
        <f>SUMIF(H17:H276,"SB",J17:J276)</f>
        <v>10457.5</v>
      </c>
      <c r="K283" s="48">
        <f>SUMIF(H17:H276,"SB",K17:K276)</f>
        <v>14523.8</v>
      </c>
      <c r="L283" s="48">
        <f>SUMIF(H17:H276,"SB",L17:L276)</f>
        <v>16179.3</v>
      </c>
      <c r="M283" s="11"/>
      <c r="O283" s="672"/>
    </row>
    <row r="284" spans="1:26" ht="14.25" customHeight="1" x14ac:dyDescent="0.25">
      <c r="A284" s="1635" t="s">
        <v>18</v>
      </c>
      <c r="B284" s="1636"/>
      <c r="C284" s="1636"/>
      <c r="D284" s="1636"/>
      <c r="E284" s="1636"/>
      <c r="F284" s="1636"/>
      <c r="G284" s="1636"/>
      <c r="H284" s="1637"/>
      <c r="I284" s="54">
        <f>SUMIF(H17:H276,"SB(SP)",I17:I276)</f>
        <v>35.700000000000003</v>
      </c>
      <c r="J284" s="54">
        <f>SUMIF(H17:H276,"SB(SP)",J17:J276)</f>
        <v>35.700000000000003</v>
      </c>
      <c r="K284" s="54">
        <f>SUMIF(H17:H276,"SB(SP)",K17:K276)</f>
        <v>35.700000000000003</v>
      </c>
      <c r="L284" s="54">
        <f>SUMIF(H17:H276,"SB(SP)",L17:L276)</f>
        <v>35.700000000000003</v>
      </c>
      <c r="M284" s="15"/>
    </row>
    <row r="285" spans="1:26" ht="14.25" customHeight="1" x14ac:dyDescent="0.25">
      <c r="A285" s="1650" t="s">
        <v>360</v>
      </c>
      <c r="B285" s="1651"/>
      <c r="C285" s="1651"/>
      <c r="D285" s="1651"/>
      <c r="E285" s="1651"/>
      <c r="F285" s="1651"/>
      <c r="G285" s="1651"/>
      <c r="H285" s="1652"/>
      <c r="I285" s="48">
        <f>SUMIF(H17:H276,"SB(SPI)",I17:I276)</f>
        <v>0</v>
      </c>
      <c r="J285" s="48">
        <f>SUMIF(H17:H276,"SB(SPI)",J17:J276)</f>
        <v>250</v>
      </c>
      <c r="K285" s="48">
        <f>SUMIF(H17:H276,"SB(SPI)",K17:K276)</f>
        <v>250</v>
      </c>
      <c r="L285" s="48">
        <f>SUMIF(H17:H276,"SB(SPI)",L17:L276)</f>
        <v>250</v>
      </c>
      <c r="M285" s="15"/>
    </row>
    <row r="286" spans="1:26" ht="12.75" customHeight="1" x14ac:dyDescent="0.25">
      <c r="A286" s="1635" t="s">
        <v>57</v>
      </c>
      <c r="B286" s="1636"/>
      <c r="C286" s="1636"/>
      <c r="D286" s="1636"/>
      <c r="E286" s="1636"/>
      <c r="F286" s="1636"/>
      <c r="G286" s="1636"/>
      <c r="H286" s="1637"/>
      <c r="I286" s="54">
        <f>SUMIF(H17:H276,"SB(VR)",I17:I276)</f>
        <v>0</v>
      </c>
      <c r="J286" s="54">
        <f>SUMIF(H17:H276,"SB(VR)",J17:J276)</f>
        <v>0</v>
      </c>
      <c r="K286" s="54">
        <f>SUMIF(H17:H276,"SB(VR)",K17:K276)</f>
        <v>0</v>
      </c>
      <c r="L286" s="54">
        <f>SUMIF(H17:H276,"SB(VR)",L17:L276)</f>
        <v>0</v>
      </c>
      <c r="M286" s="13"/>
      <c r="N286" s="1"/>
      <c r="Q286" s="1"/>
    </row>
    <row r="287" spans="1:26" x14ac:dyDescent="0.25">
      <c r="A287" s="1635" t="s">
        <v>19</v>
      </c>
      <c r="B287" s="1636"/>
      <c r="C287" s="1636"/>
      <c r="D287" s="1636"/>
      <c r="E287" s="1636"/>
      <c r="F287" s="1636"/>
      <c r="G287" s="1636"/>
      <c r="H287" s="1637"/>
      <c r="I287" s="54">
        <f>SUMIF(H17:H276,"SB(P)",I17:I276)</f>
        <v>2370</v>
      </c>
      <c r="J287" s="54">
        <f>SUMIF(H17:H276,"SB(P)",J17:J276)</f>
        <v>1995</v>
      </c>
      <c r="K287" s="54">
        <f>SUMIF(H17:H276,"SB(P)",K17:K276)</f>
        <v>2132.6</v>
      </c>
      <c r="L287" s="54">
        <f>SUMIF(H17:H276,"SB(P)",L17:L276)</f>
        <v>2559</v>
      </c>
      <c r="M287" s="13"/>
      <c r="N287" s="1"/>
      <c r="Q287" s="1"/>
    </row>
    <row r="288" spans="1:26" x14ac:dyDescent="0.25">
      <c r="A288" s="1635" t="s">
        <v>362</v>
      </c>
      <c r="B288" s="1636"/>
      <c r="C288" s="1636"/>
      <c r="D288" s="1636"/>
      <c r="E288" s="1636"/>
      <c r="F288" s="1636"/>
      <c r="G288" s="1636"/>
      <c r="H288" s="1637"/>
      <c r="I288" s="54">
        <f>SUMIF(H17:H276,"SB(K)",I17:I276)</f>
        <v>0</v>
      </c>
      <c r="J288" s="54">
        <f>SUMIF(H17:H276,"SB(K)",J17:J276)</f>
        <v>300</v>
      </c>
      <c r="K288" s="54">
        <f>SUMIF(H17:H276,"SB(K)",K17:K276)</f>
        <v>0</v>
      </c>
      <c r="L288" s="54">
        <f>SUMIF(H17:H276,"SB(K)",L17:L276)</f>
        <v>0</v>
      </c>
      <c r="M288" s="13"/>
      <c r="N288" s="1"/>
      <c r="Q288" s="1"/>
    </row>
    <row r="289" spans="1:17" x14ac:dyDescent="0.25">
      <c r="A289" s="1635" t="s">
        <v>73</v>
      </c>
      <c r="B289" s="1636"/>
      <c r="C289" s="1636"/>
      <c r="D289" s="1636"/>
      <c r="E289" s="1636"/>
      <c r="F289" s="1636"/>
      <c r="G289" s="1636"/>
      <c r="H289" s="1637"/>
      <c r="I289" s="54">
        <f>SUMIF(H17:H276,"SB(VB)",I17:I276)</f>
        <v>826.1</v>
      </c>
      <c r="J289" s="54">
        <f>SUMIF(H17:H276,"SB(VB)",J17:J276)</f>
        <v>365.8</v>
      </c>
      <c r="K289" s="54">
        <f>SUMIF(H17:H276,"SB(VB)",K17:K276)</f>
        <v>96.9</v>
      </c>
      <c r="L289" s="54">
        <f>SUMIF(H17:H276,"SB(VB)",L17:L276)</f>
        <v>0</v>
      </c>
    </row>
    <row r="290" spans="1:17" x14ac:dyDescent="0.25">
      <c r="A290" s="1650" t="s">
        <v>118</v>
      </c>
      <c r="B290" s="1651"/>
      <c r="C290" s="1651"/>
      <c r="D290" s="1651"/>
      <c r="E290" s="1651"/>
      <c r="F290" s="1651"/>
      <c r="G290" s="1651"/>
      <c r="H290" s="1652"/>
      <c r="I290" s="54">
        <f>SUMIF(H17:H276,"SB(KPP)",I17:I276)</f>
        <v>0</v>
      </c>
      <c r="J290" s="54">
        <f>SUMIF(H17:H276,"SB(KPP)",J17:J276)</f>
        <v>0</v>
      </c>
      <c r="K290" s="54">
        <f>SUMIF(H17:H276,"SB(KPP)",K17:K276)</f>
        <v>0</v>
      </c>
      <c r="L290" s="54">
        <f>SUMIF(H17:H276,"SB(KPP)",L17:L276)</f>
        <v>0</v>
      </c>
      <c r="M290" s="29"/>
      <c r="N290" s="29"/>
      <c r="O290" s="347"/>
      <c r="P290" s="347"/>
      <c r="Q290" s="29"/>
    </row>
    <row r="291" spans="1:17" ht="14.25" customHeight="1" x14ac:dyDescent="0.25">
      <c r="A291" s="1638" t="s">
        <v>350</v>
      </c>
      <c r="B291" s="1639"/>
      <c r="C291" s="1639"/>
      <c r="D291" s="1639"/>
      <c r="E291" s="1639"/>
      <c r="F291" s="1639"/>
      <c r="G291" s="1639"/>
      <c r="H291" s="1640"/>
      <c r="I291" s="54">
        <f>SUMIF(H17:H276,"SB(ES)",I17:I276)</f>
        <v>9361.9</v>
      </c>
      <c r="J291" s="54">
        <f>SUMIF(H17:H276,"SB(ES)",J17:J276)</f>
        <v>4144.8</v>
      </c>
      <c r="K291" s="54">
        <f>SUMIF(H17:H276,"SB(ES)",K17:K276)</f>
        <v>1097.5</v>
      </c>
      <c r="L291" s="54">
        <f>SUMIF(H17:H276,"SB(ES)",L17:L276)</f>
        <v>0</v>
      </c>
    </row>
    <row r="292" spans="1:17" ht="14.25" customHeight="1" x14ac:dyDescent="0.25">
      <c r="A292" s="1644" t="s">
        <v>52</v>
      </c>
      <c r="B292" s="1645"/>
      <c r="C292" s="1645"/>
      <c r="D292" s="1645"/>
      <c r="E292" s="1645"/>
      <c r="F292" s="1645"/>
      <c r="G292" s="1645"/>
      <c r="H292" s="1646"/>
      <c r="I292" s="75">
        <f>SUMIF(H17:H276,"SB(L)",I17:I276)</f>
        <v>1600.6</v>
      </c>
      <c r="J292" s="75">
        <f>SUMIF(H17:H273,"SB(L)",J17:J273)</f>
        <v>1301.3</v>
      </c>
      <c r="K292" s="75">
        <f>SUMIF(H17:H273,"SB(L)",K17:K273)</f>
        <v>0</v>
      </c>
      <c r="L292" s="75">
        <f>SUMIF(H17:H273,"SB(L)",L17:L273)</f>
        <v>0</v>
      </c>
    </row>
    <row r="293" spans="1:17" x14ac:dyDescent="0.25">
      <c r="A293" s="1644" t="s">
        <v>71</v>
      </c>
      <c r="B293" s="1645"/>
      <c r="C293" s="1645"/>
      <c r="D293" s="1645"/>
      <c r="E293" s="1645"/>
      <c r="F293" s="1645"/>
      <c r="G293" s="1645"/>
      <c r="H293" s="1646"/>
      <c r="I293" s="45">
        <f>SUMIF(H17:H276,"SB(SPL)",I17:I276)</f>
        <v>6.6</v>
      </c>
      <c r="J293" s="45">
        <f>SUMIF(H17:H276,"SB(SPL)",J17:J276)</f>
        <v>2.7</v>
      </c>
      <c r="K293" s="45">
        <f>SUMIF(H17:H276,"SB(SPL)",K17:K276)</f>
        <v>0</v>
      </c>
      <c r="L293" s="45">
        <f>SUMIF(H17:H276,"SB(SPL)",L17:L276)</f>
        <v>0</v>
      </c>
    </row>
    <row r="294" spans="1:17" ht="13.4" customHeight="1" x14ac:dyDescent="0.25">
      <c r="A294" s="1644" t="s">
        <v>349</v>
      </c>
      <c r="B294" s="1645"/>
      <c r="C294" s="1645"/>
      <c r="D294" s="1645"/>
      <c r="E294" s="1645"/>
      <c r="F294" s="1645"/>
      <c r="G294" s="1645"/>
      <c r="H294" s="1646"/>
      <c r="I294" s="45">
        <f>SUMIF(H17:H276,"SB(VBL)",I17:I276)</f>
        <v>0</v>
      </c>
      <c r="J294" s="45">
        <f>SUMIF(H17:H276,"SB(VBL)",J17:J276)</f>
        <v>112.3</v>
      </c>
      <c r="K294" s="45">
        <f>SUMIF(H17:H276,"SB(VBL)",K17:K276)</f>
        <v>0</v>
      </c>
      <c r="L294" s="45">
        <f>SUMIF(H17:H276,"SB(VBL)",L17:L276)</f>
        <v>0</v>
      </c>
    </row>
    <row r="295" spans="1:17" ht="13.4" customHeight="1" x14ac:dyDescent="0.25">
      <c r="A295" s="1644" t="s">
        <v>348</v>
      </c>
      <c r="B295" s="1645"/>
      <c r="C295" s="1645"/>
      <c r="D295" s="1645"/>
      <c r="E295" s="1645"/>
      <c r="F295" s="1645"/>
      <c r="G295" s="1645"/>
      <c r="H295" s="1646"/>
      <c r="I295" s="45">
        <f>SUMIF(H17:H276,"SB(ESL)",I17:I276)</f>
        <v>0</v>
      </c>
      <c r="J295" s="45">
        <f>SUMIF(H17:H276,"SB(ESL)",J17:J276)</f>
        <v>1475.6</v>
      </c>
      <c r="K295" s="45">
        <f>SUMIF(H17:H276,"SB(ESL)",K17:K276)</f>
        <v>0</v>
      </c>
      <c r="L295" s="45">
        <f>SUMIF(H17:H276,"SB(ESL)",L17:L276)</f>
        <v>0</v>
      </c>
    </row>
    <row r="296" spans="1:17" x14ac:dyDescent="0.25">
      <c r="A296" s="1644" t="s">
        <v>74</v>
      </c>
      <c r="B296" s="1645"/>
      <c r="C296" s="1645"/>
      <c r="D296" s="1645"/>
      <c r="E296" s="1645"/>
      <c r="F296" s="1645"/>
      <c r="G296" s="1645"/>
      <c r="H296" s="1646"/>
      <c r="I296" s="45">
        <f>SUMIF(H17:H276,"SB(ŽPL)",I17:I276)</f>
        <v>0</v>
      </c>
      <c r="J296" s="45">
        <f>SUMIF(H17:H276,"SB(ŽPL)",J17:J276)</f>
        <v>0</v>
      </c>
      <c r="K296" s="45">
        <f>SUMIF(H17:H276,"SB(ŽPL)",K17:K276)</f>
        <v>0</v>
      </c>
      <c r="L296" s="45">
        <f>SUMIF(H17:H276,"SB(ŽPL)",L17:L276)</f>
        <v>0</v>
      </c>
    </row>
    <row r="297" spans="1:17" ht="12" customHeight="1" x14ac:dyDescent="0.25">
      <c r="A297" s="1644" t="s">
        <v>72</v>
      </c>
      <c r="B297" s="1645"/>
      <c r="C297" s="1645"/>
      <c r="D297" s="1645"/>
      <c r="E297" s="1645"/>
      <c r="F297" s="1645"/>
      <c r="G297" s="1645"/>
      <c r="H297" s="1646"/>
      <c r="I297" s="75">
        <f>SUMIF(H17:H276,"SB(VRL)",I17:I276)</f>
        <v>0</v>
      </c>
      <c r="J297" s="75">
        <f>SUMIF(H17:H276,"SB(VRL)",J17:J276)</f>
        <v>0</v>
      </c>
      <c r="K297" s="75">
        <f>SUMIF(H17:H276,"SB(VRL)",K17:K276)</f>
        <v>0</v>
      </c>
      <c r="L297" s="75">
        <f>SUMIF(H17:H276,"SB(VRL)",L17:L276)</f>
        <v>0</v>
      </c>
    </row>
    <row r="298" spans="1:17" x14ac:dyDescent="0.25">
      <c r="A298" s="1647" t="s">
        <v>14</v>
      </c>
      <c r="B298" s="1648"/>
      <c r="C298" s="1648"/>
      <c r="D298" s="1648"/>
      <c r="E298" s="1648"/>
      <c r="F298" s="1648"/>
      <c r="G298" s="1648"/>
      <c r="H298" s="1649"/>
      <c r="I298" s="116">
        <f>SUM(I299:I302)</f>
        <v>0</v>
      </c>
      <c r="J298" s="116">
        <f t="shared" ref="J298:L298" si="6">SUM(J299:J302)</f>
        <v>22.9</v>
      </c>
      <c r="K298" s="116">
        <f t="shared" si="6"/>
        <v>0</v>
      </c>
      <c r="L298" s="116">
        <f t="shared" si="6"/>
        <v>1500</v>
      </c>
    </row>
    <row r="299" spans="1:17" x14ac:dyDescent="0.25">
      <c r="A299" s="1632" t="s">
        <v>97</v>
      </c>
      <c r="B299" s="1633"/>
      <c r="C299" s="1633"/>
      <c r="D299" s="1633"/>
      <c r="E299" s="1633"/>
      <c r="F299" s="1633"/>
      <c r="G299" s="1633"/>
      <c r="H299" s="1634"/>
      <c r="I299" s="54">
        <f>SUMIF(H17:H276,"KVJUD",I17:I276)</f>
        <v>0</v>
      </c>
      <c r="J299" s="54">
        <f>SUMIF(H17:H276,"KVJUD",J17:J276)</f>
        <v>0</v>
      </c>
      <c r="K299" s="54">
        <f>SUMIF(H17:H276,"KVJUD",K17:K276)</f>
        <v>0</v>
      </c>
      <c r="L299" s="54">
        <f>SUMIF(H17:H276,"KVJUD",L17:L276)</f>
        <v>0</v>
      </c>
    </row>
    <row r="300" spans="1:17" ht="13.5" customHeight="1" x14ac:dyDescent="0.25">
      <c r="A300" s="1635" t="s">
        <v>21</v>
      </c>
      <c r="B300" s="1636"/>
      <c r="C300" s="1636"/>
      <c r="D300" s="1636"/>
      <c r="E300" s="1636"/>
      <c r="F300" s="1636"/>
      <c r="G300" s="1636"/>
      <c r="H300" s="1637"/>
      <c r="I300" s="54">
        <f>SUMIF(H17:H276,"LRVB",I17:I276)</f>
        <v>0</v>
      </c>
      <c r="J300" s="54">
        <f>SUMIF(H17:H276,"LRVB",J17:J276)</f>
        <v>0</v>
      </c>
      <c r="K300" s="54">
        <f>SUMIF(H17:H276,"LRVB",K17:K276)</f>
        <v>0</v>
      </c>
      <c r="L300" s="54">
        <f>SUMIF(H17:H276,"LRVB",L17:L276)</f>
        <v>1500</v>
      </c>
    </row>
    <row r="301" spans="1:17" ht="14.25" customHeight="1" x14ac:dyDescent="0.25">
      <c r="A301" s="1638" t="s">
        <v>20</v>
      </c>
      <c r="B301" s="1639"/>
      <c r="C301" s="1639"/>
      <c r="D301" s="1639"/>
      <c r="E301" s="1639"/>
      <c r="F301" s="1639"/>
      <c r="G301" s="1639"/>
      <c r="H301" s="1640"/>
      <c r="I301" s="44">
        <f>SUMIF(H17:H276,"ES",I17:I276)</f>
        <v>0</v>
      </c>
      <c r="J301" s="44">
        <f>SUMIF(H17:H276,"ES",J17:J276)</f>
        <v>0</v>
      </c>
      <c r="K301" s="44">
        <f>SUMIF(H17:H276,"ES",K17:K276)</f>
        <v>0</v>
      </c>
      <c r="L301" s="44">
        <f>SUMIF(H17:H276,"ES",L17:L276)</f>
        <v>0</v>
      </c>
    </row>
    <row r="302" spans="1:17" ht="15.75" customHeight="1" x14ac:dyDescent="0.25">
      <c r="A302" s="1635" t="s">
        <v>22</v>
      </c>
      <c r="B302" s="1636"/>
      <c r="C302" s="1636"/>
      <c r="D302" s="1636"/>
      <c r="E302" s="1636"/>
      <c r="F302" s="1636"/>
      <c r="G302" s="1636"/>
      <c r="H302" s="1637"/>
      <c r="I302" s="54">
        <f>SUMIF(H17:H276,"Kt",I17:I276)</f>
        <v>0</v>
      </c>
      <c r="J302" s="54">
        <f>SUMIF(H17:H276,"Kt",J17:J276)</f>
        <v>22.9</v>
      </c>
      <c r="K302" s="54">
        <f>SUMIF(H17:H276,"Kt",K17:K276)</f>
        <v>0</v>
      </c>
      <c r="L302" s="54">
        <f>SUMIF(H17:H276,"Kt",L17:L276)</f>
        <v>0</v>
      </c>
    </row>
    <row r="303" spans="1:17" ht="15" customHeight="1" thickBot="1" x14ac:dyDescent="0.3">
      <c r="A303" s="1641" t="s">
        <v>15</v>
      </c>
      <c r="B303" s="1642"/>
      <c r="C303" s="1642"/>
      <c r="D303" s="1642"/>
      <c r="E303" s="1642"/>
      <c r="F303" s="1642"/>
      <c r="G303" s="1642"/>
      <c r="H303" s="1643"/>
      <c r="I303" s="98">
        <f>SUM(I281,I298)</f>
        <v>24906.7</v>
      </c>
      <c r="J303" s="98">
        <f>SUM(J281,J298)</f>
        <v>20463.599999999999</v>
      </c>
      <c r="K303" s="98">
        <f t="shared" ref="K303:L303" si="7">SUM(K281,K298)</f>
        <v>18136.5</v>
      </c>
      <c r="L303" s="98">
        <f t="shared" si="7"/>
        <v>20524</v>
      </c>
      <c r="N303" s="3"/>
      <c r="O303" s="348"/>
      <c r="P303" s="348"/>
      <c r="Q303" s="3"/>
    </row>
    <row r="304" spans="1:17" x14ac:dyDescent="0.25">
      <c r="I304" s="7"/>
      <c r="J304" s="7"/>
      <c r="K304" s="7"/>
      <c r="L304" s="7"/>
      <c r="M304" s="7"/>
      <c r="N304" s="6"/>
      <c r="O304" s="2"/>
      <c r="P304" s="2"/>
      <c r="Q304" s="6"/>
    </row>
    <row r="305" spans="9:17" x14ac:dyDescent="0.25">
      <c r="I305" s="109"/>
      <c r="J305" s="109"/>
      <c r="K305" s="109"/>
      <c r="L305" s="109"/>
      <c r="M305" s="7"/>
      <c r="N305" s="7"/>
      <c r="O305" s="349"/>
      <c r="P305" s="349"/>
      <c r="Q305" s="7"/>
    </row>
    <row r="306" spans="9:17" x14ac:dyDescent="0.25">
      <c r="I306" s="12"/>
      <c r="J306" s="12"/>
      <c r="K306" s="12"/>
      <c r="L306" s="12"/>
    </row>
    <row r="307" spans="9:17" x14ac:dyDescent="0.25">
      <c r="I307" s="12"/>
      <c r="J307" s="12"/>
      <c r="K307" s="12"/>
      <c r="L307" s="12"/>
    </row>
    <row r="308" spans="9:17" x14ac:dyDescent="0.25">
      <c r="I308" s="29"/>
      <c r="J308" s="29"/>
      <c r="K308" s="29"/>
      <c r="L308" s="29"/>
    </row>
    <row r="309" spans="9:17" x14ac:dyDescent="0.25">
      <c r="M309" s="12"/>
    </row>
  </sheetData>
  <mergeCells count="250">
    <mergeCell ref="A288:H288"/>
    <mergeCell ref="D178:D189"/>
    <mergeCell ref="F93:F99"/>
    <mergeCell ref="B276:H276"/>
    <mergeCell ref="B127:B129"/>
    <mergeCell ref="A294:H294"/>
    <mergeCell ref="A295:H295"/>
    <mergeCell ref="F104:F105"/>
    <mergeCell ref="D108:F108"/>
    <mergeCell ref="A160:A161"/>
    <mergeCell ref="B160:B161"/>
    <mergeCell ref="C160:C161"/>
    <mergeCell ref="D160:D161"/>
    <mergeCell ref="E160:E161"/>
    <mergeCell ref="A158:A159"/>
    <mergeCell ref="B158:B159"/>
    <mergeCell ref="C158:C159"/>
    <mergeCell ref="D158:D159"/>
    <mergeCell ref="E158:E159"/>
    <mergeCell ref="A106:A107"/>
    <mergeCell ref="B106:B107"/>
    <mergeCell ref="C106:C107"/>
    <mergeCell ref="A104:A105"/>
    <mergeCell ref="E141:E142"/>
    <mergeCell ref="G38:G39"/>
    <mergeCell ref="D47:D48"/>
    <mergeCell ref="E47:E48"/>
    <mergeCell ref="A285:H285"/>
    <mergeCell ref="D64:D65"/>
    <mergeCell ref="A100:A101"/>
    <mergeCell ref="B100:B101"/>
    <mergeCell ref="C100:C101"/>
    <mergeCell ref="D100:D101"/>
    <mergeCell ref="E100:E101"/>
    <mergeCell ref="F100:F101"/>
    <mergeCell ref="A93:A99"/>
    <mergeCell ref="B93:B99"/>
    <mergeCell ref="C93:C99"/>
    <mergeCell ref="E93:E99"/>
    <mergeCell ref="A279:L279"/>
    <mergeCell ref="A277:H277"/>
    <mergeCell ref="A127:A129"/>
    <mergeCell ref="E127:E129"/>
    <mergeCell ref="F158:F159"/>
    <mergeCell ref="D127:D129"/>
    <mergeCell ref="E104:E105"/>
    <mergeCell ref="A69:A74"/>
    <mergeCell ref="E240:E245"/>
    <mergeCell ref="D60:D61"/>
    <mergeCell ref="E62:E63"/>
    <mergeCell ref="G40:G42"/>
    <mergeCell ref="E60:E61"/>
    <mergeCell ref="G69:G74"/>
    <mergeCell ref="E64:E65"/>
    <mergeCell ref="G44:G46"/>
    <mergeCell ref="G49:G63"/>
    <mergeCell ref="G64:G65"/>
    <mergeCell ref="G67:G68"/>
    <mergeCell ref="F141:F142"/>
    <mergeCell ref="G111:G117"/>
    <mergeCell ref="E109:E110"/>
    <mergeCell ref="G109:G110"/>
    <mergeCell ref="B104:B105"/>
    <mergeCell ref="C104:C105"/>
    <mergeCell ref="D104:D105"/>
    <mergeCell ref="A4:Q4"/>
    <mergeCell ref="A5:Q5"/>
    <mergeCell ref="M6:Q6"/>
    <mergeCell ref="A7:A9"/>
    <mergeCell ref="B7:B9"/>
    <mergeCell ref="C7:C9"/>
    <mergeCell ref="D7:D9"/>
    <mergeCell ref="E7:E9"/>
    <mergeCell ref="D49:D52"/>
    <mergeCell ref="E49:E52"/>
    <mergeCell ref="M49:M52"/>
    <mergeCell ref="G17:G18"/>
    <mergeCell ref="G19:G20"/>
    <mergeCell ref="G22:G23"/>
    <mergeCell ref="G29:G30"/>
    <mergeCell ref="G32:G35"/>
    <mergeCell ref="G36:G37"/>
    <mergeCell ref="M7:Q7"/>
    <mergeCell ref="M8:M9"/>
    <mergeCell ref="A10:Q10"/>
    <mergeCell ref="A11:Q11"/>
    <mergeCell ref="G7:G9"/>
    <mergeCell ref="H7:H9"/>
    <mergeCell ref="G24:G27"/>
    <mergeCell ref="C274:H274"/>
    <mergeCell ref="E272:E273"/>
    <mergeCell ref="E227:E228"/>
    <mergeCell ref="M227:M228"/>
    <mergeCell ref="E207:E211"/>
    <mergeCell ref="M207:M208"/>
    <mergeCell ref="M209:M210"/>
    <mergeCell ref="C221:H221"/>
    <mergeCell ref="C222:Q222"/>
    <mergeCell ref="E224:E225"/>
    <mergeCell ref="G224:G226"/>
    <mergeCell ref="G263:G265"/>
    <mergeCell ref="G238:G239"/>
    <mergeCell ref="G227:G229"/>
    <mergeCell ref="E230:E232"/>
    <mergeCell ref="G230:G231"/>
    <mergeCell ref="M231:M232"/>
    <mergeCell ref="M275:Q275"/>
    <mergeCell ref="G218:G219"/>
    <mergeCell ref="L7:L9"/>
    <mergeCell ref="N8:Q8"/>
    <mergeCell ref="B12:Q12"/>
    <mergeCell ref="C13:Q13"/>
    <mergeCell ref="E14:E16"/>
    <mergeCell ref="G14:G16"/>
    <mergeCell ref="M14:M16"/>
    <mergeCell ref="E17:E20"/>
    <mergeCell ref="D22:D27"/>
    <mergeCell ref="E22:E27"/>
    <mergeCell ref="M22:M27"/>
    <mergeCell ref="F7:F9"/>
    <mergeCell ref="K7:K9"/>
    <mergeCell ref="E36:E39"/>
    <mergeCell ref="B69:B74"/>
    <mergeCell ref="C69:C74"/>
    <mergeCell ref="D69:D74"/>
    <mergeCell ref="E69:E74"/>
    <mergeCell ref="D66:G66"/>
    <mergeCell ref="E67:E68"/>
    <mergeCell ref="G266:G267"/>
    <mergeCell ref="M266:M267"/>
    <mergeCell ref="M241:M242"/>
    <mergeCell ref="A300:H300"/>
    <mergeCell ref="M263:M264"/>
    <mergeCell ref="M234:M235"/>
    <mergeCell ref="C259:H259"/>
    <mergeCell ref="C260:H260"/>
    <mergeCell ref="E261:E262"/>
    <mergeCell ref="E270:E271"/>
    <mergeCell ref="A280:H280"/>
    <mergeCell ref="A263:A265"/>
    <mergeCell ref="B263:B265"/>
    <mergeCell ref="C263:C265"/>
    <mergeCell ref="E263:E265"/>
    <mergeCell ref="F263:F265"/>
    <mergeCell ref="G270:G271"/>
    <mergeCell ref="A238:A239"/>
    <mergeCell ref="B238:B239"/>
    <mergeCell ref="C238:C239"/>
    <mergeCell ref="D238:D239"/>
    <mergeCell ref="E238:E239"/>
    <mergeCell ref="G272:G273"/>
    <mergeCell ref="E268:E269"/>
    <mergeCell ref="G268:G269"/>
    <mergeCell ref="M276:Q276"/>
    <mergeCell ref="E266:E267"/>
    <mergeCell ref="A301:H301"/>
    <mergeCell ref="A302:H302"/>
    <mergeCell ref="A303:H303"/>
    <mergeCell ref="M1:Q2"/>
    <mergeCell ref="M40:M44"/>
    <mergeCell ref="A292:H292"/>
    <mergeCell ref="A293:H293"/>
    <mergeCell ref="A296:H296"/>
    <mergeCell ref="A297:H297"/>
    <mergeCell ref="A298:H298"/>
    <mergeCell ref="A299:H299"/>
    <mergeCell ref="A284:H284"/>
    <mergeCell ref="A286:H286"/>
    <mergeCell ref="A287:H287"/>
    <mergeCell ref="A289:H289"/>
    <mergeCell ref="A290:H290"/>
    <mergeCell ref="A291:H291"/>
    <mergeCell ref="A281:H281"/>
    <mergeCell ref="A282:H282"/>
    <mergeCell ref="A283:H283"/>
    <mergeCell ref="B275:H275"/>
    <mergeCell ref="J7:J9"/>
    <mergeCell ref="G106:G107"/>
    <mergeCell ref="O158:O159"/>
    <mergeCell ref="A3:Q3"/>
    <mergeCell ref="M18:M19"/>
    <mergeCell ref="E56:E58"/>
    <mergeCell ref="M56:M58"/>
    <mergeCell ref="E151:E152"/>
    <mergeCell ref="G153:G156"/>
    <mergeCell ref="D155:D156"/>
    <mergeCell ref="E155:E156"/>
    <mergeCell ref="A143:A147"/>
    <mergeCell ref="B143:B147"/>
    <mergeCell ref="C143:C147"/>
    <mergeCell ref="D143:D147"/>
    <mergeCell ref="E143:E147"/>
    <mergeCell ref="G143:G147"/>
    <mergeCell ref="G132:G134"/>
    <mergeCell ref="G140:G142"/>
    <mergeCell ref="A141:A142"/>
    <mergeCell ref="I7:I9"/>
    <mergeCell ref="C141:C142"/>
    <mergeCell ref="D141:D142"/>
    <mergeCell ref="M60:M61"/>
    <mergeCell ref="D93:D99"/>
    <mergeCell ref="B141:B142"/>
    <mergeCell ref="F77:F81"/>
    <mergeCell ref="M30:M32"/>
    <mergeCell ref="D153:D154"/>
    <mergeCell ref="M100:M101"/>
    <mergeCell ref="E102:E103"/>
    <mergeCell ref="G100:G101"/>
    <mergeCell ref="D29:D35"/>
    <mergeCell ref="M38:M39"/>
    <mergeCell ref="G93:G99"/>
    <mergeCell ref="D75:D92"/>
    <mergeCell ref="E75:E78"/>
    <mergeCell ref="E40:E46"/>
    <mergeCell ref="D106:D107"/>
    <mergeCell ref="E106:E107"/>
    <mergeCell ref="F106:F107"/>
    <mergeCell ref="E29:E35"/>
    <mergeCell ref="G47:G48"/>
    <mergeCell ref="D62:D63"/>
    <mergeCell ref="D53:D55"/>
    <mergeCell ref="E53:E55"/>
    <mergeCell ref="G104:G105"/>
    <mergeCell ref="M125:M126"/>
    <mergeCell ref="F127:F129"/>
    <mergeCell ref="E153:E154"/>
    <mergeCell ref="M109:M110"/>
    <mergeCell ref="E130:E131"/>
    <mergeCell ref="E111:E116"/>
    <mergeCell ref="M116:M117"/>
    <mergeCell ref="G240:G243"/>
    <mergeCell ref="C201:H201"/>
    <mergeCell ref="C202:Q202"/>
    <mergeCell ref="E204:E206"/>
    <mergeCell ref="G204:G206"/>
    <mergeCell ref="F160:F161"/>
    <mergeCell ref="E162:E166"/>
    <mergeCell ref="G162:G166"/>
    <mergeCell ref="E167:E168"/>
    <mergeCell ref="N158:N159"/>
    <mergeCell ref="D176:D177"/>
    <mergeCell ref="D190:D199"/>
    <mergeCell ref="M158:M159"/>
    <mergeCell ref="M137:M138"/>
    <mergeCell ref="E125:E126"/>
    <mergeCell ref="P158:P159"/>
    <mergeCell ref="Q158:Q159"/>
    <mergeCell ref="F238:F239"/>
    <mergeCell ref="F132:F133"/>
    <mergeCell ref="D168:D175"/>
  </mergeCells>
  <printOptions horizontalCentered="1"/>
  <pageMargins left="0.78740157480314965" right="0.19685039370078741" top="0.39370078740157483" bottom="0.39370078740157483" header="0.31496062992125984" footer="0.31496062992125984"/>
  <pageSetup paperSize="9" scale="52" orientation="portrait" r:id="rId1"/>
  <rowBreaks count="3" manualBreakCount="3">
    <brk id="74" max="16" man="1"/>
    <brk id="139" max="16" man="1"/>
    <brk id="201"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7 programa</vt:lpstr>
      <vt:lpstr>Lyginamasis variantas</vt:lpstr>
      <vt:lpstr>Aiškinamoji lentelė</vt:lpstr>
      <vt:lpstr>'7 programa'!Print_Area</vt:lpstr>
      <vt:lpstr>'Aiškinamoji lentelė'!Print_Area</vt:lpstr>
      <vt:lpstr>'Lyginamasis variantas'!Print_Area</vt:lpstr>
      <vt:lpstr>'7 programa'!Print_Titles</vt:lpstr>
      <vt:lpstr>'Aiškinamoji lentelė'!Print_Titles</vt:lpstr>
      <vt:lpstr>'Lyginamasis variantas'!Print_Titles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Inga Mikalauskienė</cp:lastModifiedBy>
  <cp:lastPrinted>2021-11-02T19:15:27Z</cp:lastPrinted>
  <dcterms:created xsi:type="dcterms:W3CDTF">2007-07-27T10:32:34Z</dcterms:created>
  <dcterms:modified xsi:type="dcterms:W3CDTF">2021-11-02T19:15:36Z</dcterms:modified>
</cp:coreProperties>
</file>