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AS\"/>
    </mc:Choice>
  </mc:AlternateContent>
  <bookViews>
    <workbookView xWindow="0" yWindow="0" windowWidth="15360" windowHeight="5100" tabRatio="723"/>
  </bookViews>
  <sheets>
    <sheet name="10 programa" sheetId="58" r:id="rId1"/>
    <sheet name="Lyginamasis variantas" sheetId="54" state="hidden" r:id="rId2"/>
    <sheet name="Aiškinamoji lentelė" sheetId="57" state="hidden" r:id="rId3"/>
    <sheet name="Renovuotos įstaigos" sheetId="56" state="hidden" r:id="rId4"/>
  </sheets>
  <definedNames>
    <definedName name="_xlnm.Print_Area" localSheetId="0">'10 programa'!$A$1:$M$289</definedName>
    <definedName name="_xlnm.Print_Area" localSheetId="2">'Aiškinamoji lentelė'!$A$1:$R$325</definedName>
    <definedName name="_xlnm.Print_Area" localSheetId="1">'Lyginamasis variantas'!$A$1:$Q$287</definedName>
    <definedName name="_xlnm.Print_Titles" localSheetId="0">'10 programa'!$8:$10</definedName>
    <definedName name="_xlnm.Print_Titles" localSheetId="2">'Aiškinamoji lentelė'!$7:$9</definedName>
    <definedName name="_xlnm.Print_Titles" localSheetId="1">'Lyginamasis variantas'!$8:$10</definedName>
  </definedNames>
  <calcPr calcId="162913"/>
</workbook>
</file>

<file path=xl/calcChain.xml><?xml version="1.0" encoding="utf-8"?>
<calcChain xmlns="http://schemas.openxmlformats.org/spreadsheetml/2006/main">
  <c r="I257" i="58" l="1"/>
  <c r="H257" i="58"/>
  <c r="I259" i="58"/>
  <c r="H259" i="58"/>
  <c r="I145" i="58"/>
  <c r="H145" i="58"/>
  <c r="I137" i="58"/>
  <c r="H137" i="58"/>
  <c r="I120" i="58"/>
  <c r="H120" i="58"/>
  <c r="I285" i="58" l="1"/>
  <c r="H285" i="58"/>
  <c r="G285" i="58"/>
  <c r="I284" i="58"/>
  <c r="H284" i="58"/>
  <c r="G284" i="58"/>
  <c r="I283" i="58"/>
  <c r="H283" i="58"/>
  <c r="H282" i="58" s="1"/>
  <c r="G283" i="58"/>
  <c r="G282" i="58"/>
  <c r="G286" i="58" s="1"/>
  <c r="I281" i="58"/>
  <c r="H281" i="58"/>
  <c r="G281" i="58"/>
  <c r="I280" i="58"/>
  <c r="H280" i="58"/>
  <c r="G280" i="58"/>
  <c r="I279" i="58"/>
  <c r="H279" i="58"/>
  <c r="G279" i="58"/>
  <c r="I278" i="58"/>
  <c r="H278" i="58"/>
  <c r="G278" i="58"/>
  <c r="I277" i="58"/>
  <c r="H277" i="58"/>
  <c r="G277" i="58"/>
  <c r="I276" i="58"/>
  <c r="H276" i="58"/>
  <c r="G276" i="58"/>
  <c r="I275" i="58"/>
  <c r="H275" i="58"/>
  <c r="G275" i="58"/>
  <c r="I274" i="58"/>
  <c r="H274" i="58"/>
  <c r="G274" i="58"/>
  <c r="I273" i="58"/>
  <c r="H273" i="58"/>
  <c r="G273" i="58"/>
  <c r="G272" i="58" s="1"/>
  <c r="G271" i="58" s="1"/>
  <c r="I263" i="58"/>
  <c r="H263" i="58"/>
  <c r="G263" i="58"/>
  <c r="R258" i="58"/>
  <c r="Q258" i="58"/>
  <c r="P258" i="58"/>
  <c r="I256" i="58"/>
  <c r="H256" i="58"/>
  <c r="G256" i="58"/>
  <c r="P250" i="58"/>
  <c r="I248" i="58"/>
  <c r="H248" i="58"/>
  <c r="G248" i="58"/>
  <c r="I246" i="58"/>
  <c r="I264" i="58" s="1"/>
  <c r="H246" i="58"/>
  <c r="H264" i="58" s="1"/>
  <c r="G246" i="58"/>
  <c r="G264" i="58" s="1"/>
  <c r="G265" i="58" s="1"/>
  <c r="G266" i="58" s="1"/>
  <c r="I244" i="58"/>
  <c r="H244" i="58"/>
  <c r="G244" i="58"/>
  <c r="R228" i="58"/>
  <c r="Q228" i="58"/>
  <c r="P228" i="58"/>
  <c r="P227" i="58"/>
  <c r="P229" i="58" s="1"/>
  <c r="R226" i="58"/>
  <c r="R229" i="58" s="1"/>
  <c r="Q226" i="58"/>
  <c r="Q229" i="58" s="1"/>
  <c r="P226" i="58"/>
  <c r="I221" i="58"/>
  <c r="I220" i="58"/>
  <c r="H220" i="58"/>
  <c r="G220" i="58"/>
  <c r="P209" i="58"/>
  <c r="I208" i="58"/>
  <c r="H208" i="58"/>
  <c r="H221" i="58" s="1"/>
  <c r="G208" i="58"/>
  <c r="G221" i="58" s="1"/>
  <c r="H202" i="58"/>
  <c r="I198" i="58"/>
  <c r="H198" i="58"/>
  <c r="G198" i="58"/>
  <c r="G199" i="58" s="1"/>
  <c r="R187" i="58"/>
  <c r="Q187" i="58"/>
  <c r="P187" i="58"/>
  <c r="I185" i="58"/>
  <c r="I199" i="58" s="1"/>
  <c r="H185" i="58"/>
  <c r="H199" i="58" s="1"/>
  <c r="G185" i="58"/>
  <c r="G167" i="58"/>
  <c r="G149" i="58"/>
  <c r="P121" i="58" s="1"/>
  <c r="P132" i="58" s="1"/>
  <c r="P133" i="58" s="1"/>
  <c r="G137" i="58"/>
  <c r="Q131" i="58"/>
  <c r="P130" i="58"/>
  <c r="R128" i="58"/>
  <c r="Q128" i="58"/>
  <c r="P127" i="58"/>
  <c r="Q126" i="58"/>
  <c r="P126" i="58"/>
  <c r="P125" i="58"/>
  <c r="P124" i="58"/>
  <c r="P123" i="58"/>
  <c r="P122" i="58"/>
  <c r="R121" i="58"/>
  <c r="R132" i="58" s="1"/>
  <c r="Q121" i="58"/>
  <c r="Q132" i="58" s="1"/>
  <c r="Q133" i="58" s="1"/>
  <c r="I119" i="58"/>
  <c r="H119" i="58"/>
  <c r="G119" i="58"/>
  <c r="I111" i="58"/>
  <c r="H111" i="58"/>
  <c r="G111" i="58"/>
  <c r="I109" i="58"/>
  <c r="H109" i="58"/>
  <c r="G109" i="58"/>
  <c r="I107" i="58"/>
  <c r="H107" i="58"/>
  <c r="G107" i="58"/>
  <c r="I105" i="58"/>
  <c r="H105" i="58"/>
  <c r="G105" i="58"/>
  <c r="I101" i="58"/>
  <c r="H101" i="58"/>
  <c r="G101" i="58"/>
  <c r="P96" i="58"/>
  <c r="R93" i="58"/>
  <c r="R96" i="58" s="1"/>
  <c r="Q93" i="58"/>
  <c r="Q96" i="58" s="1"/>
  <c r="P93" i="58"/>
  <c r="I91" i="58"/>
  <c r="I112" i="58" s="1"/>
  <c r="I113" i="58" s="1"/>
  <c r="H91" i="58"/>
  <c r="H112" i="58" s="1"/>
  <c r="H113" i="58" s="1"/>
  <c r="G91" i="58"/>
  <c r="G112" i="58" s="1"/>
  <c r="G113" i="58" s="1"/>
  <c r="P21" i="58"/>
  <c r="P20" i="58"/>
  <c r="P19" i="58"/>
  <c r="R18" i="58"/>
  <c r="Q18" i="58"/>
  <c r="P18" i="58"/>
  <c r="R17" i="58"/>
  <c r="Q17" i="58"/>
  <c r="P17" i="58"/>
  <c r="R16" i="58"/>
  <c r="R22" i="58" s="1"/>
  <c r="R23" i="58" s="1"/>
  <c r="Q16" i="58"/>
  <c r="Q22" i="58" s="1"/>
  <c r="Q23" i="58" s="1"/>
  <c r="P16" i="58"/>
  <c r="P22" i="58" s="1"/>
  <c r="P23" i="58" s="1"/>
  <c r="I282" i="58" l="1"/>
  <c r="I272" i="58"/>
  <c r="I271" i="58" s="1"/>
  <c r="R133" i="58"/>
  <c r="H272" i="58"/>
  <c r="H271" i="58" s="1"/>
  <c r="H286" i="58" s="1"/>
  <c r="H265" i="58"/>
  <c r="H266" i="58" s="1"/>
  <c r="I265" i="58"/>
  <c r="I266" i="58" s="1"/>
  <c r="I286" i="58" l="1"/>
  <c r="I288" i="58" s="1"/>
  <c r="M286" i="54" l="1"/>
  <c r="J286" i="54"/>
  <c r="M273" i="54"/>
  <c r="M272" i="54" s="1"/>
  <c r="M271" i="54" s="1"/>
  <c r="J273" i="54"/>
  <c r="J272" i="54" s="1"/>
  <c r="J271" i="54" s="1"/>
  <c r="I285" i="54"/>
  <c r="I284" i="54"/>
  <c r="I283" i="54"/>
  <c r="I281" i="54"/>
  <c r="I280" i="54"/>
  <c r="I279" i="54"/>
  <c r="I278" i="54"/>
  <c r="I277" i="54"/>
  <c r="I276" i="54"/>
  <c r="I275" i="54"/>
  <c r="I274" i="54"/>
  <c r="I273" i="54"/>
  <c r="M257" i="54"/>
  <c r="M263" i="54" s="1"/>
  <c r="M264" i="54" s="1"/>
  <c r="M265" i="54" s="1"/>
  <c r="M266" i="54" s="1"/>
  <c r="L257" i="54"/>
  <c r="J257" i="54"/>
  <c r="I257" i="54"/>
  <c r="M259" i="54"/>
  <c r="L259" i="54"/>
  <c r="J259" i="54"/>
  <c r="I259" i="54"/>
  <c r="J263" i="54"/>
  <c r="J264" i="54" s="1"/>
  <c r="J265" i="54" s="1"/>
  <c r="J266" i="54" s="1"/>
  <c r="M256" i="54"/>
  <c r="J256" i="54"/>
  <c r="M248" i="54"/>
  <c r="M246" i="54"/>
  <c r="M244" i="54"/>
  <c r="J248" i="54"/>
  <c r="J246" i="54"/>
  <c r="J244" i="54"/>
  <c r="M221" i="54"/>
  <c r="J221" i="54"/>
  <c r="M220" i="54"/>
  <c r="J220" i="54"/>
  <c r="M208" i="54"/>
  <c r="J208" i="54"/>
  <c r="M198" i="54"/>
  <c r="J198" i="54"/>
  <c r="J199" i="54" s="1"/>
  <c r="M119" i="54"/>
  <c r="J119" i="54"/>
  <c r="M113" i="54"/>
  <c r="M112" i="54"/>
  <c r="M111" i="54"/>
  <c r="M109" i="54"/>
  <c r="M107" i="54"/>
  <c r="J113" i="54"/>
  <c r="J112" i="54"/>
  <c r="J111" i="54"/>
  <c r="J109" i="54"/>
  <c r="J107" i="54"/>
  <c r="M105" i="54"/>
  <c r="J105" i="54"/>
  <c r="M101" i="54"/>
  <c r="J101" i="54"/>
  <c r="M91" i="54"/>
  <c r="J91" i="54"/>
  <c r="M185" i="54"/>
  <c r="J185" i="54"/>
  <c r="M120" i="54"/>
  <c r="L120" i="54"/>
  <c r="J120" i="54"/>
  <c r="I120" i="54"/>
  <c r="M145" i="54"/>
  <c r="L145" i="54"/>
  <c r="J145" i="54"/>
  <c r="I145" i="54"/>
  <c r="M137" i="54"/>
  <c r="L137" i="54"/>
  <c r="J137" i="54"/>
  <c r="I137" i="54"/>
  <c r="L285" i="54"/>
  <c r="L284" i="54"/>
  <c r="L283" i="54"/>
  <c r="L281" i="54"/>
  <c r="L280" i="54"/>
  <c r="L279" i="54"/>
  <c r="L278" i="54"/>
  <c r="L277" i="54"/>
  <c r="L276" i="54"/>
  <c r="L275" i="54"/>
  <c r="L274" i="54"/>
  <c r="L273" i="54"/>
  <c r="K285" i="54"/>
  <c r="K284" i="54"/>
  <c r="K283" i="54"/>
  <c r="K281" i="54"/>
  <c r="K280" i="54"/>
  <c r="K279" i="54"/>
  <c r="K278" i="54"/>
  <c r="K277" i="54"/>
  <c r="K276" i="54"/>
  <c r="K275" i="54"/>
  <c r="K274" i="54"/>
  <c r="K273" i="54"/>
  <c r="I263" i="54"/>
  <c r="I256" i="54"/>
  <c r="I248" i="54"/>
  <c r="I246" i="54"/>
  <c r="I244" i="54"/>
  <c r="I220" i="54"/>
  <c r="I221" i="54" s="1"/>
  <c r="I208" i="54"/>
  <c r="I202" i="54"/>
  <c r="L263" i="54"/>
  <c r="L256" i="54"/>
  <c r="L248" i="54"/>
  <c r="L246" i="54"/>
  <c r="L264" i="54" s="1"/>
  <c r="L244" i="54"/>
  <c r="L220" i="54"/>
  <c r="L221" i="54" s="1"/>
  <c r="L208" i="54"/>
  <c r="L198" i="54"/>
  <c r="L185" i="54"/>
  <c r="L119" i="54"/>
  <c r="I198" i="54"/>
  <c r="I199" i="54" s="1"/>
  <c r="I185" i="54"/>
  <c r="I119" i="54"/>
  <c r="L111" i="54"/>
  <c r="L109" i="54"/>
  <c r="L107" i="54"/>
  <c r="L105" i="54"/>
  <c r="L101" i="54"/>
  <c r="L91" i="54"/>
  <c r="L112" i="54" s="1"/>
  <c r="L113" i="54" s="1"/>
  <c r="I111" i="54"/>
  <c r="I109" i="54"/>
  <c r="I107" i="54"/>
  <c r="I105" i="54"/>
  <c r="I101" i="54"/>
  <c r="I112" i="54" s="1"/>
  <c r="I113" i="54" s="1"/>
  <c r="I91" i="54"/>
  <c r="K263" i="54"/>
  <c r="K256" i="54"/>
  <c r="K248" i="54"/>
  <c r="K246" i="54"/>
  <c r="K264" i="54" s="1"/>
  <c r="K244" i="54"/>
  <c r="K220" i="54"/>
  <c r="K221" i="54" s="1"/>
  <c r="K208" i="54"/>
  <c r="K198" i="54"/>
  <c r="K199" i="54" s="1"/>
  <c r="K185" i="54"/>
  <c r="K119" i="54"/>
  <c r="K111" i="54"/>
  <c r="K109" i="54"/>
  <c r="K107" i="54"/>
  <c r="K105" i="54"/>
  <c r="K101" i="54"/>
  <c r="K91" i="54"/>
  <c r="K112" i="54" s="1"/>
  <c r="K113" i="54" s="1"/>
  <c r="I264" i="54" l="1"/>
  <c r="I265" i="54" s="1"/>
  <c r="I266" i="54" s="1"/>
  <c r="M199" i="54"/>
  <c r="L199" i="54"/>
  <c r="L282" i="54"/>
  <c r="L272" i="54"/>
  <c r="L271" i="54" s="1"/>
  <c r="K282" i="54"/>
  <c r="K272" i="54"/>
  <c r="K271" i="54" s="1"/>
  <c r="I282" i="54"/>
  <c r="I272" i="54"/>
  <c r="I271" i="54" s="1"/>
  <c r="L265" i="54"/>
  <c r="L266" i="54" s="1"/>
  <c r="K286" i="54"/>
  <c r="K265" i="54"/>
  <c r="K266" i="54" s="1"/>
  <c r="G244" i="54"/>
  <c r="H185" i="54"/>
  <c r="G185" i="54"/>
  <c r="G101" i="54"/>
  <c r="H91" i="54"/>
  <c r="G91" i="54"/>
  <c r="I286" i="54" l="1"/>
  <c r="L286" i="54"/>
  <c r="G279" i="54"/>
  <c r="H263" i="54" l="1"/>
  <c r="G263" i="54"/>
  <c r="V258" i="54"/>
  <c r="U258" i="54"/>
  <c r="T258" i="54"/>
  <c r="T250" i="54"/>
  <c r="H244" i="54"/>
  <c r="V228" i="54"/>
  <c r="U228" i="54"/>
  <c r="T228" i="54"/>
  <c r="T227" i="54"/>
  <c r="V226" i="54"/>
  <c r="V229" i="54" s="1"/>
  <c r="U226" i="54"/>
  <c r="U229" i="54" s="1"/>
  <c r="T226" i="54"/>
  <c r="H220" i="54"/>
  <c r="G220" i="54"/>
  <c r="T209" i="54"/>
  <c r="H208" i="54"/>
  <c r="G208" i="54"/>
  <c r="G221" i="54" s="1"/>
  <c r="H198" i="54"/>
  <c r="G198" i="54"/>
  <c r="V187" i="54"/>
  <c r="U187" i="54"/>
  <c r="T187" i="54"/>
  <c r="V128" i="54"/>
  <c r="V121" i="54"/>
  <c r="U128" i="54"/>
  <c r="U126" i="54"/>
  <c r="U121" i="54"/>
  <c r="T127" i="54"/>
  <c r="T123" i="54"/>
  <c r="T122" i="54"/>
  <c r="M184" i="57"/>
  <c r="L184" i="57"/>
  <c r="U131" i="54"/>
  <c r="T130" i="54"/>
  <c r="T125" i="54"/>
  <c r="T124" i="54"/>
  <c r="H101" i="54"/>
  <c r="U93" i="54"/>
  <c r="U96" i="54" s="1"/>
  <c r="V93" i="54"/>
  <c r="V96" i="54" s="1"/>
  <c r="T93" i="54"/>
  <c r="T96" i="54" s="1"/>
  <c r="V16" i="54"/>
  <c r="T16" i="54"/>
  <c r="T21" i="54"/>
  <c r="T20" i="54"/>
  <c r="T19" i="54"/>
  <c r="V18" i="54"/>
  <c r="U18" i="54"/>
  <c r="T18" i="54"/>
  <c r="V17" i="54"/>
  <c r="U17" i="54"/>
  <c r="T17" i="54"/>
  <c r="U16" i="54"/>
  <c r="G167" i="54"/>
  <c r="T126" i="54" s="1"/>
  <c r="T229" i="54" l="1"/>
  <c r="V132" i="54"/>
  <c r="U132" i="54"/>
  <c r="U22" i="54"/>
  <c r="U23" i="54" s="1"/>
  <c r="V22" i="54"/>
  <c r="V23" i="54" s="1"/>
  <c r="T22" i="54"/>
  <c r="T23" i="54" s="1"/>
  <c r="M321" i="57"/>
  <c r="L321" i="57"/>
  <c r="K321" i="57"/>
  <c r="J321" i="57"/>
  <c r="M320" i="57"/>
  <c r="L320" i="57"/>
  <c r="K320" i="57"/>
  <c r="J320" i="57"/>
  <c r="M319" i="57"/>
  <c r="L319" i="57"/>
  <c r="L318" i="57" s="1"/>
  <c r="K319" i="57"/>
  <c r="K318" i="57" s="1"/>
  <c r="J319" i="57"/>
  <c r="M318" i="57"/>
  <c r="J318" i="57"/>
  <c r="M317" i="57"/>
  <c r="L317" i="57"/>
  <c r="K317" i="57"/>
  <c r="J317" i="57"/>
  <c r="M316" i="57"/>
  <c r="L316" i="57"/>
  <c r="K316" i="57"/>
  <c r="J316" i="57"/>
  <c r="M315" i="57"/>
  <c r="L315" i="57"/>
  <c r="K315" i="57"/>
  <c r="J315" i="57"/>
  <c r="M314" i="57"/>
  <c r="L314" i="57"/>
  <c r="K314" i="57"/>
  <c r="M313" i="57"/>
  <c r="L313" i="57"/>
  <c r="M312" i="57"/>
  <c r="L312" i="57"/>
  <c r="K312" i="57"/>
  <c r="M311" i="57"/>
  <c r="L311" i="57"/>
  <c r="K311" i="57"/>
  <c r="M310" i="57"/>
  <c r="L310" i="57"/>
  <c r="K310" i="57"/>
  <c r="M309" i="57"/>
  <c r="L309" i="57"/>
  <c r="K309" i="57"/>
  <c r="M308" i="57"/>
  <c r="K308" i="57"/>
  <c r="M297" i="57"/>
  <c r="L297" i="57"/>
  <c r="K297" i="57"/>
  <c r="J297" i="57"/>
  <c r="M289" i="57"/>
  <c r="L289" i="57"/>
  <c r="K289" i="57"/>
  <c r="J289" i="57"/>
  <c r="M280" i="57"/>
  <c r="L280" i="57"/>
  <c r="K280" i="57"/>
  <c r="J280" i="57"/>
  <c r="M277" i="57"/>
  <c r="L277" i="57"/>
  <c r="K277" i="57"/>
  <c r="J277" i="57"/>
  <c r="M275" i="57"/>
  <c r="L275" i="57"/>
  <c r="K275" i="57"/>
  <c r="J271" i="57"/>
  <c r="J270" i="57"/>
  <c r="J268" i="57"/>
  <c r="J267" i="57"/>
  <c r="O266" i="57"/>
  <c r="J266" i="57"/>
  <c r="J265" i="57"/>
  <c r="J261" i="57"/>
  <c r="J260" i="57"/>
  <c r="J258" i="57"/>
  <c r="J255" i="57"/>
  <c r="J253" i="57"/>
  <c r="J275" i="57" s="1"/>
  <c r="M248" i="57"/>
  <c r="L248" i="57"/>
  <c r="K248" i="57"/>
  <c r="J248" i="57"/>
  <c r="M237" i="57"/>
  <c r="M249" i="57" s="1"/>
  <c r="K237" i="57"/>
  <c r="J235" i="57"/>
  <c r="J233" i="57"/>
  <c r="J237" i="57" s="1"/>
  <c r="J249" i="57" s="1"/>
  <c r="L231" i="57"/>
  <c r="L237" i="57" s="1"/>
  <c r="L249" i="57" s="1"/>
  <c r="M225" i="57"/>
  <c r="L225" i="57"/>
  <c r="K225" i="57"/>
  <c r="J225" i="57"/>
  <c r="J215" i="57"/>
  <c r="J212" i="57"/>
  <c r="M209" i="57"/>
  <c r="M210" i="57" s="1"/>
  <c r="L209" i="57"/>
  <c r="L210" i="57" s="1"/>
  <c r="K209" i="57"/>
  <c r="J207" i="57"/>
  <c r="J205" i="57"/>
  <c r="J209" i="57" s="1"/>
  <c r="M202" i="57"/>
  <c r="L202" i="57"/>
  <c r="K190" i="57"/>
  <c r="K202" i="57" s="1"/>
  <c r="K210" i="57" s="1"/>
  <c r="J190" i="57"/>
  <c r="J188" i="57"/>
  <c r="J187" i="57"/>
  <c r="J202" i="57" s="1"/>
  <c r="K167" i="57"/>
  <c r="J161" i="57"/>
  <c r="J159" i="57"/>
  <c r="J158" i="57"/>
  <c r="O153" i="57"/>
  <c r="K153" i="57"/>
  <c r="K184" i="57" s="1"/>
  <c r="J153" i="57"/>
  <c r="J149" i="57"/>
  <c r="J148" i="57"/>
  <c r="J147" i="57"/>
  <c r="J311" i="57" s="1"/>
  <c r="J146" i="57"/>
  <c r="J145" i="57"/>
  <c r="J309" i="57" s="1"/>
  <c r="J144" i="57"/>
  <c r="J142" i="57"/>
  <c r="M139" i="57"/>
  <c r="L139" i="57"/>
  <c r="K139" i="57"/>
  <c r="J137" i="57"/>
  <c r="J139" i="57" s="1"/>
  <c r="M131" i="57"/>
  <c r="L131" i="57"/>
  <c r="K131" i="57"/>
  <c r="J131" i="57"/>
  <c r="M129" i="57"/>
  <c r="L129" i="57"/>
  <c r="K129" i="57"/>
  <c r="J129" i="57"/>
  <c r="M127" i="57"/>
  <c r="L127" i="57"/>
  <c r="K127" i="57"/>
  <c r="J127" i="57"/>
  <c r="M125" i="57"/>
  <c r="L125" i="57"/>
  <c r="K125" i="57"/>
  <c r="J125" i="57"/>
  <c r="M121" i="57"/>
  <c r="L121" i="57"/>
  <c r="K121" i="57"/>
  <c r="J118" i="57"/>
  <c r="J121" i="57" s="1"/>
  <c r="M112" i="57"/>
  <c r="L112" i="57"/>
  <c r="L132" i="57" s="1"/>
  <c r="L133" i="57" s="1"/>
  <c r="K112" i="57"/>
  <c r="K132" i="57" s="1"/>
  <c r="K133" i="57" s="1"/>
  <c r="J108" i="57"/>
  <c r="J107" i="57"/>
  <c r="J105" i="57"/>
  <c r="J103" i="57"/>
  <c r="J95" i="57"/>
  <c r="J92" i="57"/>
  <c r="J86" i="57"/>
  <c r="J84" i="57"/>
  <c r="J82" i="57"/>
  <c r="J80" i="57"/>
  <c r="O74" i="57"/>
  <c r="J73" i="57"/>
  <c r="J67" i="57"/>
  <c r="J310" i="57" s="1"/>
  <c r="J65" i="57"/>
  <c r="J62" i="57"/>
  <c r="J59" i="57"/>
  <c r="J56" i="57"/>
  <c r="J53" i="57"/>
  <c r="J313" i="57" s="1"/>
  <c r="J51" i="57"/>
  <c r="J47" i="57"/>
  <c r="J43" i="57"/>
  <c r="J41" i="57"/>
  <c r="J40" i="57"/>
  <c r="J39" i="57"/>
  <c r="J36" i="57"/>
  <c r="J34" i="57"/>
  <c r="J32" i="57"/>
  <c r="J29" i="57"/>
  <c r="J28" i="57"/>
  <c r="J23" i="57"/>
  <c r="J17" i="57"/>
  <c r="J16" i="57"/>
  <c r="J15" i="57"/>
  <c r="J314" i="57" l="1"/>
  <c r="K313" i="57"/>
  <c r="K307" i="57" s="1"/>
  <c r="K306" i="57" s="1"/>
  <c r="K322" i="57" s="1"/>
  <c r="J308" i="57"/>
  <c r="J307" i="57" s="1"/>
  <c r="J306" i="57" s="1"/>
  <c r="J322" i="57" s="1"/>
  <c r="L298" i="57"/>
  <c r="J312" i="57"/>
  <c r="K249" i="57"/>
  <c r="M298" i="57"/>
  <c r="M132" i="57"/>
  <c r="M133" i="57" s="1"/>
  <c r="K226" i="57"/>
  <c r="K298" i="57"/>
  <c r="J184" i="57"/>
  <c r="J210" i="57" s="1"/>
  <c r="J226" i="57" s="1"/>
  <c r="M307" i="57"/>
  <c r="M306" i="57" s="1"/>
  <c r="M226" i="57"/>
  <c r="J298" i="57"/>
  <c r="K299" i="57"/>
  <c r="K300" i="57" s="1"/>
  <c r="L226" i="57"/>
  <c r="L299" i="57" s="1"/>
  <c r="L300" i="57" s="1"/>
  <c r="M322" i="57"/>
  <c r="J112" i="57"/>
  <c r="J132" i="57" s="1"/>
  <c r="J133" i="57" s="1"/>
  <c r="L308" i="57"/>
  <c r="L307" i="57" s="1"/>
  <c r="L306" i="57" s="1"/>
  <c r="L322" i="57" s="1"/>
  <c r="M299" i="57" l="1"/>
  <c r="M300" i="57" s="1"/>
  <c r="J299" i="57"/>
  <c r="J300" i="57"/>
  <c r="M324" i="57"/>
  <c r="G105" i="54" l="1"/>
  <c r="H105" i="54"/>
  <c r="G107" i="54"/>
  <c r="H107" i="54"/>
  <c r="G109" i="54"/>
  <c r="H109" i="54"/>
  <c r="G111" i="54"/>
  <c r="H111" i="54"/>
  <c r="G119" i="54"/>
  <c r="H119" i="54"/>
  <c r="G137" i="54"/>
  <c r="G149" i="54"/>
  <c r="H202" i="54"/>
  <c r="G246" i="54"/>
  <c r="H246" i="54"/>
  <c r="G248" i="54"/>
  <c r="H248" i="54"/>
  <c r="G256" i="54"/>
  <c r="H256" i="54"/>
  <c r="G274" i="54"/>
  <c r="H274" i="54"/>
  <c r="G275" i="54"/>
  <c r="H275" i="54"/>
  <c r="G276" i="54"/>
  <c r="H276" i="54"/>
  <c r="G277" i="54"/>
  <c r="H277" i="54"/>
  <c r="G278" i="54"/>
  <c r="H278" i="54"/>
  <c r="H279" i="54"/>
  <c r="G280" i="54"/>
  <c r="H280" i="54"/>
  <c r="G281" i="54"/>
  <c r="H281" i="54"/>
  <c r="G283" i="54"/>
  <c r="H283" i="54"/>
  <c r="G284" i="54"/>
  <c r="H284" i="54"/>
  <c r="G285" i="54"/>
  <c r="H285" i="54"/>
  <c r="T121" i="54" l="1"/>
  <c r="T132" i="54" s="1"/>
  <c r="U133" i="54"/>
  <c r="H112" i="54"/>
  <c r="H113" i="54" s="1"/>
  <c r="H273" i="54"/>
  <c r="H272" i="54" s="1"/>
  <c r="H271" i="54" s="1"/>
  <c r="H282" i="54"/>
  <c r="H264" i="54"/>
  <c r="G273" i="54"/>
  <c r="G272" i="54" s="1"/>
  <c r="G271" i="54" s="1"/>
  <c r="G282" i="54"/>
  <c r="G264" i="54"/>
  <c r="H221" i="54"/>
  <c r="G112" i="54"/>
  <c r="G113" i="54" s="1"/>
  <c r="H199" i="54"/>
  <c r="G199" i="54" l="1"/>
  <c r="G265" i="54" s="1"/>
  <c r="G266" i="54" s="1"/>
  <c r="T133" i="54"/>
  <c r="V133" i="54"/>
  <c r="H286" i="54"/>
  <c r="G286" i="54"/>
  <c r="H265" i="54"/>
  <c r="H266" i="54" s="1"/>
  <c r="M288" i="54" l="1"/>
</calcChain>
</file>

<file path=xl/comments1.xml><?xml version="1.0" encoding="utf-8"?>
<comments xmlns="http://schemas.openxmlformats.org/spreadsheetml/2006/main">
  <authors>
    <author>Snieguole Kacerauskaite</author>
    <author>Asta Česnauskienė</author>
    <author>Indrė Butenienė</author>
  </authors>
  <commentList>
    <comment ref="E22"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E23" authorId="1" shapeId="0">
      <text>
        <r>
          <rPr>
            <sz val="9"/>
            <color indexed="81"/>
            <rFont val="Tahoma"/>
            <family val="2"/>
            <charset val="186"/>
          </rPr>
          <t xml:space="preserve">P-1.3.2.5
</t>
        </r>
      </text>
    </comment>
    <comment ref="K26"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K37" authorId="1" shapeId="0">
      <text>
        <r>
          <rPr>
            <sz val="9"/>
            <color indexed="81"/>
            <rFont val="Tahoma"/>
            <family val="2"/>
            <charset val="186"/>
          </rPr>
          <t xml:space="preserve">Laimingų vaikų pilis (Miško darželis) ir Vaikų ugdymo akademija
</t>
        </r>
      </text>
    </comment>
    <comment ref="K43" authorId="1" shapeId="0">
      <text>
        <r>
          <rPr>
            <sz val="9"/>
            <color indexed="81"/>
            <rFont val="Tahoma"/>
            <family val="2"/>
            <charset val="186"/>
          </rPr>
          <t xml:space="preserve">"Pajūrio", „Gabijos“, Sendvario, Vitės, „Vyturio“ progimnazijos, „Varpo“ gimnazija
</t>
        </r>
      </text>
    </comment>
    <comment ref="K46"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E48" authorId="1" shapeId="0">
      <text>
        <r>
          <rPr>
            <sz val="9"/>
            <color indexed="81"/>
            <rFont val="Tahoma"/>
            <family val="2"/>
            <charset val="186"/>
          </rPr>
          <t xml:space="preserve">P-1.3.2.3
</t>
        </r>
      </text>
    </comment>
    <comment ref="D51" authorId="0" shapeId="0">
      <text>
        <r>
          <rPr>
            <sz val="9"/>
            <color indexed="81"/>
            <rFont val="Tahoma"/>
            <family val="2"/>
            <charset val="186"/>
          </rPr>
          <t>Papildomai samdoma 15 trenerių, 8 takelių nuoma</t>
        </r>
        <r>
          <rPr>
            <sz val="9"/>
            <color indexed="81"/>
            <rFont val="Tahoma"/>
            <family val="2"/>
            <charset val="186"/>
          </rPr>
          <t xml:space="preserve">
</t>
        </r>
      </text>
    </comment>
    <comment ref="K59"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E60"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E62" authorId="1" shapeId="0">
      <text>
        <r>
          <rPr>
            <sz val="9"/>
            <color indexed="81"/>
            <rFont val="Tahoma"/>
            <family val="2"/>
            <charset val="186"/>
          </rPr>
          <t xml:space="preserve">P-2.4.3.3.
</t>
        </r>
      </text>
    </comment>
    <comment ref="E64" authorId="1" shapeId="0">
      <text>
        <r>
          <rPr>
            <sz val="9"/>
            <color indexed="81"/>
            <rFont val="Tahoma"/>
            <family val="2"/>
            <charset val="186"/>
          </rPr>
          <t xml:space="preserve">P-1.3.2.5
</t>
        </r>
      </text>
    </comment>
    <comment ref="E71"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E72" authorId="1" shapeId="0">
      <text>
        <r>
          <rPr>
            <sz val="9"/>
            <color indexed="81"/>
            <rFont val="Tahoma"/>
            <family val="2"/>
            <charset val="186"/>
          </rPr>
          <t xml:space="preserve">P-1.3.1.2
</t>
        </r>
      </text>
    </comment>
    <comment ref="E73" authorId="1" shapeId="0">
      <text>
        <r>
          <rPr>
            <sz val="9"/>
            <color indexed="81"/>
            <rFont val="Tahoma"/>
            <family val="2"/>
            <charset val="186"/>
          </rPr>
          <t xml:space="preserve">P-1.3.2.1
</t>
        </r>
      </text>
    </comment>
    <comment ref="E74" authorId="1" shapeId="0">
      <text>
        <r>
          <rPr>
            <sz val="9"/>
            <color indexed="81"/>
            <rFont val="Tahoma"/>
            <family val="2"/>
            <charset val="186"/>
          </rPr>
          <t xml:space="preserve">P-2.2.3.1
</t>
        </r>
      </text>
    </comment>
    <comment ref="K74" authorId="1" shapeId="0">
      <text>
        <r>
          <rPr>
            <sz val="9"/>
            <color indexed="81"/>
            <rFont val="Tahoma"/>
            <family val="2"/>
            <charset val="186"/>
          </rPr>
          <t>"Aukuro" ir V. Didžiojo gimnazijos</t>
        </r>
        <r>
          <rPr>
            <sz val="9"/>
            <color indexed="81"/>
            <rFont val="Tahoma"/>
            <family val="2"/>
            <charset val="186"/>
          </rPr>
          <t xml:space="preserve">
</t>
        </r>
      </text>
    </comment>
    <comment ref="E76" authorId="1" shapeId="0">
      <text>
        <r>
          <rPr>
            <sz val="9"/>
            <color indexed="81"/>
            <rFont val="Tahoma"/>
            <family val="2"/>
            <charset val="186"/>
          </rPr>
          <t xml:space="preserve">P-1.3.2.6
</t>
        </r>
      </text>
    </comment>
    <comment ref="E80"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E81" authorId="1" shapeId="0">
      <text>
        <r>
          <rPr>
            <sz val="9"/>
            <color indexed="81"/>
            <rFont val="Tahoma"/>
            <family val="2"/>
            <charset val="186"/>
          </rPr>
          <t>P-1.3.2.4
P-1.3.2.8</t>
        </r>
        <r>
          <rPr>
            <sz val="9"/>
            <color indexed="81"/>
            <rFont val="Tahoma"/>
            <family val="2"/>
            <charset val="186"/>
          </rPr>
          <t xml:space="preserve">
</t>
        </r>
      </text>
    </comment>
    <comment ref="E8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E85" authorId="1" shapeId="0">
      <text>
        <r>
          <rPr>
            <sz val="9"/>
            <color indexed="81"/>
            <rFont val="Tahoma"/>
            <family val="2"/>
            <charset val="186"/>
          </rPr>
          <t xml:space="preserve">P-1.3.2.10
</t>
        </r>
      </text>
    </comment>
    <comment ref="E89" authorId="1" shapeId="0">
      <text>
        <r>
          <rPr>
            <sz val="9"/>
            <color indexed="81"/>
            <rFont val="Tahoma"/>
            <family val="2"/>
            <charset val="186"/>
          </rPr>
          <t xml:space="preserve">P-1.1.2.1
</t>
        </r>
      </text>
    </comment>
    <comment ref="E95"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E97" authorId="1" shapeId="0">
      <text>
        <r>
          <rPr>
            <sz val="9"/>
            <color indexed="81"/>
            <rFont val="Tahoma"/>
            <family val="2"/>
            <charset val="186"/>
          </rPr>
          <t xml:space="preserve">P-2.4.3.2
</t>
        </r>
      </text>
    </comment>
    <comment ref="E99" authorId="1" shapeId="0">
      <text>
        <r>
          <rPr>
            <sz val="9"/>
            <color indexed="81"/>
            <rFont val="Tahoma"/>
            <family val="2"/>
            <charset val="186"/>
          </rPr>
          <t xml:space="preserve">P-2.4.3.4
</t>
        </r>
      </text>
    </comment>
    <comment ref="E116"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G116" authorId="1" shapeId="0">
      <text>
        <r>
          <rPr>
            <sz val="9"/>
            <color indexed="81"/>
            <rFont val="Tahoma"/>
            <family val="2"/>
            <charset val="186"/>
          </rPr>
          <t>modulinių pastatų prie l/d "Obelėlė" ir "Pingvinukas" nuomai ir techninei priežiūrai</t>
        </r>
        <r>
          <rPr>
            <sz val="9"/>
            <color indexed="81"/>
            <rFont val="Tahoma"/>
            <family val="2"/>
            <charset val="186"/>
          </rPr>
          <t xml:space="preserve">
</t>
        </r>
      </text>
    </comment>
    <comment ref="E131"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E133" authorId="1" shapeId="0">
      <text>
        <r>
          <rPr>
            <sz val="9"/>
            <color indexed="81"/>
            <rFont val="Tahoma"/>
            <family val="2"/>
            <charset val="186"/>
          </rPr>
          <t xml:space="preserve">P-1.3.1.1.
</t>
        </r>
      </text>
    </comment>
    <comment ref="E134"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E136" authorId="1" shapeId="0">
      <text>
        <r>
          <rPr>
            <sz val="9"/>
            <color indexed="81"/>
            <rFont val="Tahoma"/>
            <family val="2"/>
            <charset val="186"/>
          </rPr>
          <t xml:space="preserve">P-1.3.1.1.
</t>
        </r>
      </text>
    </comment>
    <comment ref="E137" authorId="1" shapeId="0">
      <text>
        <r>
          <rPr>
            <sz val="9"/>
            <color indexed="81"/>
            <rFont val="Tahoma"/>
            <family val="2"/>
            <charset val="186"/>
          </rPr>
          <t xml:space="preserve">P-2.2.1.2
</t>
        </r>
      </text>
    </comment>
    <comment ref="K137" authorId="1" shapeId="0">
      <text>
        <r>
          <rPr>
            <sz val="9"/>
            <color indexed="81"/>
            <rFont val="Tahoma"/>
            <family val="2"/>
            <charset val="186"/>
          </rPr>
          <t xml:space="preserve">Gilijos ir Gorkio
</t>
        </r>
      </text>
    </comment>
    <comment ref="L137" authorId="1" shapeId="0">
      <text>
        <r>
          <rPr>
            <sz val="9"/>
            <color indexed="81"/>
            <rFont val="Tahoma"/>
            <family val="2"/>
            <charset val="186"/>
          </rPr>
          <t xml:space="preserve">Baltijos
</t>
        </r>
      </text>
    </comment>
    <comment ref="M137" authorId="1" shapeId="0">
      <text>
        <r>
          <rPr>
            <sz val="9"/>
            <color indexed="81"/>
            <rFont val="Tahoma"/>
            <family val="2"/>
            <charset val="186"/>
          </rPr>
          <t xml:space="preserve">Sendvario
</t>
        </r>
      </text>
    </comment>
    <comment ref="K138" authorId="1" shapeId="0">
      <text>
        <r>
          <rPr>
            <sz val="9"/>
            <color indexed="81"/>
            <rFont val="Tahoma"/>
            <family val="2"/>
            <charset val="186"/>
          </rPr>
          <t xml:space="preserve">Vitės ir M. Gorkio progimnazijų
Smeltės progimnazijos, Vėtrungės ir Žaliakalnio gimnazijų
</t>
        </r>
      </text>
    </comment>
    <comment ref="L138" authorId="1" shapeId="0">
      <text>
        <r>
          <rPr>
            <sz val="9"/>
            <color indexed="81"/>
            <rFont val="Tahoma"/>
            <family val="2"/>
            <charset val="186"/>
          </rPr>
          <t xml:space="preserve">Gilijos pradinės mokyklos, Smeltės progimnazijos
</t>
        </r>
      </text>
    </comment>
    <comment ref="M138" authorId="1" shapeId="0">
      <text>
        <r>
          <rPr>
            <sz val="9"/>
            <color indexed="81"/>
            <rFont val="Tahoma"/>
            <family val="2"/>
            <charset val="186"/>
          </rPr>
          <t xml:space="preserve">Baltijos gimnazijos, Saulėtekio progimnazijos
</t>
        </r>
      </text>
    </comment>
    <comment ref="E140"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K145" authorId="1" shapeId="0">
      <text>
        <r>
          <rPr>
            <sz val="9"/>
            <color indexed="81"/>
            <rFont val="Tahoma"/>
            <family val="2"/>
            <charset val="186"/>
          </rPr>
          <t xml:space="preserve">Pilnas atnaujinimas -Aitvaro, Versmės; grindų keitimas - Baltijos, Vyturio
</t>
        </r>
      </text>
    </comment>
    <comment ref="E152" authorId="1" shapeId="0">
      <text>
        <r>
          <rPr>
            <sz val="9"/>
            <color indexed="81"/>
            <rFont val="Tahoma"/>
            <family val="2"/>
            <charset val="186"/>
          </rPr>
          <t xml:space="preserve">P-1.3.1.1.
</t>
        </r>
      </text>
    </comment>
    <comment ref="E154" authorId="1" shapeId="0">
      <text>
        <r>
          <rPr>
            <sz val="9"/>
            <color indexed="81"/>
            <rFont val="Tahoma"/>
            <family val="2"/>
            <charset val="186"/>
          </rPr>
          <t xml:space="preserve">P-1.3.1.1
</t>
        </r>
      </text>
    </comment>
    <comment ref="E157" authorId="1" shapeId="0">
      <text>
        <r>
          <rPr>
            <sz val="9"/>
            <color indexed="81"/>
            <rFont val="Tahoma"/>
            <family val="2"/>
            <charset val="186"/>
          </rPr>
          <t xml:space="preserve">P-1.3.1.1.
</t>
        </r>
      </text>
    </comment>
    <comment ref="E159" authorId="1" shapeId="0">
      <text>
        <r>
          <rPr>
            <sz val="9"/>
            <color indexed="81"/>
            <rFont val="Tahoma"/>
            <family val="2"/>
            <charset val="186"/>
          </rPr>
          <t xml:space="preserve">P-1.3.1.1.
</t>
        </r>
      </text>
    </comment>
    <comment ref="E165"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E166" authorId="1" shapeId="0">
      <text>
        <r>
          <rPr>
            <sz val="9"/>
            <color indexed="81"/>
            <rFont val="Tahoma"/>
            <family val="2"/>
            <charset val="186"/>
          </rPr>
          <t xml:space="preserve">P-1.3.1.1.
</t>
        </r>
      </text>
    </comment>
    <comment ref="J171"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K171" authorId="1" shapeId="0">
      <text>
        <r>
          <rPr>
            <sz val="9"/>
            <color indexed="81"/>
            <rFont val="Tahoma"/>
            <family val="2"/>
            <charset val="186"/>
          </rPr>
          <t xml:space="preserve">Boružėlė 
</t>
        </r>
      </text>
    </comment>
    <comment ref="L171" authorId="1" shapeId="0">
      <text>
        <r>
          <rPr>
            <sz val="9"/>
            <color indexed="81"/>
            <rFont val="Tahoma"/>
            <family val="2"/>
            <charset val="186"/>
          </rPr>
          <t xml:space="preserve">Kregždutė 
</t>
        </r>
      </text>
    </comment>
    <comment ref="M171" authorId="1" shapeId="0">
      <text>
        <r>
          <rPr>
            <sz val="9"/>
            <color indexed="81"/>
            <rFont val="Tahoma"/>
            <family val="2"/>
            <charset val="186"/>
          </rPr>
          <t xml:space="preserve">Pingvinukas, Putinėlis, Radastėlė </t>
        </r>
      </text>
    </comment>
    <comment ref="E172" authorId="1" shapeId="0">
      <text>
        <r>
          <rPr>
            <sz val="9"/>
            <color indexed="81"/>
            <rFont val="Tahoma"/>
            <family val="2"/>
            <charset val="186"/>
          </rPr>
          <t xml:space="preserve">P-1.3.1.1.
</t>
        </r>
      </text>
    </comment>
    <comment ref="L173" authorId="1" shapeId="0">
      <text>
        <r>
          <rPr>
            <sz val="9"/>
            <color indexed="81"/>
            <rFont val="Tahoma"/>
            <family val="2"/>
            <charset val="186"/>
          </rPr>
          <t>rangos darbai l/d Saulutė, Vėrinėlis</t>
        </r>
        <r>
          <rPr>
            <sz val="9"/>
            <color indexed="81"/>
            <rFont val="Tahoma"/>
            <family val="2"/>
            <charset val="186"/>
          </rPr>
          <t xml:space="preserve">
</t>
        </r>
      </text>
    </comment>
    <comment ref="M173" authorId="1" shapeId="0">
      <text>
        <r>
          <rPr>
            <sz val="9"/>
            <color indexed="81"/>
            <rFont val="Tahoma"/>
            <family val="2"/>
            <charset val="186"/>
          </rPr>
          <t xml:space="preserve">rangos darbai l/d Vėrinėlis
</t>
        </r>
      </text>
    </comment>
    <comment ref="E175" authorId="1" shapeId="0">
      <text>
        <r>
          <rPr>
            <sz val="9"/>
            <color indexed="81"/>
            <rFont val="Tahoma"/>
            <family val="2"/>
            <charset val="186"/>
          </rPr>
          <t xml:space="preserve">P-1.3.1.1.
</t>
        </r>
      </text>
    </comment>
    <comment ref="E177" authorId="1" shapeId="0">
      <text>
        <r>
          <rPr>
            <sz val="9"/>
            <color indexed="81"/>
            <rFont val="Tahoma"/>
            <family val="2"/>
            <charset val="186"/>
          </rPr>
          <t xml:space="preserve">P-1.3.1.1.
</t>
        </r>
      </text>
    </comment>
    <comment ref="J177" authorId="1" shapeId="0">
      <text>
        <r>
          <rPr>
            <sz val="9"/>
            <color indexed="81"/>
            <rFont val="Tahoma"/>
            <family val="2"/>
            <charset val="186"/>
          </rPr>
          <t xml:space="preserve">Techninis projektas parengtas 2019 m.
</t>
        </r>
      </text>
    </comment>
    <comment ref="J178" authorId="1" shapeId="0">
      <text>
        <r>
          <rPr>
            <sz val="9"/>
            <color indexed="81"/>
            <rFont val="Tahoma"/>
            <family val="2"/>
            <charset val="186"/>
          </rPr>
          <t xml:space="preserve">Techninis projektas parengtas 2019 m.
</t>
        </r>
      </text>
    </comment>
    <comment ref="E179" authorId="1" shapeId="0">
      <text>
        <r>
          <rPr>
            <sz val="9"/>
            <color indexed="81"/>
            <rFont val="Tahoma"/>
            <family val="2"/>
            <charset val="186"/>
          </rPr>
          <t xml:space="preserve">P-1.3.1.1.
</t>
        </r>
      </text>
    </comment>
    <comment ref="E183"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E190" authorId="1" shapeId="0">
      <text>
        <r>
          <rPr>
            <sz val="9"/>
            <color indexed="81"/>
            <rFont val="Tahoma"/>
            <family val="2"/>
            <charset val="186"/>
          </rPr>
          <t xml:space="preserve">P-1.3.1.1
</t>
        </r>
      </text>
    </comment>
    <comment ref="E191" authorId="1" shapeId="0">
      <text>
        <r>
          <rPr>
            <sz val="9"/>
            <color indexed="81"/>
            <rFont val="Tahoma"/>
            <family val="2"/>
            <charset val="186"/>
          </rPr>
          <t xml:space="preserve">P-1.3.1.1
</t>
        </r>
      </text>
    </comment>
    <comment ref="K194" authorId="1" shapeId="0">
      <text>
        <r>
          <rPr>
            <sz val="9"/>
            <color indexed="81"/>
            <rFont val="Tahoma"/>
            <family val="2"/>
            <charset val="186"/>
          </rPr>
          <t>Ąžuolyno ir Aitvaro gimnazijos</t>
        </r>
        <r>
          <rPr>
            <sz val="9"/>
            <color indexed="81"/>
            <rFont val="Tahoma"/>
            <family val="2"/>
            <charset val="186"/>
          </rPr>
          <t xml:space="preserve">
</t>
        </r>
      </text>
    </comment>
    <comment ref="L194" authorId="1" shapeId="0">
      <text>
        <r>
          <rPr>
            <sz val="9"/>
            <color indexed="81"/>
            <rFont val="Tahoma"/>
            <family val="2"/>
            <charset val="186"/>
          </rPr>
          <t xml:space="preserve">„Aukuro“, Suaugusiųjų, „Varpo“ gimnazijos
</t>
        </r>
      </text>
    </comment>
    <comment ref="M194" authorId="1" shapeId="0">
      <text>
        <r>
          <rPr>
            <sz val="9"/>
            <color indexed="81"/>
            <rFont val="Tahoma"/>
            <family val="2"/>
            <charset val="186"/>
          </rPr>
          <t xml:space="preserve">Vydūno, Vėtrungės ir Žaliakalnio gimnazijos
</t>
        </r>
      </text>
    </comment>
    <comment ref="E215" authorId="1" shapeId="0">
      <text>
        <r>
          <rPr>
            <sz val="9"/>
            <color indexed="81"/>
            <rFont val="Tahoma"/>
            <family val="2"/>
            <charset val="186"/>
          </rPr>
          <t xml:space="preserve">P-1.3.1.2
</t>
        </r>
      </text>
    </comment>
    <comment ref="K226"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M228" authorId="1" shapeId="0">
      <text>
        <r>
          <rPr>
            <sz val="9"/>
            <color indexed="81"/>
            <rFont val="Tahoma"/>
            <family val="2"/>
            <charset val="186"/>
          </rPr>
          <t xml:space="preserve">prisidės nauja mokykla
</t>
        </r>
      </text>
    </comment>
    <comment ref="K231" authorId="1" shapeId="0">
      <text>
        <r>
          <rPr>
            <sz val="9"/>
            <color indexed="81"/>
            <rFont val="Tahoma"/>
            <family val="2"/>
            <charset val="186"/>
          </rPr>
          <t xml:space="preserve">Čiauškutė (Šermukšnėlės pastatas), Liepaitė, Du gaideliai, regos ugdymo centras
</t>
        </r>
      </text>
    </comment>
    <comment ref="K233"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K236"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K238"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Avariniai
</t>
        </r>
      </text>
    </comment>
    <comment ref="K239" authorId="1" shapeId="0">
      <text>
        <r>
          <rPr>
            <sz val="9"/>
            <color indexed="81"/>
            <rFont val="Tahoma"/>
            <family val="2"/>
            <charset val="186"/>
          </rPr>
          <t xml:space="preserve">Gorkio progimnazijos ir l/d Šermukšnėlė projektai
</t>
        </r>
      </text>
    </comment>
    <comment ref="K240" authorId="1" shapeId="0">
      <text>
        <r>
          <rPr>
            <sz val="9"/>
            <color indexed="81"/>
            <rFont val="Tahoma"/>
            <family val="2"/>
            <charset val="186"/>
          </rPr>
          <t xml:space="preserve">Gorkio progimnazijos ir l/d Šermukšnėlė
</t>
        </r>
      </text>
    </comment>
    <comment ref="K242" authorId="1" shapeId="0">
      <text>
        <r>
          <rPr>
            <sz val="9"/>
            <color indexed="81"/>
            <rFont val="Tahoma"/>
            <family val="2"/>
            <charset val="186"/>
          </rPr>
          <t xml:space="preserve">Traukinukas, VDG, RUC
</t>
        </r>
      </text>
    </comment>
    <comment ref="E253" authorId="1" shapeId="0">
      <text>
        <r>
          <rPr>
            <sz val="9"/>
            <color indexed="81"/>
            <rFont val="Tahoma"/>
            <family val="2"/>
            <charset val="186"/>
          </rPr>
          <t xml:space="preserve">P-3.3.2.3
</t>
        </r>
      </text>
    </comment>
    <comment ref="K253" authorId="1" shapeId="0">
      <text>
        <r>
          <rPr>
            <sz val="9"/>
            <color indexed="81"/>
            <rFont val="Tahoma"/>
            <family val="2"/>
            <charset val="186"/>
          </rPr>
          <t xml:space="preserve">"Verdenės" progimnazija ir l/d. Ąžuoliukas
</t>
        </r>
      </text>
    </comment>
    <comment ref="K254" authorId="1" shapeId="0">
      <text>
        <r>
          <rPr>
            <sz val="9"/>
            <color indexed="81"/>
            <rFont val="Tahoma"/>
            <family val="2"/>
            <charset val="186"/>
          </rPr>
          <t xml:space="preserve">1. l/d Vyturėlis;
2. Gedminų progimn.;
3. S. Dacho progimn.;
4. Vitės progim.;
5. Smeltės progimn.
</t>
        </r>
      </text>
    </comment>
  </commentList>
</comments>
</file>

<file path=xl/comments2.xml><?xml version="1.0" encoding="utf-8"?>
<comments xmlns="http://schemas.openxmlformats.org/spreadsheetml/2006/main">
  <authors>
    <author>Snieguole Kacerauskaite</author>
    <author>Asta Česnauskienė</author>
    <author>Indrė Butenienė</author>
  </authors>
  <commentList>
    <comment ref="E22"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E23" authorId="1" shapeId="0">
      <text>
        <r>
          <rPr>
            <sz val="9"/>
            <color indexed="81"/>
            <rFont val="Tahoma"/>
            <family val="2"/>
            <charset val="186"/>
          </rPr>
          <t xml:space="preserve">P-1.3.2.5
</t>
        </r>
      </text>
    </comment>
    <comment ref="O26"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O37" authorId="1" shapeId="0">
      <text>
        <r>
          <rPr>
            <sz val="9"/>
            <color indexed="81"/>
            <rFont val="Tahoma"/>
            <family val="2"/>
            <charset val="186"/>
          </rPr>
          <t xml:space="preserve">Laimingų vaikų pilis (Miško darželis) ir Vaikų ugdymo akademija
</t>
        </r>
      </text>
    </comment>
    <comment ref="O43" authorId="1" shapeId="0">
      <text>
        <r>
          <rPr>
            <sz val="9"/>
            <color indexed="81"/>
            <rFont val="Tahoma"/>
            <family val="2"/>
            <charset val="186"/>
          </rPr>
          <t xml:space="preserve">"Pajūrio", „Gabijos“, Sendvario, Vitės, „Vyturio“ progimnazijos, „Varpo“ gimnazija
</t>
        </r>
      </text>
    </comment>
    <comment ref="O46"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E48" authorId="1" shapeId="0">
      <text>
        <r>
          <rPr>
            <sz val="9"/>
            <color indexed="81"/>
            <rFont val="Tahoma"/>
            <family val="2"/>
            <charset val="186"/>
          </rPr>
          <t xml:space="preserve">P-1.3.2.3
</t>
        </r>
      </text>
    </comment>
    <comment ref="D51" authorId="0" shapeId="0">
      <text>
        <r>
          <rPr>
            <sz val="9"/>
            <color indexed="81"/>
            <rFont val="Tahoma"/>
            <family val="2"/>
            <charset val="186"/>
          </rPr>
          <t>Papildomai samdoma 15 trenerių, 8 takelių nuoma</t>
        </r>
        <r>
          <rPr>
            <sz val="9"/>
            <color indexed="81"/>
            <rFont val="Tahoma"/>
            <family val="2"/>
            <charset val="186"/>
          </rPr>
          <t xml:space="preserve">
</t>
        </r>
      </text>
    </comment>
    <comment ref="O59"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E60"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E62" authorId="1" shapeId="0">
      <text>
        <r>
          <rPr>
            <sz val="9"/>
            <color indexed="81"/>
            <rFont val="Tahoma"/>
            <family val="2"/>
            <charset val="186"/>
          </rPr>
          <t xml:space="preserve">P-2.4.3.3.
</t>
        </r>
      </text>
    </comment>
    <comment ref="E64" authorId="1" shapeId="0">
      <text>
        <r>
          <rPr>
            <sz val="9"/>
            <color indexed="81"/>
            <rFont val="Tahoma"/>
            <family val="2"/>
            <charset val="186"/>
          </rPr>
          <t xml:space="preserve">P-1.3.2.5
</t>
        </r>
      </text>
    </comment>
    <comment ref="E71"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E72" authorId="1" shapeId="0">
      <text>
        <r>
          <rPr>
            <sz val="9"/>
            <color indexed="81"/>
            <rFont val="Tahoma"/>
            <family val="2"/>
            <charset val="186"/>
          </rPr>
          <t xml:space="preserve">P-1.3.1.2
</t>
        </r>
      </text>
    </comment>
    <comment ref="E73" authorId="1" shapeId="0">
      <text>
        <r>
          <rPr>
            <sz val="9"/>
            <color indexed="81"/>
            <rFont val="Tahoma"/>
            <family val="2"/>
            <charset val="186"/>
          </rPr>
          <t xml:space="preserve">P-1.3.2.1
</t>
        </r>
      </text>
    </comment>
    <comment ref="E74" authorId="1" shapeId="0">
      <text>
        <r>
          <rPr>
            <sz val="9"/>
            <color indexed="81"/>
            <rFont val="Tahoma"/>
            <family val="2"/>
            <charset val="186"/>
          </rPr>
          <t xml:space="preserve">P-2.2.3.1
</t>
        </r>
      </text>
    </comment>
    <comment ref="O74" authorId="1" shapeId="0">
      <text>
        <r>
          <rPr>
            <sz val="9"/>
            <color indexed="81"/>
            <rFont val="Tahoma"/>
            <family val="2"/>
            <charset val="186"/>
          </rPr>
          <t>"Aukuro" ir V. Didžiojo gimnazijos</t>
        </r>
        <r>
          <rPr>
            <sz val="9"/>
            <color indexed="81"/>
            <rFont val="Tahoma"/>
            <family val="2"/>
            <charset val="186"/>
          </rPr>
          <t xml:space="preserve">
</t>
        </r>
      </text>
    </comment>
    <comment ref="E76" authorId="1" shapeId="0">
      <text>
        <r>
          <rPr>
            <sz val="9"/>
            <color indexed="81"/>
            <rFont val="Tahoma"/>
            <family val="2"/>
            <charset val="186"/>
          </rPr>
          <t xml:space="preserve">P-1.3.2.6
</t>
        </r>
      </text>
    </comment>
    <comment ref="E80"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E81" authorId="1" shapeId="0">
      <text>
        <r>
          <rPr>
            <sz val="9"/>
            <color indexed="81"/>
            <rFont val="Tahoma"/>
            <family val="2"/>
            <charset val="186"/>
          </rPr>
          <t>P-1.3.2.4
P-1.3.2.8</t>
        </r>
        <r>
          <rPr>
            <sz val="9"/>
            <color indexed="81"/>
            <rFont val="Tahoma"/>
            <family val="2"/>
            <charset val="186"/>
          </rPr>
          <t xml:space="preserve">
</t>
        </r>
      </text>
    </comment>
    <comment ref="E8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E85" authorId="1" shapeId="0">
      <text>
        <r>
          <rPr>
            <sz val="9"/>
            <color indexed="81"/>
            <rFont val="Tahoma"/>
            <family val="2"/>
            <charset val="186"/>
          </rPr>
          <t xml:space="preserve">P-1.3.2.10
</t>
        </r>
      </text>
    </comment>
    <comment ref="E89" authorId="1" shapeId="0">
      <text>
        <r>
          <rPr>
            <sz val="9"/>
            <color indexed="81"/>
            <rFont val="Tahoma"/>
            <family val="2"/>
            <charset val="186"/>
          </rPr>
          <t xml:space="preserve">P-1.1.2.1
</t>
        </r>
      </text>
    </comment>
    <comment ref="E95"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E97" authorId="1" shapeId="0">
      <text>
        <r>
          <rPr>
            <sz val="9"/>
            <color indexed="81"/>
            <rFont val="Tahoma"/>
            <family val="2"/>
            <charset val="186"/>
          </rPr>
          <t xml:space="preserve">P-2.4.3.2
</t>
        </r>
      </text>
    </comment>
    <comment ref="E99" authorId="1" shapeId="0">
      <text>
        <r>
          <rPr>
            <sz val="9"/>
            <color indexed="81"/>
            <rFont val="Tahoma"/>
            <family val="2"/>
            <charset val="186"/>
          </rPr>
          <t xml:space="preserve">P-2.4.3.4
</t>
        </r>
      </text>
    </comment>
    <comment ref="E116"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G116" authorId="1" shapeId="0">
      <text>
        <r>
          <rPr>
            <sz val="9"/>
            <color indexed="81"/>
            <rFont val="Tahoma"/>
            <family val="2"/>
            <charset val="186"/>
          </rPr>
          <t>modulinių pastatų prie l/d "Obelėlė" ir "Pingvinukas" nuomai ir techninei priežiūrai</t>
        </r>
        <r>
          <rPr>
            <sz val="9"/>
            <color indexed="81"/>
            <rFont val="Tahoma"/>
            <family val="2"/>
            <charset val="186"/>
          </rPr>
          <t xml:space="preserve">
</t>
        </r>
      </text>
    </comment>
    <comment ref="E131"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E133" authorId="1" shapeId="0">
      <text>
        <r>
          <rPr>
            <sz val="9"/>
            <color indexed="81"/>
            <rFont val="Tahoma"/>
            <family val="2"/>
            <charset val="186"/>
          </rPr>
          <t xml:space="preserve">P-1.3.1.1.
</t>
        </r>
      </text>
    </comment>
    <comment ref="E134"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E136" authorId="1" shapeId="0">
      <text>
        <r>
          <rPr>
            <sz val="9"/>
            <color indexed="81"/>
            <rFont val="Tahoma"/>
            <family val="2"/>
            <charset val="186"/>
          </rPr>
          <t xml:space="preserve">P-1.3.1.1.
</t>
        </r>
      </text>
    </comment>
    <comment ref="E137" authorId="1" shapeId="0">
      <text>
        <r>
          <rPr>
            <sz val="9"/>
            <color indexed="81"/>
            <rFont val="Tahoma"/>
            <family val="2"/>
            <charset val="186"/>
          </rPr>
          <t xml:space="preserve">P-2.2.1.2
</t>
        </r>
      </text>
    </comment>
    <comment ref="O137" authorId="1" shapeId="0">
      <text>
        <r>
          <rPr>
            <sz val="9"/>
            <color indexed="81"/>
            <rFont val="Tahoma"/>
            <family val="2"/>
            <charset val="186"/>
          </rPr>
          <t xml:space="preserve">Gilijos ir Gorkio
</t>
        </r>
      </text>
    </comment>
    <comment ref="P137" authorId="1" shapeId="0">
      <text>
        <r>
          <rPr>
            <sz val="9"/>
            <color indexed="81"/>
            <rFont val="Tahoma"/>
            <family val="2"/>
            <charset val="186"/>
          </rPr>
          <t xml:space="preserve">Baltijos
</t>
        </r>
      </text>
    </comment>
    <comment ref="Q137" authorId="1" shapeId="0">
      <text>
        <r>
          <rPr>
            <sz val="9"/>
            <color indexed="81"/>
            <rFont val="Tahoma"/>
            <family val="2"/>
            <charset val="186"/>
          </rPr>
          <t xml:space="preserve">Sendvario
</t>
        </r>
      </text>
    </comment>
    <comment ref="O138" authorId="1" shapeId="0">
      <text>
        <r>
          <rPr>
            <sz val="9"/>
            <color indexed="81"/>
            <rFont val="Tahoma"/>
            <family val="2"/>
            <charset val="186"/>
          </rPr>
          <t xml:space="preserve">Vitės ir M. Gorkio progimnazijų
Smeltės progimnazijos, Vėtrungės ir Žaliakalnio gimnazijų
</t>
        </r>
      </text>
    </comment>
    <comment ref="P138" authorId="1" shapeId="0">
      <text>
        <r>
          <rPr>
            <sz val="9"/>
            <color indexed="81"/>
            <rFont val="Tahoma"/>
            <family val="2"/>
            <charset val="186"/>
          </rPr>
          <t xml:space="preserve">Gilijos pradinės mokyklos 
</t>
        </r>
      </text>
    </comment>
    <comment ref="Q138" authorId="1" shapeId="0">
      <text>
        <r>
          <rPr>
            <sz val="9"/>
            <color indexed="81"/>
            <rFont val="Tahoma"/>
            <family val="2"/>
            <charset val="186"/>
          </rPr>
          <t xml:space="preserve">Baltijos
</t>
        </r>
      </text>
    </comment>
    <comment ref="P139" authorId="1" shapeId="0">
      <text>
        <r>
          <rPr>
            <sz val="9"/>
            <color indexed="81"/>
            <rFont val="Tahoma"/>
            <family val="2"/>
            <charset val="186"/>
          </rPr>
          <t xml:space="preserve">"Gilijos" pradinės mokyklos, "Smeltės" progimnazijos
</t>
        </r>
      </text>
    </comment>
    <comment ref="Q139" authorId="1" shapeId="0">
      <text>
        <r>
          <rPr>
            <sz val="9"/>
            <color indexed="81"/>
            <rFont val="Tahoma"/>
            <family val="2"/>
            <charset val="186"/>
          </rPr>
          <t xml:space="preserve">Baltijos gimnazijos, "Saulėtekio" progimnazijos
</t>
        </r>
      </text>
    </comment>
    <comment ref="E140"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O145" authorId="1" shapeId="0">
      <text>
        <r>
          <rPr>
            <sz val="9"/>
            <color indexed="81"/>
            <rFont val="Tahoma"/>
            <family val="2"/>
            <charset val="186"/>
          </rPr>
          <t xml:space="preserve">Pilnas atnaujinimas -Aitvaro, Versmės; grindų keitimas - Baltijos, Vyturio
</t>
        </r>
      </text>
    </comment>
    <comment ref="E152" authorId="1" shapeId="0">
      <text>
        <r>
          <rPr>
            <sz val="9"/>
            <color indexed="81"/>
            <rFont val="Tahoma"/>
            <family val="2"/>
            <charset val="186"/>
          </rPr>
          <t xml:space="preserve">P-1.3.1.1.
</t>
        </r>
      </text>
    </comment>
    <comment ref="E154" authorId="1" shapeId="0">
      <text>
        <r>
          <rPr>
            <sz val="9"/>
            <color indexed="81"/>
            <rFont val="Tahoma"/>
            <family val="2"/>
            <charset val="186"/>
          </rPr>
          <t xml:space="preserve">P-1.3.1.1
</t>
        </r>
      </text>
    </comment>
    <comment ref="E157" authorId="1" shapeId="0">
      <text>
        <r>
          <rPr>
            <sz val="9"/>
            <color indexed="81"/>
            <rFont val="Tahoma"/>
            <family val="2"/>
            <charset val="186"/>
          </rPr>
          <t xml:space="preserve">P-1.3.1.1.
</t>
        </r>
      </text>
    </comment>
    <comment ref="E159" authorId="1" shapeId="0">
      <text>
        <r>
          <rPr>
            <sz val="9"/>
            <color indexed="81"/>
            <rFont val="Tahoma"/>
            <family val="2"/>
            <charset val="186"/>
          </rPr>
          <t xml:space="preserve">P-1.3.1.1.
</t>
        </r>
      </text>
    </comment>
    <comment ref="E165"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E166" authorId="1" shapeId="0">
      <text>
        <r>
          <rPr>
            <sz val="9"/>
            <color indexed="81"/>
            <rFont val="Tahoma"/>
            <family val="2"/>
            <charset val="186"/>
          </rPr>
          <t xml:space="preserve">P-1.3.1.1.
</t>
        </r>
      </text>
    </comment>
    <comment ref="N171"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O171" authorId="1" shapeId="0">
      <text>
        <r>
          <rPr>
            <sz val="9"/>
            <color indexed="81"/>
            <rFont val="Tahoma"/>
            <family val="2"/>
            <charset val="186"/>
          </rPr>
          <t xml:space="preserve">Boružėlė 
</t>
        </r>
      </text>
    </comment>
    <comment ref="P171" authorId="1" shapeId="0">
      <text>
        <r>
          <rPr>
            <sz val="9"/>
            <color indexed="81"/>
            <rFont val="Tahoma"/>
            <family val="2"/>
            <charset val="186"/>
          </rPr>
          <t xml:space="preserve">Kregždutė 
</t>
        </r>
      </text>
    </comment>
    <comment ref="Q171" authorId="1" shapeId="0">
      <text>
        <r>
          <rPr>
            <sz val="9"/>
            <color indexed="81"/>
            <rFont val="Tahoma"/>
            <family val="2"/>
            <charset val="186"/>
          </rPr>
          <t xml:space="preserve">Pingvinukas, Putinėlis, Radastėlė </t>
        </r>
      </text>
    </comment>
    <comment ref="E172" authorId="1" shapeId="0">
      <text>
        <r>
          <rPr>
            <sz val="9"/>
            <color indexed="81"/>
            <rFont val="Tahoma"/>
            <family val="2"/>
            <charset val="186"/>
          </rPr>
          <t xml:space="preserve">P-1.3.1.1.
</t>
        </r>
      </text>
    </comment>
    <comment ref="P173" authorId="1" shapeId="0">
      <text>
        <r>
          <rPr>
            <sz val="9"/>
            <color indexed="81"/>
            <rFont val="Tahoma"/>
            <family val="2"/>
            <charset val="186"/>
          </rPr>
          <t>rangos darbai l/d Saulutė, Vėrinėlis</t>
        </r>
        <r>
          <rPr>
            <sz val="9"/>
            <color indexed="81"/>
            <rFont val="Tahoma"/>
            <family val="2"/>
            <charset val="186"/>
          </rPr>
          <t xml:space="preserve">
</t>
        </r>
      </text>
    </comment>
    <comment ref="Q173" authorId="1" shapeId="0">
      <text>
        <r>
          <rPr>
            <sz val="9"/>
            <color indexed="81"/>
            <rFont val="Tahoma"/>
            <family val="2"/>
            <charset val="186"/>
          </rPr>
          <t xml:space="preserve">rangos darbai l/d Vėrinėlis
</t>
        </r>
      </text>
    </comment>
    <comment ref="E175" authorId="1" shapeId="0">
      <text>
        <r>
          <rPr>
            <sz val="9"/>
            <color indexed="81"/>
            <rFont val="Tahoma"/>
            <family val="2"/>
            <charset val="186"/>
          </rPr>
          <t xml:space="preserve">P-1.3.1.1.
</t>
        </r>
      </text>
    </comment>
    <comment ref="E177" authorId="1" shapeId="0">
      <text>
        <r>
          <rPr>
            <sz val="9"/>
            <color indexed="81"/>
            <rFont val="Tahoma"/>
            <family val="2"/>
            <charset val="186"/>
          </rPr>
          <t xml:space="preserve">P-1.3.1.1.
</t>
        </r>
      </text>
    </comment>
    <comment ref="N177" authorId="1" shapeId="0">
      <text>
        <r>
          <rPr>
            <sz val="9"/>
            <color indexed="81"/>
            <rFont val="Tahoma"/>
            <family val="2"/>
            <charset val="186"/>
          </rPr>
          <t xml:space="preserve">Techninis projektas parengtas 2019 m.
</t>
        </r>
      </text>
    </comment>
    <comment ref="N178" authorId="1" shapeId="0">
      <text>
        <r>
          <rPr>
            <sz val="9"/>
            <color indexed="81"/>
            <rFont val="Tahoma"/>
            <family val="2"/>
            <charset val="186"/>
          </rPr>
          <t xml:space="preserve">Techninis projektas parengtas 2019 m.
</t>
        </r>
      </text>
    </comment>
    <comment ref="E179" authorId="1" shapeId="0">
      <text>
        <r>
          <rPr>
            <sz val="9"/>
            <color indexed="81"/>
            <rFont val="Tahoma"/>
            <family val="2"/>
            <charset val="186"/>
          </rPr>
          <t xml:space="preserve">P-1.3.1.1.
</t>
        </r>
      </text>
    </comment>
    <comment ref="E183"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E190" authorId="1" shapeId="0">
      <text>
        <r>
          <rPr>
            <sz val="9"/>
            <color indexed="81"/>
            <rFont val="Tahoma"/>
            <family val="2"/>
            <charset val="186"/>
          </rPr>
          <t xml:space="preserve">P-1.3.1.1
</t>
        </r>
      </text>
    </comment>
    <comment ref="E191" authorId="1" shapeId="0">
      <text>
        <r>
          <rPr>
            <sz val="9"/>
            <color indexed="81"/>
            <rFont val="Tahoma"/>
            <family val="2"/>
            <charset val="186"/>
          </rPr>
          <t xml:space="preserve">P-1.3.1.1
</t>
        </r>
      </text>
    </comment>
    <comment ref="O194" authorId="1" shapeId="0">
      <text>
        <r>
          <rPr>
            <sz val="9"/>
            <color indexed="81"/>
            <rFont val="Tahoma"/>
            <family val="2"/>
            <charset val="186"/>
          </rPr>
          <t>Ąžuolyno ir Aitvaro gimnazijos</t>
        </r>
        <r>
          <rPr>
            <sz val="9"/>
            <color indexed="81"/>
            <rFont val="Tahoma"/>
            <family val="2"/>
            <charset val="186"/>
          </rPr>
          <t xml:space="preserve">
</t>
        </r>
      </text>
    </comment>
    <comment ref="P194" authorId="1" shapeId="0">
      <text>
        <r>
          <rPr>
            <sz val="9"/>
            <color indexed="81"/>
            <rFont val="Tahoma"/>
            <family val="2"/>
            <charset val="186"/>
          </rPr>
          <t xml:space="preserve">„Aukuro“, Suaugusiųjų, „Varpo“ gimnazijos
</t>
        </r>
      </text>
    </comment>
    <comment ref="Q194" authorId="1" shapeId="0">
      <text>
        <r>
          <rPr>
            <sz val="9"/>
            <color indexed="81"/>
            <rFont val="Tahoma"/>
            <family val="2"/>
            <charset val="186"/>
          </rPr>
          <t xml:space="preserve">Vydūno, Vėtrungės ir Žaliakalnio gimnazijos
</t>
        </r>
      </text>
    </comment>
    <comment ref="E215" authorId="1" shapeId="0">
      <text>
        <r>
          <rPr>
            <sz val="9"/>
            <color indexed="81"/>
            <rFont val="Tahoma"/>
            <family val="2"/>
            <charset val="186"/>
          </rPr>
          <t xml:space="preserve">P-1.3.1.2
</t>
        </r>
      </text>
    </comment>
    <comment ref="O226"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Q228" authorId="1" shapeId="0">
      <text>
        <r>
          <rPr>
            <sz val="9"/>
            <color indexed="81"/>
            <rFont val="Tahoma"/>
            <family val="2"/>
            <charset val="186"/>
          </rPr>
          <t xml:space="preserve">prisidės nauja mokykla
</t>
        </r>
      </text>
    </comment>
    <comment ref="O231" authorId="1" shapeId="0">
      <text>
        <r>
          <rPr>
            <sz val="9"/>
            <color indexed="81"/>
            <rFont val="Tahoma"/>
            <family val="2"/>
            <charset val="186"/>
          </rPr>
          <t xml:space="preserve">Čiauškutė (Šermukšnėlės pastatas), Liepaitė, Du gaideliai, regos ugdymo centras
</t>
        </r>
      </text>
    </comment>
    <comment ref="O233"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O236"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O238"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Avariniai
</t>
        </r>
      </text>
    </comment>
    <comment ref="O239" authorId="1" shapeId="0">
      <text>
        <r>
          <rPr>
            <sz val="9"/>
            <color indexed="81"/>
            <rFont val="Tahoma"/>
            <family val="2"/>
            <charset val="186"/>
          </rPr>
          <t xml:space="preserve">Gorkio progimnazijos ir l/d Šermukšnėlė projektai
</t>
        </r>
      </text>
    </comment>
    <comment ref="O240" authorId="1" shapeId="0">
      <text>
        <r>
          <rPr>
            <sz val="9"/>
            <color indexed="81"/>
            <rFont val="Tahoma"/>
            <family val="2"/>
            <charset val="186"/>
          </rPr>
          <t xml:space="preserve">Gorkio progimnazijos ir l/d Šermukšnėlė
</t>
        </r>
      </text>
    </comment>
    <comment ref="O242" authorId="1" shapeId="0">
      <text>
        <r>
          <rPr>
            <sz val="9"/>
            <color indexed="81"/>
            <rFont val="Tahoma"/>
            <family val="2"/>
            <charset val="186"/>
          </rPr>
          <t xml:space="preserve">Traukinukas, VDG, RUC
</t>
        </r>
      </text>
    </comment>
    <comment ref="E253" authorId="1" shapeId="0">
      <text>
        <r>
          <rPr>
            <sz val="9"/>
            <color indexed="81"/>
            <rFont val="Tahoma"/>
            <family val="2"/>
            <charset val="186"/>
          </rPr>
          <t xml:space="preserve">P-3.3.2.3
</t>
        </r>
      </text>
    </comment>
    <comment ref="O253" authorId="1" shapeId="0">
      <text>
        <r>
          <rPr>
            <sz val="9"/>
            <color indexed="81"/>
            <rFont val="Tahoma"/>
            <family val="2"/>
            <charset val="186"/>
          </rPr>
          <t xml:space="preserve">"Verdenės" progimnazija ir l/d. Ąžuoliukas
</t>
        </r>
      </text>
    </comment>
    <comment ref="O254" authorId="1" shapeId="0">
      <text>
        <r>
          <rPr>
            <sz val="9"/>
            <color indexed="81"/>
            <rFont val="Tahoma"/>
            <family val="2"/>
            <charset val="186"/>
          </rPr>
          <t xml:space="preserve">1. l/d Vyturėlis;
2. Gedminų progimn.;
3. S. Dacho progimn.;
4. Vitės progim.;
5. Smeltės progimn.
</t>
        </r>
      </text>
    </comment>
  </commentList>
</comments>
</file>

<file path=xl/comments3.xml><?xml version="1.0" encoding="utf-8"?>
<comments xmlns="http://schemas.openxmlformats.org/spreadsheetml/2006/main">
  <authors>
    <author>Snieguole Kacerauskaite</author>
    <author>Asta Česnauskienė</author>
    <author>Indrė Butenienė</author>
    <author>Regina Intienė</author>
    <author>Ingrida Urbonaviciene</author>
    <author>Saulina Paulauskiene</author>
  </authors>
  <commentList>
    <comment ref="G1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5.1.3. Įrengta inovatyvių išmanių grupių ikimokyklinio ugdymo įstaigose, vnt. </t>
        </r>
      </text>
    </comment>
    <comment ref="G16" authorId="1" shapeId="0">
      <text>
        <r>
          <rPr>
            <sz val="9"/>
            <color indexed="81"/>
            <rFont val="Tahoma"/>
            <family val="2"/>
            <charset val="186"/>
          </rPr>
          <t xml:space="preserve">P-1.3.2.5
</t>
        </r>
      </text>
    </comment>
    <comment ref="K21" authorId="1" shapeId="0">
      <text>
        <r>
          <rPr>
            <sz val="9"/>
            <color indexed="81"/>
            <rFont val="Tahoma"/>
            <family val="2"/>
            <charset val="186"/>
          </rPr>
          <t xml:space="preserve">socialinę riziką patiriantiems
</t>
        </r>
      </text>
    </comment>
    <comment ref="P22" authorId="1" shapeId="0">
      <text>
        <r>
          <rPr>
            <sz val="9"/>
            <color indexed="81"/>
            <rFont val="Tahoma"/>
            <family val="2"/>
            <charset val="186"/>
          </rPr>
          <t>interaktyvi įranga: interaktyvus kilimas ir projektorius ant sienos</t>
        </r>
        <r>
          <rPr>
            <sz val="9"/>
            <color indexed="81"/>
            <rFont val="Tahoma"/>
            <family val="2"/>
            <charset val="186"/>
          </rPr>
          <t xml:space="preserve">
</t>
        </r>
      </text>
    </comment>
    <comment ref="P36" authorId="1" shapeId="0">
      <text>
        <r>
          <rPr>
            <sz val="9"/>
            <color indexed="81"/>
            <rFont val="Tahoma"/>
            <family val="2"/>
            <charset val="186"/>
          </rPr>
          <t xml:space="preserve">Laimingų vaikų pilis (Miško darželis) ir Vaikų ugdymo akademija
</t>
        </r>
      </text>
    </comment>
    <comment ref="K42" authorId="1" shapeId="0">
      <text>
        <r>
          <rPr>
            <b/>
            <sz val="9"/>
            <color indexed="81"/>
            <rFont val="Tahoma"/>
            <family val="2"/>
            <charset val="186"/>
          </rPr>
          <t>Ingrida Urbonavičienė:</t>
        </r>
        <r>
          <rPr>
            <sz val="9"/>
            <color indexed="81"/>
            <rFont val="Tahoma"/>
            <family val="2"/>
            <charset val="186"/>
          </rPr>
          <t xml:space="preserve"> Medeinė ir Litorina
</t>
        </r>
      </text>
    </comment>
    <comment ref="P51" authorId="1" shapeId="0">
      <text>
        <r>
          <rPr>
            <sz val="9"/>
            <color indexed="81"/>
            <rFont val="Tahoma"/>
            <family val="2"/>
            <charset val="186"/>
          </rPr>
          <t xml:space="preserve">"Pajūrio", „Gabijos“, Sendvario, Vitės, „Vyturio“ progimnazijos, „Varpo“ gimnazija
</t>
        </r>
      </text>
    </comment>
    <comment ref="P55" authorId="1" shapeId="0">
      <text>
        <r>
          <rPr>
            <sz val="9"/>
            <color indexed="81"/>
            <rFont val="Tahoma"/>
            <family val="2"/>
            <charset val="186"/>
          </rPr>
          <t>Žemynos, Vytauto Didžiojo, Vydūno, Vėtrungės gimnazijos</t>
        </r>
        <r>
          <rPr>
            <sz val="9"/>
            <color indexed="81"/>
            <rFont val="Tahoma"/>
            <family val="2"/>
            <charset val="186"/>
          </rPr>
          <t xml:space="preserve">
</t>
        </r>
      </text>
    </comment>
    <comment ref="G57" authorId="1" shapeId="0">
      <text>
        <r>
          <rPr>
            <sz val="9"/>
            <color indexed="81"/>
            <rFont val="Tahoma"/>
            <family val="2"/>
            <charset val="186"/>
          </rPr>
          <t xml:space="preserve">P-1.3.2.3
</t>
        </r>
      </text>
    </comment>
    <comment ref="F64" authorId="0" shapeId="0">
      <text>
        <r>
          <rPr>
            <sz val="9"/>
            <color indexed="81"/>
            <rFont val="Tahoma"/>
            <family val="2"/>
            <charset val="186"/>
          </rPr>
          <t>Papildomai samdoma 15 trenerių, 8 takelių nuoma</t>
        </r>
        <r>
          <rPr>
            <sz val="9"/>
            <color indexed="81"/>
            <rFont val="Tahoma"/>
            <family val="2"/>
            <charset val="186"/>
          </rPr>
          <t xml:space="preserve">
</t>
        </r>
      </text>
    </comment>
    <comment ref="K69" authorId="1" shapeId="0">
      <text>
        <r>
          <rPr>
            <b/>
            <sz val="9"/>
            <color indexed="81"/>
            <rFont val="Tahoma"/>
            <family val="2"/>
            <charset val="186"/>
          </rPr>
          <t xml:space="preserve">Ingrida Urbonaviciene:
</t>
        </r>
        <r>
          <rPr>
            <sz val="9"/>
            <color indexed="81"/>
            <rFont val="Tahoma"/>
            <family val="2"/>
            <charset val="186"/>
          </rPr>
          <t>VLC elektros kreditiniam įsiskolinimui dengti</t>
        </r>
        <r>
          <rPr>
            <sz val="9"/>
            <color indexed="81"/>
            <rFont val="Tahoma"/>
            <family val="2"/>
            <charset val="186"/>
          </rPr>
          <t xml:space="preserve">
</t>
        </r>
      </text>
    </comment>
    <comment ref="P72" authorId="1" shapeId="0">
      <text>
        <r>
          <rPr>
            <sz val="9"/>
            <color indexed="81"/>
            <rFont val="Tahoma"/>
            <family val="2"/>
            <charset val="186"/>
          </rPr>
          <t xml:space="preserve">Numatoma 3 ikimokyklinių įstaigų (l.-d. Saulutė“ ,l.-d. „Žiogelis“, l.-d. „Inkarėlis“), esančių Kauno gatvėje, tvoras, kurios skirtos apsaugai nuo gatvės triukšmo, papuošti grafiti piešiniais su Klaipėdos simboliais. 
Kiekviena bendrojo ugdymo mokykla pagamins keramikinę plokštę, kurioje bus pavaizduotos įsimintinos miesto datos ar įvykiai. Plokščių gamybai bus naudojamas molis ar cementas, glazūra, degimo ir džiovinimo įranga. </t>
        </r>
        <r>
          <rPr>
            <sz val="9"/>
            <color indexed="81"/>
            <rFont val="Tahoma"/>
            <family val="2"/>
            <charset val="186"/>
          </rPr>
          <t xml:space="preserve">
</t>
        </r>
      </text>
    </comment>
    <comment ref="G73" authorId="0" shapeId="0">
      <text>
        <r>
          <rPr>
            <b/>
            <sz val="9"/>
            <color indexed="81"/>
            <rFont val="Tahoma"/>
            <family val="2"/>
            <charset val="186"/>
          </rPr>
          <t>5.1. Ikimokyklinio ir bendrojo ugdymo paslaugų prieinamumo ir kokybės gerinimas</t>
        </r>
        <r>
          <rPr>
            <sz val="9"/>
            <color indexed="81"/>
            <rFont val="Tahoma"/>
            <family val="2"/>
            <charset val="186"/>
          </rPr>
          <t>: 
5.1.2. Padidintas psichologų, teikiančių paslaugas ikimokyklinio ugdymo įstaigoms, etatų skaičius BĮ Klaipėdos pedagoginė psichologinė tarnyba</t>
        </r>
      </text>
    </comment>
    <comment ref="G75" authorId="1" shapeId="0">
      <text>
        <r>
          <rPr>
            <sz val="9"/>
            <color indexed="81"/>
            <rFont val="Tahoma"/>
            <family val="2"/>
            <charset val="186"/>
          </rPr>
          <t xml:space="preserve">P-2.4.3.3.
</t>
        </r>
      </text>
    </comment>
    <comment ref="O75" authorId="0" shapeId="0">
      <text>
        <r>
          <rPr>
            <b/>
            <sz val="9"/>
            <color indexed="81"/>
            <rFont val="Tahoma"/>
            <family val="2"/>
            <charset val="186"/>
          </rPr>
          <t>Snieguole Kacerauskaite:</t>
        </r>
        <r>
          <rPr>
            <sz val="9"/>
            <color indexed="81"/>
            <rFont val="Tahoma"/>
            <family val="2"/>
            <charset val="186"/>
          </rPr>
          <t xml:space="preserve">
pagal KMT 2019-07-25 sprendimą Nr. T2-247 „Dėl Klaipėdos miesto savivaldybės 2019-2023 metų veiklos prioritetų patvirtinimo" </t>
        </r>
      </text>
    </comment>
    <comment ref="G81" authorId="1" shapeId="0">
      <text>
        <r>
          <rPr>
            <sz val="9"/>
            <color indexed="81"/>
            <rFont val="Tahoma"/>
            <family val="2"/>
            <charset val="186"/>
          </rPr>
          <t xml:space="preserve">P-1.3.2.5
</t>
        </r>
      </text>
    </comment>
    <comment ref="G89" authorId="2" shapeId="0">
      <text>
        <r>
          <rPr>
            <b/>
            <sz val="9"/>
            <color indexed="81"/>
            <rFont val="Tahoma"/>
            <family val="2"/>
            <charset val="186"/>
          </rPr>
          <t xml:space="preserve">KEPS 2.2.4. </t>
        </r>
        <r>
          <rPr>
            <sz val="9"/>
            <color indexed="81"/>
            <rFont val="Tahoma"/>
            <family val="2"/>
            <charset val="186"/>
          </rPr>
          <t xml:space="preserve"> Įsteigti gamtos mokslų, technologijų ir inžinerijos, matematikos ir menų (STEAM) centrą </t>
        </r>
      </text>
    </comment>
    <comment ref="G90" authorId="1" shapeId="0">
      <text>
        <r>
          <rPr>
            <sz val="9"/>
            <color indexed="81"/>
            <rFont val="Tahoma"/>
            <family val="2"/>
            <charset val="186"/>
          </rPr>
          <t xml:space="preserve">P-1.3.1.2
</t>
        </r>
      </text>
    </comment>
    <comment ref="G91" authorId="1" shapeId="0">
      <text>
        <r>
          <rPr>
            <sz val="9"/>
            <color indexed="81"/>
            <rFont val="Tahoma"/>
            <family val="2"/>
            <charset val="186"/>
          </rPr>
          <t xml:space="preserve">P-1.3.2.1
</t>
        </r>
      </text>
    </comment>
    <comment ref="G92" authorId="1" shapeId="0">
      <text>
        <r>
          <rPr>
            <sz val="9"/>
            <color indexed="81"/>
            <rFont val="Tahoma"/>
            <family val="2"/>
            <charset val="186"/>
          </rPr>
          <t xml:space="preserve">P-2.2.3.1
</t>
        </r>
      </text>
    </comment>
    <comment ref="P92" authorId="1" shapeId="0">
      <text>
        <r>
          <rPr>
            <sz val="9"/>
            <color indexed="81"/>
            <rFont val="Tahoma"/>
            <family val="2"/>
            <charset val="186"/>
          </rPr>
          <t>"Aukuro" ir V. Didžiojo gimnazijos</t>
        </r>
        <r>
          <rPr>
            <sz val="9"/>
            <color indexed="81"/>
            <rFont val="Tahoma"/>
            <family val="2"/>
            <charset val="186"/>
          </rPr>
          <t xml:space="preserve">
</t>
        </r>
      </text>
    </comment>
    <comment ref="G94" authorId="1" shapeId="0">
      <text>
        <r>
          <rPr>
            <sz val="9"/>
            <color indexed="81"/>
            <rFont val="Tahoma"/>
            <family val="2"/>
            <charset val="186"/>
          </rPr>
          <t xml:space="preserve">P-1.3.2.6
</t>
        </r>
      </text>
    </comment>
    <comment ref="G98" authorId="0" shapeId="0">
      <text>
        <r>
          <rPr>
            <b/>
            <sz val="9"/>
            <color indexed="81"/>
            <rFont val="Tahoma"/>
            <family val="2"/>
            <charset val="186"/>
          </rPr>
          <t>5.2. Bendradarbiavimo su Klaipėdos miesto aukštosiomis mokyklomis stiprinimas</t>
        </r>
        <r>
          <rPr>
            <sz val="9"/>
            <color indexed="81"/>
            <rFont val="Tahoma"/>
            <family val="2"/>
            <charset val="186"/>
          </rPr>
          <t>:
5.2.1. Įgyvendintų bendrų projektų su aukštosiomis mokyklomis skaičius
5.2.2. Įsteigta universitetinių klasių, vnt.</t>
        </r>
      </text>
    </comment>
    <comment ref="G99" authorId="1" shapeId="0">
      <text>
        <r>
          <rPr>
            <sz val="9"/>
            <color indexed="81"/>
            <rFont val="Tahoma"/>
            <family val="2"/>
            <charset val="186"/>
          </rPr>
          <t>P-1.3.2.4
P-1.3.2.8</t>
        </r>
        <r>
          <rPr>
            <sz val="9"/>
            <color indexed="81"/>
            <rFont val="Tahoma"/>
            <family val="2"/>
            <charset val="186"/>
          </rPr>
          <t xml:space="preserve">
</t>
        </r>
      </text>
    </comment>
    <comment ref="G102"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2.2.2</t>
        </r>
        <r>
          <rPr>
            <sz val="9"/>
            <color indexed="81"/>
            <rFont val="Tahoma"/>
            <family val="2"/>
            <charset val="186"/>
          </rPr>
          <t xml:space="preserve">. Įsteigti universitetinių klasių ir universitetinę ikimokyklinę įstaigą, gimnaziją ir progimnaziją, kurių ugdymo turinys būtų derinamas su Klaipėdos universitetu </t>
        </r>
      </text>
    </comment>
    <comment ref="G105" authorId="1" shapeId="0">
      <text>
        <r>
          <rPr>
            <sz val="9"/>
            <color indexed="81"/>
            <rFont val="Tahoma"/>
            <family val="2"/>
            <charset val="186"/>
          </rPr>
          <t xml:space="preserve">P-1.3.2.10
</t>
        </r>
      </text>
    </comment>
    <comment ref="K108" authorId="1" shapeId="0">
      <text>
        <r>
          <rPr>
            <b/>
            <sz val="9"/>
            <color indexed="81"/>
            <rFont val="Tahoma"/>
            <family val="2"/>
            <charset val="186"/>
          </rPr>
          <t xml:space="preserve">Ingrida Urbonaviciene:
</t>
        </r>
        <r>
          <rPr>
            <sz val="9"/>
            <color indexed="81"/>
            <rFont val="Tahoma"/>
            <family val="2"/>
            <charset val="186"/>
          </rPr>
          <t xml:space="preserve">60 tūkst. stipendijos
123,4 tūkst. Eur
</t>
        </r>
      </text>
    </comment>
    <comment ref="G109" authorId="1" shapeId="0">
      <text>
        <r>
          <rPr>
            <sz val="9"/>
            <color indexed="81"/>
            <rFont val="Tahoma"/>
            <family val="2"/>
            <charset val="186"/>
          </rPr>
          <t xml:space="preserve">P-1.1.2.1
</t>
        </r>
      </text>
    </comment>
    <comment ref="G115" authorId="0" shapeId="0">
      <text>
        <r>
          <rPr>
            <b/>
            <sz val="9"/>
            <color indexed="81"/>
            <rFont val="Tahoma"/>
            <family val="2"/>
            <charset val="186"/>
          </rPr>
          <t>5.1. Ikimokyklinio ir bendrojo ugdymo paslaugų prieinamumo ir kokybės gerinimas</t>
        </r>
        <r>
          <rPr>
            <sz val="9"/>
            <color indexed="81"/>
            <rFont val="Tahoma"/>
            <family val="2"/>
            <charset val="186"/>
          </rPr>
          <t>: 
5.1.11. Padidintas finansavimas vasaros poilsio stovykloms, proc.</t>
        </r>
      </text>
    </comment>
    <comment ref="G117" authorId="1" shapeId="0">
      <text>
        <r>
          <rPr>
            <sz val="9"/>
            <color indexed="81"/>
            <rFont val="Tahoma"/>
            <family val="2"/>
            <charset val="186"/>
          </rPr>
          <t xml:space="preserve">P-2.4.3.2
</t>
        </r>
      </text>
    </comment>
    <comment ref="G119" authorId="1" shapeId="0">
      <text>
        <r>
          <rPr>
            <sz val="9"/>
            <color indexed="81"/>
            <rFont val="Tahoma"/>
            <family val="2"/>
            <charset val="186"/>
          </rPr>
          <t xml:space="preserve">P-2.4.3.4
</t>
        </r>
      </text>
    </comment>
    <comment ref="G136" authorId="0" shapeId="0">
      <text>
        <r>
          <rPr>
            <b/>
            <sz val="9"/>
            <color indexed="81"/>
            <rFont val="Tahoma"/>
            <family val="2"/>
            <charset val="186"/>
          </rPr>
          <t xml:space="preserve">5.1. Ikimokyklinio ir bendrojo ugdymo paslaugų prieinamumo ir kokybės gerinimas: </t>
        </r>
        <r>
          <rPr>
            <sz val="9"/>
            <color indexed="81"/>
            <rFont val="Tahoma"/>
            <family val="2"/>
            <charset val="186"/>
          </rPr>
          <t xml:space="preserve">5.1.4. Įrengta naujų ikimokyklinio ugdymo vietų centrinėje ir šiaurinėje miesto dalyse </t>
        </r>
        <r>
          <rPr>
            <b/>
            <sz val="9"/>
            <color indexed="81"/>
            <rFont val="Tahoma"/>
            <family val="2"/>
            <charset val="186"/>
          </rPr>
          <t xml:space="preserve">
</t>
        </r>
        <r>
          <rPr>
            <sz val="9"/>
            <color indexed="81"/>
            <rFont val="Tahoma"/>
            <family val="2"/>
            <charset val="186"/>
          </rPr>
          <t xml:space="preserve">
</t>
        </r>
      </text>
    </comment>
    <comment ref="K137" authorId="1" shapeId="0">
      <text>
        <r>
          <rPr>
            <sz val="9"/>
            <color indexed="81"/>
            <rFont val="Tahoma"/>
            <family val="2"/>
            <charset val="186"/>
          </rPr>
          <t xml:space="preserve">modulinių pastatų prie l/d "Obelėlė" ir "Pingvinukas" nuomai ir techninei priežiūrai
</t>
        </r>
      </text>
    </comment>
    <comment ref="G142"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G144" authorId="1" shapeId="0">
      <text>
        <r>
          <rPr>
            <sz val="9"/>
            <color indexed="81"/>
            <rFont val="Tahoma"/>
            <family val="2"/>
            <charset val="186"/>
          </rPr>
          <t xml:space="preserve">P-1.3.1.1.
</t>
        </r>
      </text>
    </comment>
    <comment ref="G14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5.1.9. Įrengta naujų bendrojo ugdymo vietų šiaurinėje miesto dalyje, vnt.
5.1.12. Įgyvendinta investicinių projektų bendrojo lavinimo ir neformalaus ugdymo srityje, vnt.</t>
        </r>
      </text>
    </comment>
    <comment ref="G147" authorId="1" shapeId="0">
      <text>
        <r>
          <rPr>
            <sz val="9"/>
            <color indexed="81"/>
            <rFont val="Tahoma"/>
            <family val="2"/>
            <charset val="186"/>
          </rPr>
          <t xml:space="preserve">P-1.3.1.1.
</t>
        </r>
      </text>
    </comment>
    <comment ref="G153" authorId="1" shapeId="0">
      <text>
        <r>
          <rPr>
            <sz val="9"/>
            <color indexed="81"/>
            <rFont val="Tahoma"/>
            <family val="2"/>
            <charset val="186"/>
          </rPr>
          <t xml:space="preserve">P-2.2.1.2
</t>
        </r>
      </text>
    </comment>
    <comment ref="O153" authorId="3" shapeId="0">
      <text>
        <r>
          <rPr>
            <b/>
            <sz val="9"/>
            <color indexed="81"/>
            <rFont val="Tahoma"/>
            <family val="2"/>
            <charset val="186"/>
          </rPr>
          <t>Regina Intienė:</t>
        </r>
        <r>
          <rPr>
            <sz val="9"/>
            <color indexed="81"/>
            <rFont val="Tahoma"/>
            <family val="2"/>
            <charset val="186"/>
          </rPr>
          <t xml:space="preserve">
Gorkio</t>
        </r>
      </text>
    </comment>
    <comment ref="P153" authorId="1" shapeId="0">
      <text>
        <r>
          <rPr>
            <sz val="9"/>
            <color indexed="81"/>
            <rFont val="Tahoma"/>
            <family val="2"/>
            <charset val="186"/>
          </rPr>
          <t xml:space="preserve">Gilijos ir Gorkio
</t>
        </r>
      </text>
    </comment>
    <comment ref="Q153" authorId="1" shapeId="0">
      <text>
        <r>
          <rPr>
            <sz val="9"/>
            <color indexed="81"/>
            <rFont val="Tahoma"/>
            <family val="2"/>
            <charset val="186"/>
          </rPr>
          <t xml:space="preserve">Baltijos
</t>
        </r>
      </text>
    </comment>
    <comment ref="R153" authorId="1" shapeId="0">
      <text>
        <r>
          <rPr>
            <sz val="9"/>
            <color indexed="81"/>
            <rFont val="Tahoma"/>
            <family val="2"/>
            <charset val="186"/>
          </rPr>
          <t xml:space="preserve">Sendvario
</t>
        </r>
      </text>
    </comment>
    <comment ref="O154" authorId="1" shapeId="0">
      <text>
        <r>
          <rPr>
            <sz val="9"/>
            <color indexed="81"/>
            <rFont val="Tahoma"/>
            <family val="2"/>
            <charset val="186"/>
          </rPr>
          <t xml:space="preserve">H. Zudermano gimnazijos
</t>
        </r>
      </text>
    </comment>
    <comment ref="P154" authorId="1" shapeId="0">
      <text>
        <r>
          <rPr>
            <sz val="9"/>
            <color indexed="81"/>
            <rFont val="Tahoma"/>
            <family val="2"/>
            <charset val="186"/>
          </rPr>
          <t xml:space="preserve">Vitės ir M. Gorkio progimnazijų
Smeltės progimnazijos, Vėtrungės ir Žaliakalnio gimnazijų
</t>
        </r>
      </text>
    </comment>
    <comment ref="Q154" authorId="1" shapeId="0">
      <text>
        <r>
          <rPr>
            <sz val="9"/>
            <color indexed="81"/>
            <rFont val="Tahoma"/>
            <family val="2"/>
            <charset val="186"/>
          </rPr>
          <t xml:space="preserve">Gilijos
</t>
        </r>
      </text>
    </comment>
    <comment ref="R154" authorId="1" shapeId="0">
      <text>
        <r>
          <rPr>
            <sz val="9"/>
            <color indexed="81"/>
            <rFont val="Tahoma"/>
            <family val="2"/>
            <charset val="186"/>
          </rPr>
          <t xml:space="preserve">Baltijos
</t>
        </r>
      </text>
    </comment>
    <comment ref="K156" authorId="1" shapeId="0">
      <text>
        <r>
          <rPr>
            <sz val="9"/>
            <color indexed="81"/>
            <rFont val="Tahoma"/>
            <family val="2"/>
            <charset val="186"/>
          </rPr>
          <t xml:space="preserve">Vitės stadionui KLASCO lėšos
</t>
        </r>
      </text>
    </comment>
    <comment ref="G158" authorId="0" shapeId="0">
      <text>
        <r>
          <rPr>
            <b/>
            <sz val="9"/>
            <color indexed="81"/>
            <rFont val="Tahoma"/>
            <family val="2"/>
            <charset val="186"/>
          </rPr>
          <t>5.1. Ikimokyklinio ir bendrojo ugdymo paslaugų prieinamumo ir kokybės gerinimas</t>
        </r>
        <r>
          <rPr>
            <sz val="9"/>
            <color indexed="81"/>
            <rFont val="Tahoma"/>
            <family val="2"/>
            <charset val="186"/>
          </rPr>
          <t>:
5.1.12. Įgyvendinta investicinių projektų bendrojo lavinimo ir neformalaus ugdymo srityje, vnt.</t>
        </r>
      </text>
    </comment>
    <comment ref="P163" authorId="1" shapeId="0">
      <text>
        <r>
          <rPr>
            <sz val="9"/>
            <color indexed="81"/>
            <rFont val="Tahoma"/>
            <family val="2"/>
            <charset val="186"/>
          </rPr>
          <t xml:space="preserve">Pilnas atnaujinimas -Aitvaro, Versmės; grindų keitimas - Baltijos, Vyturio
</t>
        </r>
      </text>
    </comment>
    <comment ref="F167" authorId="1" shapeId="0">
      <text>
        <r>
          <rPr>
            <sz val="9"/>
            <color indexed="81"/>
            <rFont val="Tahoma"/>
            <family val="2"/>
            <charset val="186"/>
          </rPr>
          <t xml:space="preserve">Dideli avariniai darbai - įlinko stogas
</t>
        </r>
      </text>
    </comment>
    <comment ref="G170" authorId="1" shapeId="0">
      <text>
        <r>
          <rPr>
            <sz val="9"/>
            <color indexed="81"/>
            <rFont val="Tahoma"/>
            <family val="2"/>
            <charset val="186"/>
          </rPr>
          <t xml:space="preserve">P-1.3.1.1.
</t>
        </r>
      </text>
    </comment>
    <comment ref="G172" authorId="1" shapeId="0">
      <text>
        <r>
          <rPr>
            <sz val="9"/>
            <color indexed="81"/>
            <rFont val="Tahoma"/>
            <family val="2"/>
            <charset val="186"/>
          </rPr>
          <t xml:space="preserve">P-1.3.1.1
</t>
        </r>
      </text>
    </comment>
    <comment ref="G175" authorId="1" shapeId="0">
      <text>
        <r>
          <rPr>
            <sz val="9"/>
            <color indexed="81"/>
            <rFont val="Tahoma"/>
            <family val="2"/>
            <charset val="186"/>
          </rPr>
          <t xml:space="preserve">P-1.3.1.1.
</t>
        </r>
      </text>
    </comment>
    <comment ref="G177" authorId="1" shapeId="0">
      <text>
        <r>
          <rPr>
            <sz val="9"/>
            <color indexed="81"/>
            <rFont val="Tahoma"/>
            <family val="2"/>
            <charset val="186"/>
          </rPr>
          <t xml:space="preserve">P-1.3.1.1.
</t>
        </r>
      </text>
    </comment>
    <comment ref="G187" authorId="0" shapeId="0">
      <text>
        <r>
          <rPr>
            <b/>
            <sz val="9"/>
            <color indexed="81"/>
            <rFont val="Tahoma"/>
            <family val="2"/>
            <charset val="186"/>
          </rPr>
          <t>5.1. Ikimokyklinio ir bendrojo ugdymo paslaugų prieinamumo ir kokybės gerinimas</t>
        </r>
        <r>
          <rPr>
            <sz val="9"/>
            <color indexed="81"/>
            <rFont val="Tahoma"/>
            <family val="2"/>
            <charset val="186"/>
          </rPr>
          <t>:
5.1.4. Įrengta naujų ikimokyklinio ugdymo vietų centrinėje ir šiaurinėje miesto dalyse
5.1.5. Renovuota ikimokyklinio ugdymo įstaigų pastatų, vnt.
5.1.12. Įgyvendinta investicinių projektų bendrojo lavinimo ir neformalaus ugdymo srityje, vnt.</t>
        </r>
      </text>
    </comment>
    <comment ref="G188" authorId="1" shapeId="0">
      <text>
        <r>
          <rPr>
            <sz val="9"/>
            <color indexed="81"/>
            <rFont val="Tahoma"/>
            <family val="2"/>
            <charset val="186"/>
          </rPr>
          <t xml:space="preserve">P-1.3.1.1.
</t>
        </r>
      </text>
    </comment>
    <comment ref="N193" authorId="1" shapeId="0">
      <text>
        <r>
          <rPr>
            <sz val="9"/>
            <color indexed="81"/>
            <rFont val="Tahoma"/>
            <family val="2"/>
            <charset val="186"/>
          </rPr>
          <t>l/d Saulutė ir Vėrinėlis techn. projektai yra parengti</t>
        </r>
        <r>
          <rPr>
            <sz val="9"/>
            <color indexed="81"/>
            <rFont val="Tahoma"/>
            <family val="2"/>
            <charset val="186"/>
          </rPr>
          <t xml:space="preserve">
</t>
        </r>
      </text>
    </comment>
    <comment ref="P193" authorId="1" shapeId="0">
      <text>
        <r>
          <rPr>
            <sz val="9"/>
            <color indexed="81"/>
            <rFont val="Tahoma"/>
            <family val="2"/>
            <charset val="186"/>
          </rPr>
          <t xml:space="preserve">Boružėlė 
</t>
        </r>
      </text>
    </comment>
    <comment ref="Q193" authorId="1" shapeId="0">
      <text>
        <r>
          <rPr>
            <sz val="9"/>
            <color indexed="81"/>
            <rFont val="Tahoma"/>
            <family val="2"/>
            <charset val="186"/>
          </rPr>
          <t xml:space="preserve">Kregždutė 
</t>
        </r>
      </text>
    </comment>
    <comment ref="R193" authorId="1" shapeId="0">
      <text>
        <r>
          <rPr>
            <sz val="9"/>
            <color indexed="81"/>
            <rFont val="Tahoma"/>
            <family val="2"/>
            <charset val="186"/>
          </rPr>
          <t xml:space="preserve">Pingvinukas, Putinėlis, Radastėlė </t>
        </r>
      </text>
    </comment>
    <comment ref="G194" authorId="1" shapeId="0">
      <text>
        <r>
          <rPr>
            <sz val="9"/>
            <color indexed="81"/>
            <rFont val="Tahoma"/>
            <family val="2"/>
            <charset val="186"/>
          </rPr>
          <t xml:space="preserve">P-1.3.1.1.
</t>
        </r>
      </text>
    </comment>
    <comment ref="Q195" authorId="1" shapeId="0">
      <text>
        <r>
          <rPr>
            <sz val="9"/>
            <color indexed="81"/>
            <rFont val="Tahoma"/>
            <family val="2"/>
            <charset val="186"/>
          </rPr>
          <t>rangos darbai l/d Saulutė, Vėrinėlis</t>
        </r>
        <r>
          <rPr>
            <sz val="9"/>
            <color indexed="81"/>
            <rFont val="Tahoma"/>
            <family val="2"/>
            <charset val="186"/>
          </rPr>
          <t xml:space="preserve">
</t>
        </r>
      </text>
    </comment>
    <comment ref="R195" authorId="1" shapeId="0">
      <text>
        <r>
          <rPr>
            <sz val="9"/>
            <color indexed="81"/>
            <rFont val="Tahoma"/>
            <family val="2"/>
            <charset val="186"/>
          </rPr>
          <t xml:space="preserve">rangos darbai l/d Vėrinėlis
</t>
        </r>
      </text>
    </comment>
    <comment ref="G197" authorId="1" shapeId="0">
      <text>
        <r>
          <rPr>
            <sz val="9"/>
            <color indexed="81"/>
            <rFont val="Tahoma"/>
            <family val="2"/>
            <charset val="186"/>
          </rPr>
          <t xml:space="preserve">P-1.3.1.1.
</t>
        </r>
      </text>
    </comment>
    <comment ref="G199" authorId="1" shapeId="0">
      <text>
        <r>
          <rPr>
            <sz val="9"/>
            <color indexed="81"/>
            <rFont val="Tahoma"/>
            <family val="2"/>
            <charset val="186"/>
          </rPr>
          <t xml:space="preserve">P-1.3.1.1.
</t>
        </r>
      </text>
    </comment>
    <comment ref="N199" authorId="1" shapeId="0">
      <text>
        <r>
          <rPr>
            <sz val="9"/>
            <color indexed="81"/>
            <rFont val="Tahoma"/>
            <family val="2"/>
            <charset val="186"/>
          </rPr>
          <t xml:space="preserve">Techninis projektas parengtas 2019 m.
</t>
        </r>
      </text>
    </comment>
    <comment ref="N200" authorId="1" shapeId="0">
      <text>
        <r>
          <rPr>
            <sz val="9"/>
            <color indexed="81"/>
            <rFont val="Tahoma"/>
            <family val="2"/>
            <charset val="186"/>
          </rPr>
          <t xml:space="preserve">Techninis projektas parengtas 2019 m.
</t>
        </r>
      </text>
    </comment>
    <comment ref="G201" authorId="1" shapeId="0">
      <text>
        <r>
          <rPr>
            <sz val="9"/>
            <color indexed="81"/>
            <rFont val="Tahoma"/>
            <family val="2"/>
            <charset val="186"/>
          </rPr>
          <t xml:space="preserve">P-1.3.1.1.
</t>
        </r>
      </text>
    </comment>
    <comment ref="G205" authorId="0" shapeId="0">
      <text>
        <r>
          <rPr>
            <b/>
            <sz val="9"/>
            <color indexed="81"/>
            <rFont val="Tahoma"/>
            <family val="2"/>
            <charset val="186"/>
          </rPr>
          <t>5.1. Ikimokyklinio ir bendrojo ugdymo paslaugų prieinamumo ir kokybės gerinimas:</t>
        </r>
        <r>
          <rPr>
            <sz val="9"/>
            <color indexed="81"/>
            <rFont val="Tahoma"/>
            <family val="2"/>
            <charset val="186"/>
          </rPr>
          <t xml:space="preserve">
5.1.12. Įgyvendinta investicinių projektų bendrojo lavinimo ir neformalaus ugdymo srityje, vnt.</t>
        </r>
      </text>
    </comment>
    <comment ref="G208" authorId="1" shapeId="0">
      <text>
        <r>
          <rPr>
            <sz val="9"/>
            <color indexed="81"/>
            <rFont val="Tahoma"/>
            <family val="2"/>
            <charset val="186"/>
          </rPr>
          <t xml:space="preserve">P-1.3.1.1.
</t>
        </r>
      </text>
    </comment>
    <comment ref="G216" authorId="1" shapeId="0">
      <text>
        <r>
          <rPr>
            <sz val="9"/>
            <color indexed="81"/>
            <rFont val="Tahoma"/>
            <family val="2"/>
            <charset val="186"/>
          </rPr>
          <t xml:space="preserve">P-1.3.1.1
</t>
        </r>
      </text>
    </comment>
    <comment ref="G217" authorId="1" shapeId="0">
      <text>
        <r>
          <rPr>
            <sz val="9"/>
            <color indexed="81"/>
            <rFont val="Tahoma"/>
            <family val="2"/>
            <charset val="186"/>
          </rPr>
          <t xml:space="preserve">P-1.3.1.1
</t>
        </r>
      </text>
    </comment>
    <comment ref="P221" authorId="1" shapeId="0">
      <text>
        <r>
          <rPr>
            <sz val="9"/>
            <color indexed="81"/>
            <rFont val="Tahoma"/>
            <family val="2"/>
            <charset val="186"/>
          </rPr>
          <t>Ąžuolyno ir Aitvaro gimnazijos</t>
        </r>
        <r>
          <rPr>
            <sz val="9"/>
            <color indexed="81"/>
            <rFont val="Tahoma"/>
            <family val="2"/>
            <charset val="186"/>
          </rPr>
          <t xml:space="preserve">
</t>
        </r>
      </text>
    </comment>
    <comment ref="Q221" authorId="1" shapeId="0">
      <text>
        <r>
          <rPr>
            <sz val="9"/>
            <color indexed="81"/>
            <rFont val="Tahoma"/>
            <family val="2"/>
            <charset val="186"/>
          </rPr>
          <t xml:space="preserve">„Aukuro“, Suaugusiųjų, „Varpo“ gimnazijos
</t>
        </r>
      </text>
    </comment>
    <comment ref="R221" authorId="1" shapeId="0">
      <text>
        <r>
          <rPr>
            <sz val="9"/>
            <color indexed="81"/>
            <rFont val="Tahoma"/>
            <family val="2"/>
            <charset val="186"/>
          </rPr>
          <t xml:space="preserve">Vydūno, Vėtrungės ir Žaliakalnio gimnazijos
</t>
        </r>
      </text>
    </comment>
    <comment ref="J239" authorId="4" shapeId="0">
      <text>
        <r>
          <rPr>
            <b/>
            <sz val="9"/>
            <color indexed="81"/>
            <rFont val="Tahoma"/>
            <family val="2"/>
            <charset val="186"/>
          </rPr>
          <t>Ingrida Urbonaviciene:</t>
        </r>
        <r>
          <rPr>
            <sz val="9"/>
            <color indexed="81"/>
            <rFont val="Tahoma"/>
            <family val="2"/>
            <charset val="186"/>
          </rPr>
          <t xml:space="preserve">
Vyturio progimnazija</t>
        </r>
      </text>
    </comment>
    <comment ref="G243" authorId="1" shapeId="0">
      <text>
        <r>
          <rPr>
            <sz val="9"/>
            <color indexed="81"/>
            <rFont val="Tahoma"/>
            <family val="2"/>
            <charset val="186"/>
          </rPr>
          <t xml:space="preserve">P-1.3.1.2
</t>
        </r>
      </text>
    </comment>
    <comment ref="O253" authorId="5" shapeId="0">
      <text>
        <r>
          <rPr>
            <b/>
            <sz val="9"/>
            <color indexed="81"/>
            <rFont val="Tahoma"/>
            <family val="2"/>
            <charset val="186"/>
          </rPr>
          <t xml:space="preserve">Regina Intienė:
</t>
        </r>
        <r>
          <rPr>
            <sz val="9"/>
            <color indexed="81"/>
            <rFont val="Tahoma"/>
            <family val="2"/>
            <charset val="186"/>
          </rPr>
          <t>1. L/d Alksniukas;
2. L/d Bangelė;
3. L/d Pagrandukas;
4. L/d Pušaitė;
5. L/d Radastėlė;
6. L/d Sakalėlis;
7. L/d Švuturėlis;
8. L/d Žilvitis:
9. L/d Žuvėdra;
10. L/d Du gaideliai;
11.Ąžuolyno g.
12. Vydūno g.;
13. H. Zudermano g.;
14. Žemynos g.;
15. Vitės progimn.
16. M.Mažvydo progimn.;
17. Versmės progimn.
18. VLC;
19. L/d Sakalėlis;
20. M/d Saulutė;
21. L/d Pumpurėlis</t>
        </r>
        <r>
          <rPr>
            <b/>
            <sz val="9"/>
            <color indexed="81"/>
            <rFont val="Tahoma"/>
            <family val="2"/>
            <charset val="186"/>
          </rPr>
          <t>.</t>
        </r>
        <r>
          <rPr>
            <sz val="9"/>
            <color indexed="81"/>
            <rFont val="Tahoma"/>
            <family val="2"/>
            <charset val="186"/>
          </rPr>
          <t xml:space="preserve">
22. L/d Traukinukas;
+"Verdenės", S. Dacho ir "Saulėtekio" progimnazijos, l/d. Nykštukas ir l/d Čiauškutė</t>
        </r>
      </text>
    </comment>
    <comment ref="P253" authorId="1" shapeId="0">
      <text>
        <r>
          <rPr>
            <sz val="9"/>
            <color indexed="81"/>
            <rFont val="Tahoma"/>
            <family val="2"/>
            <charset val="186"/>
          </rPr>
          <t xml:space="preserve">1. l/d Alksniukas
2. l/d Berželis 
3. l/d Du gaideliai
4. l/d Eglutė
5. l/d Inkarėlis
6. l/d Linelis
7. l/d Pakalnutė
8. l/d Pumpurėlis
9. l/d Radastėlė
10. l/d Traukinukas
11. l/d Žemuogėlė
12. l/d Žilvitis
13. Ąžuolyno gimn.
14. Baltijos gimn.
15. Varpo gimn.
16. Vėtrungės gimn.
17. Vydūno gimn.
18. Vitės progimn.
19. Gedminų progimn.
20. Smeltės progimn.
21. Vyturio progimn.
22. Gilijos pradinė
23. l/d Želmenėlis
24. Pajūrio progimn.
25. l/d Sakalėlis
26. l/d Šaltinėlis
</t>
        </r>
      </text>
    </comment>
    <comment ref="J254" authorId="5" shapeId="0">
      <text>
        <r>
          <rPr>
            <b/>
            <sz val="9"/>
            <color indexed="81"/>
            <rFont val="Tahoma"/>
            <family val="2"/>
            <charset val="186"/>
          </rPr>
          <t>Saulina Paulauskiene:</t>
        </r>
        <r>
          <rPr>
            <sz val="9"/>
            <color indexed="81"/>
            <rFont val="Tahoma"/>
            <family val="2"/>
            <charset val="186"/>
          </rPr>
          <t xml:space="preserve">
neužbaigti darbai l/d. Pušaitėje ir Žemynos gimanzijoje. 2021 metams numatyta šiose įstaigose ir kitokių darbų, todėl rodiklis nesikeičia.</t>
        </r>
      </text>
    </comment>
    <comment ref="O254" authorId="1" shapeId="0">
      <text>
        <r>
          <rPr>
            <sz val="9"/>
            <color indexed="81"/>
            <rFont val="Tahoma"/>
            <family val="2"/>
            <charset val="186"/>
          </rPr>
          <t>30 l./d., 16 progimnazijų ir 1 gimnazija</t>
        </r>
      </text>
    </comment>
    <comment ref="R257" authorId="1" shapeId="0">
      <text>
        <r>
          <rPr>
            <sz val="9"/>
            <color indexed="81"/>
            <rFont val="Tahoma"/>
            <family val="2"/>
            <charset val="186"/>
          </rPr>
          <t xml:space="preserve">prisidės nauja mokykla
</t>
        </r>
      </text>
    </comment>
    <comment ref="O260" authorId="3" shapeId="0">
      <text>
        <r>
          <rPr>
            <b/>
            <sz val="9"/>
            <color indexed="81"/>
            <rFont val="Tahoma"/>
            <family val="2"/>
            <charset val="186"/>
          </rPr>
          <t>Regina Intienė:</t>
        </r>
        <r>
          <rPr>
            <sz val="9"/>
            <color indexed="81"/>
            <rFont val="Tahoma"/>
            <family val="2"/>
            <charset val="186"/>
          </rPr>
          <t xml:space="preserve">
L/d Čiauškutė, Saulėtekio progimnazija, l/d Žilvitis</t>
        </r>
      </text>
    </comment>
    <comment ref="P260" authorId="1" shapeId="0">
      <text>
        <r>
          <rPr>
            <sz val="9"/>
            <color indexed="81"/>
            <rFont val="Tahoma"/>
            <family val="2"/>
            <charset val="186"/>
          </rPr>
          <t xml:space="preserve">Čiauškutė (Šermukšnėlės pastatas), Liepaitė, Du gaideliai, regos ugdymo centras
</t>
        </r>
      </text>
    </comment>
    <comment ref="P262" authorId="1" shapeId="0">
      <text>
        <r>
          <rPr>
            <sz val="9"/>
            <color indexed="81"/>
            <rFont val="Tahoma"/>
            <family val="2"/>
            <charset val="186"/>
          </rPr>
          <t>Karalienės Luizės jaunimo centro patalpos, adresu Paryžiaus Komunos g. 16A.</t>
        </r>
        <r>
          <rPr>
            <sz val="9"/>
            <color indexed="81"/>
            <rFont val="Tahoma"/>
            <family val="2"/>
            <charset val="186"/>
          </rPr>
          <t xml:space="preserve">
</t>
        </r>
      </text>
    </comment>
    <comment ref="O265" authorId="3" shapeId="0">
      <text>
        <r>
          <rPr>
            <b/>
            <sz val="9"/>
            <color indexed="81"/>
            <rFont val="Tahoma"/>
            <family val="2"/>
            <charset val="186"/>
          </rPr>
          <t>Regina Intienė:</t>
        </r>
        <r>
          <rPr>
            <sz val="9"/>
            <color indexed="81"/>
            <rFont val="Tahoma"/>
            <family val="2"/>
            <charset val="186"/>
          </rPr>
          <t xml:space="preserve">
1. Ažuolyno gimanzija;
2. Jūrų kadetų mokykla;
3. Baltijos gimnazija;
4. Suaugusių gimnazija;
5. l/d Šaltinėlis;
6. d Gintarėlis;
7. l/d Linelis;
8. l/d Nykštukas.</t>
        </r>
      </text>
    </comment>
    <comment ref="P265" authorId="1" shapeId="0">
      <text>
        <r>
          <rPr>
            <sz val="9"/>
            <color indexed="81"/>
            <rFont val="Tahoma"/>
            <family val="2"/>
            <charset val="186"/>
          </rPr>
          <t xml:space="preserve">1. „Žemynos“ gimnazija
2. „Gilijos“ pradinė mokykla
3.  „Versmės“ progimnazija
4. „Vyturio“ progimnazija
5. l/d „Sakalėlis“
6. L/d „Šermukšnėlė“
7. L/d „Šaltinėlis“
8. L/d „Nykštukas“
9. L/d „Liepaitė“
10. M. Montessori m/d
</t>
        </r>
      </text>
    </comment>
    <comment ref="O266" authorId="3" shapeId="0">
      <text>
        <r>
          <rPr>
            <b/>
            <sz val="9"/>
            <color indexed="81"/>
            <rFont val="Tahoma"/>
            <family val="2"/>
            <charset val="186"/>
          </rPr>
          <t>Regina Intienė:</t>
        </r>
        <r>
          <rPr>
            <sz val="9"/>
            <color indexed="81"/>
            <rFont val="Tahoma"/>
            <family val="2"/>
            <charset val="186"/>
          </rPr>
          <t xml:space="preserve">
1. VLC Švyturys;
2. Jūrų kadetų mokykla;
3. Aukuro gimnazija;
4. Aitvaro gimnazija;
5. Martyno Mažvydo progimnazija;
6. l/d Berželis;
7. l/d Inkarėlis;
8. l/d Vėrinėlis;
9. l/d Žemuogėlė
</t>
        </r>
      </text>
    </comment>
    <comment ref="O267" authorId="3" shapeId="0">
      <text>
        <r>
          <rPr>
            <b/>
            <sz val="9"/>
            <color indexed="81"/>
            <rFont val="Tahoma"/>
            <family val="2"/>
            <charset val="186"/>
          </rPr>
          <t>Regina Intienė:</t>
        </r>
        <r>
          <rPr>
            <sz val="9"/>
            <color indexed="81"/>
            <rFont val="Tahoma"/>
            <family val="2"/>
            <charset val="186"/>
          </rPr>
          <t xml:space="preserve">
1. L/d Žuvėdra;
2. L/d Eglutė;
3. Montesori m/d;
4. Varpo gimn.;
5. Aukuro gimn.;
6. Suaugusių gimn.;
7. Gabijos progimn.;
8. Gilijos pradinė m.;
9. l/d Liepaitė;
10. l/d Inkarėlis
11. l/d Gintarėlis
ir avariniams darbams</t>
        </r>
      </text>
    </comment>
    <comment ref="P267" authorId="1" shapeId="0">
      <text>
        <r>
          <rPr>
            <sz val="9"/>
            <color indexed="81"/>
            <rFont val="Tahoma"/>
            <family val="2"/>
            <charset val="186"/>
          </rPr>
          <t xml:space="preserve">1. Klaipėdos Baltijos gimnazija
2. Saulėtekio progimnazija
3. Versmės progimnazija
4. l/d Radastėlė
5. Vėtrungės gimnazija
6. l/d Traukinukas
7. M. Gorkio progimnazija
8. l/d Papartėlis
9. Vyturio progimnazija
10. Klaipėdos Jūrų kadetų mokykla
Avariniai
</t>
        </r>
      </text>
    </comment>
    <comment ref="O268" authorId="3" shapeId="0">
      <text>
        <r>
          <rPr>
            <b/>
            <sz val="9"/>
            <color indexed="81"/>
            <rFont val="Tahoma"/>
            <family val="2"/>
            <charset val="186"/>
          </rPr>
          <t>Regina Intienė:</t>
        </r>
        <r>
          <rPr>
            <sz val="9"/>
            <color indexed="81"/>
            <rFont val="Tahoma"/>
            <family val="2"/>
            <charset val="186"/>
          </rPr>
          <t xml:space="preserve">
Gorkio progimnazijos ir l/d Šermukšnėlė projektai</t>
        </r>
      </text>
    </comment>
    <comment ref="P268" authorId="1" shapeId="0">
      <text>
        <r>
          <rPr>
            <sz val="9"/>
            <color indexed="81"/>
            <rFont val="Tahoma"/>
            <family val="2"/>
            <charset val="186"/>
          </rPr>
          <t xml:space="preserve">Gorkio progimnazijos ir l/d Šermukšnėlė projektai
</t>
        </r>
      </text>
    </comment>
    <comment ref="O269" authorId="3" shapeId="0">
      <text>
        <r>
          <rPr>
            <b/>
            <sz val="9"/>
            <color indexed="81"/>
            <rFont val="Tahoma"/>
            <family val="2"/>
            <charset val="186"/>
          </rPr>
          <t>Regina Intienė:</t>
        </r>
        <r>
          <rPr>
            <sz val="9"/>
            <color indexed="81"/>
            <rFont val="Tahoma"/>
            <family val="2"/>
            <charset val="186"/>
          </rPr>
          <t xml:space="preserve">
darbai - Baltijos gimnazija,
l/d "Dobiliukas",
„Švyturėlis“. </t>
        </r>
      </text>
    </comment>
    <comment ref="P269" authorId="1" shapeId="0">
      <text>
        <r>
          <rPr>
            <sz val="9"/>
            <color indexed="81"/>
            <rFont val="Tahoma"/>
            <family val="2"/>
            <charset val="186"/>
          </rPr>
          <t xml:space="preserve">Gorkio progimnazijos ir l/d Šermukšnėlė
</t>
        </r>
      </text>
    </comment>
    <comment ref="O271" authorId="5" shapeId="0">
      <text>
        <r>
          <rPr>
            <b/>
            <sz val="9"/>
            <color indexed="81"/>
            <rFont val="Tahoma"/>
            <family val="2"/>
            <charset val="186"/>
          </rPr>
          <t>Saulina Paulauskiene:</t>
        </r>
        <r>
          <rPr>
            <sz val="9"/>
            <color indexed="81"/>
            <rFont val="Tahoma"/>
            <family val="2"/>
            <charset val="186"/>
          </rPr>
          <t xml:space="preserve">
l/d Vėrinėlis</t>
        </r>
      </text>
    </comment>
    <comment ref="P271" authorId="1" shapeId="0">
      <text>
        <r>
          <rPr>
            <sz val="9"/>
            <color indexed="81"/>
            <rFont val="Tahoma"/>
            <family val="2"/>
            <charset val="186"/>
          </rPr>
          <t xml:space="preserve">Traukinukas, VDG, RUC
</t>
        </r>
      </text>
    </comment>
    <comment ref="O272" authorId="0" shapeId="0">
      <text>
        <r>
          <rPr>
            <sz val="9"/>
            <color indexed="81"/>
            <rFont val="Tahoma"/>
            <family val="2"/>
            <charset val="186"/>
          </rPr>
          <t>Klaipėdos „Verdenės“ progimnazijos, adresu Kretingos g. 22, Klaipėda, sporto aikštyno apšvietimo priežiūros darbai (prožektorių pritvirtinimas, sureguliavimas, paskirstymo skydų profilaktika)</t>
        </r>
      </text>
    </comment>
    <comment ref="G284" authorId="1" shapeId="0">
      <text>
        <r>
          <rPr>
            <sz val="9"/>
            <color indexed="81"/>
            <rFont val="Tahoma"/>
            <family val="2"/>
            <charset val="186"/>
          </rPr>
          <t xml:space="preserve">P-3.3.2.3
</t>
        </r>
      </text>
    </comment>
    <comment ref="K284" authorId="1" shapeId="0">
      <text>
        <r>
          <rPr>
            <b/>
            <sz val="9"/>
            <color indexed="81"/>
            <rFont val="Tahoma"/>
            <family val="2"/>
            <charset val="186"/>
          </rPr>
          <t xml:space="preserve">Regina Intienė:
</t>
        </r>
        <r>
          <rPr>
            <sz val="9"/>
            <color indexed="81"/>
            <rFont val="Tahoma"/>
            <family val="2"/>
            <charset val="186"/>
          </rPr>
          <t xml:space="preserve">elektrinių techninei priežiūrai
</t>
        </r>
      </text>
    </comment>
    <comment ref="P284" authorId="1" shapeId="0">
      <text>
        <r>
          <rPr>
            <sz val="9"/>
            <color indexed="81"/>
            <rFont val="Tahoma"/>
            <family val="2"/>
            <charset val="186"/>
          </rPr>
          <t xml:space="preserve">"Verdenės" progimnazija ir l/d. Ąžuoliukas
</t>
        </r>
      </text>
    </comment>
    <comment ref="J285" authorId="1" shapeId="0">
      <text>
        <r>
          <rPr>
            <b/>
            <sz val="9"/>
            <color indexed="81"/>
            <rFont val="Tahoma"/>
            <family val="2"/>
            <charset val="186"/>
          </rPr>
          <t xml:space="preserve">Regina Intienė:
</t>
        </r>
        <r>
          <rPr>
            <sz val="9"/>
            <color indexed="81"/>
            <rFont val="Tahoma"/>
            <family val="2"/>
            <charset val="186"/>
          </rPr>
          <t>paraiškų rengimui ir stebėsenai</t>
        </r>
        <r>
          <rPr>
            <sz val="9"/>
            <color indexed="81"/>
            <rFont val="Tahoma"/>
            <family val="2"/>
            <charset val="186"/>
          </rPr>
          <t xml:space="preserve">
</t>
        </r>
      </text>
    </comment>
    <comment ref="J286" authorId="4" shapeId="0">
      <text>
        <r>
          <rPr>
            <b/>
            <sz val="9"/>
            <color indexed="81"/>
            <rFont val="Tahoma"/>
            <family val="2"/>
            <charset val="186"/>
          </rPr>
          <t>Ingrida Urbonaviciene:</t>
        </r>
        <r>
          <rPr>
            <sz val="9"/>
            <color indexed="81"/>
            <rFont val="Tahoma"/>
            <family val="2"/>
            <charset val="186"/>
          </rPr>
          <t xml:space="preserve">
Žemynos gimnazija, l.d."Čiauškutė", M.Mažvydo progimnazija.</t>
        </r>
      </text>
    </comment>
    <comment ref="K286" authorId="1" shapeId="0">
      <text>
        <r>
          <rPr>
            <b/>
            <sz val="9"/>
            <color indexed="81"/>
            <rFont val="Tahoma"/>
            <family val="2"/>
            <charset val="186"/>
          </rPr>
          <t>Regina Intienė:</t>
        </r>
        <r>
          <rPr>
            <sz val="9"/>
            <color indexed="81"/>
            <rFont val="Tahoma"/>
            <family val="2"/>
            <charset val="186"/>
          </rPr>
          <t xml:space="preserve"> perduoti įstaigoms
</t>
        </r>
      </text>
    </comment>
    <comment ref="P286" authorId="1" shapeId="0">
      <text>
        <r>
          <rPr>
            <sz val="9"/>
            <color indexed="81"/>
            <rFont val="Tahoma"/>
            <family val="2"/>
            <charset val="186"/>
          </rPr>
          <t xml:space="preserve">1. l/d Vyturėlis;
2. Gedminų progimn.;
3. S. Dacho progimn.;
4. Vitės progim.;
5. Smeltės progimn.
</t>
        </r>
      </text>
    </comment>
    <comment ref="J295" authorId="0" shapeId="0">
      <text>
        <r>
          <rPr>
            <sz val="9"/>
            <color indexed="81"/>
            <rFont val="Tahoma"/>
            <family val="2"/>
            <charset val="186"/>
          </rPr>
          <t>Pagal LR švietimo, mokslo ir sporto ministro 2021 m. sausio 8 d. įsakymą Nr. V-36 gauta dotacija - 7 tūkst. € VB lėšų elektros įsigijimui Medeinės ir Litorinos mokykloms</t>
        </r>
      </text>
    </comment>
    <comment ref="K295" authorId="1" shapeId="0">
      <text>
        <r>
          <rPr>
            <sz val="9"/>
            <color indexed="81"/>
            <rFont val="Tahoma"/>
            <family val="2"/>
            <charset val="186"/>
          </rPr>
          <t xml:space="preserve">Medeinės ir Litorinos mokykloms
</t>
        </r>
      </text>
    </comment>
  </commentList>
</comments>
</file>

<file path=xl/sharedStrings.xml><?xml version="1.0" encoding="utf-8"?>
<sst xmlns="http://schemas.openxmlformats.org/spreadsheetml/2006/main" count="2556" uniqueCount="540">
  <si>
    <t>Finansavimo šaltinių suvestinė</t>
  </si>
  <si>
    <t>Finansavimo šaltiniai</t>
  </si>
  <si>
    <t>I</t>
  </si>
  <si>
    <t>LRVB</t>
  </si>
  <si>
    <t>10</t>
  </si>
  <si>
    <t>Iš viso tikslui:</t>
  </si>
  <si>
    <t>Iš viso programai:</t>
  </si>
  <si>
    <t>Uždavinio kodas</t>
  </si>
  <si>
    <t>Priemonės kodas</t>
  </si>
  <si>
    <t>Finansavimo šaltinis</t>
  </si>
  <si>
    <t>01</t>
  </si>
  <si>
    <t>SB</t>
  </si>
  <si>
    <t>Iš viso:</t>
  </si>
  <si>
    <t>02</t>
  </si>
  <si>
    <t>SB(VB)</t>
  </si>
  <si>
    <t>03</t>
  </si>
  <si>
    <t>Iš viso uždaviniui:</t>
  </si>
  <si>
    <t>04</t>
  </si>
  <si>
    <t>05</t>
  </si>
  <si>
    <t>Pavadinimas</t>
  </si>
  <si>
    <t>KITI ŠALTINIAI, IŠ VISO:</t>
  </si>
  <si>
    <t>IŠ VISO:</t>
  </si>
  <si>
    <t>UGDYMO PROCESO UŽTIKRINIMO PROGRAMOS (NR. 10)</t>
  </si>
  <si>
    <t>10 Ugdymo proceso užtikrinimo programa</t>
  </si>
  <si>
    <t>Renovuoti ugdymo įstaigų pastatus ir patalpas</t>
  </si>
  <si>
    <t>Organizuoti materialinį, ūkinį ir techninį ugdymo įstaigų aptarnavimą</t>
  </si>
  <si>
    <t>Ugdymo įstaigų ūkinio aptarnavimo organizavimas:</t>
  </si>
  <si>
    <t>Užtikrinti kokybišką ugdymo proceso organizavimą</t>
  </si>
  <si>
    <t>Gerinti ugdymo sąlygas ir aplinką</t>
  </si>
  <si>
    <t>Ryšių kabelių kanalų nuoma</t>
  </si>
  <si>
    <t>Šilumos ir karšto vandens tiekimo sistemų renovacija ir remontas</t>
  </si>
  <si>
    <t>Švietimo įstaigų pastatų apsauga</t>
  </si>
  <si>
    <t>Priešgaisrinių reikalavimų vykdymas švietimo įstaigose</t>
  </si>
  <si>
    <t>Kabelio tinklo ilgis, km</t>
  </si>
  <si>
    <t>SB(SP)</t>
  </si>
  <si>
    <t>Veiklos organizavimo užtikrinimas švietimo įstaigose:</t>
  </si>
  <si>
    <t>Švietimo įstaigų sanitarinių patalpų remontas</t>
  </si>
  <si>
    <t>Iš viso priemonei:</t>
  </si>
  <si>
    <t xml:space="preserve"> TIKSLŲ, UŽDAVINIŲ, PRIEMONIŲ, PRIEMONIŲ IŠLAIDŲ IR PRODUKTO KRITERIJŲ SUVESTINĖ</t>
  </si>
  <si>
    <t>Parengtas techninis projektas, vnt.</t>
  </si>
  <si>
    <t>Vasaros poilsio organizavimas</t>
  </si>
  <si>
    <t xml:space="preserve">Brandos egzaminų administravimas </t>
  </si>
  <si>
    <t>SB(SPL)</t>
  </si>
  <si>
    <t xml:space="preserve">03 Strateginis tikslas. Užtikrinti gyventojams aukštą švietimo, kultūros, socialinių, sporto ir sveikatos apsaugos paslaugų kokybę ir prieinamumą </t>
  </si>
  <si>
    <t>Savivaldybės administracijos vaiko gerovės komisijos veiklos užtikrinimas</t>
  </si>
  <si>
    <r>
      <t xml:space="preserve">Pajamų imokų likutis </t>
    </r>
    <r>
      <rPr>
        <b/>
        <sz val="10"/>
        <rFont val="Times New Roman"/>
        <family val="1"/>
        <charset val="186"/>
      </rPr>
      <t>SB(SPL)</t>
    </r>
  </si>
  <si>
    <t>Sudaryti sąlygas ugdytis ir gerinti ugdymo proceso kokybę</t>
  </si>
  <si>
    <t xml:space="preserve">Aprūpinti švietimo įstaigas reikalingu inventoriumi  </t>
  </si>
  <si>
    <r>
      <t xml:space="preserve">Ugdymo proceso ir aplinkos užtikrinimas </t>
    </r>
    <r>
      <rPr>
        <b/>
        <sz val="10"/>
        <rFont val="Times New Roman"/>
        <family val="1"/>
        <charset val="186"/>
      </rPr>
      <t>savivaldybės pradinėje mokykloje ir mokyklose-darželiuose</t>
    </r>
  </si>
  <si>
    <t>tūkst. Eur</t>
  </si>
  <si>
    <t>Neformaliojo vaikų švietimo programų įgyvendinimas ir neformaliojo vaikų švietimo paslaugų plėtra</t>
  </si>
  <si>
    <t>Švietimo įstaigų stogų remontas</t>
  </si>
  <si>
    <t>Įgyvendintas projektas, proc.</t>
  </si>
  <si>
    <t xml:space="preserve">Ugdymo prieinamumo ir ugdymo formų įvairovės užtikrinimas </t>
  </si>
  <si>
    <t>Neformaliojo vaikų ir suaugusiųjų švietimo organizavimas:</t>
  </si>
  <si>
    <t xml:space="preserve">Baldų ir įrangos atnaujinimas:  </t>
  </si>
  <si>
    <t>Automatizuotos šilumos punkto  kontrolės ir valdymo sistemų aptarnavimas švietimo įstaigų pastatuose</t>
  </si>
  <si>
    <t>Šilumos ir karšto vandens tiekimo sistemų priežiūra</t>
  </si>
  <si>
    <t>Švietimo įstaigų energinių išteklių efektyvinimas:</t>
  </si>
  <si>
    <t>Atlikta sporto salės rekonstravimo darbų, proc.</t>
  </si>
  <si>
    <t>Mokymosi aplinkos pritaikymas švietimo reikmėms:</t>
  </si>
  <si>
    <t>06</t>
  </si>
  <si>
    <t>07</t>
  </si>
  <si>
    <t>SB(L)</t>
  </si>
  <si>
    <r>
      <t xml:space="preserve">Apyvartos lėšų likutis </t>
    </r>
    <r>
      <rPr>
        <b/>
        <sz val="10"/>
        <rFont val="Times New Roman"/>
        <family val="1"/>
        <charset val="186"/>
      </rPr>
      <t>SB(L)</t>
    </r>
  </si>
  <si>
    <t>SB(ES)</t>
  </si>
  <si>
    <r>
      <t>Valstybės biudžeto lėšos</t>
    </r>
    <r>
      <rPr>
        <b/>
        <sz val="10"/>
        <rFont val="Times New Roman"/>
        <family val="1"/>
        <charset val="186"/>
      </rPr>
      <t xml:space="preserve"> LRVB</t>
    </r>
  </si>
  <si>
    <t>Maitinimo paslaugų kompensavimas</t>
  </si>
  <si>
    <t>Įsigyta įrangos, proc.</t>
  </si>
  <si>
    <t xml:space="preserve">Atlikta rangos darbų, proc.
</t>
  </si>
  <si>
    <t>Įstaigų skaičius, vnt.</t>
  </si>
  <si>
    <t>Vaikų skaičius, vnt.</t>
  </si>
  <si>
    <t>Mokinių skaičius, vnt.</t>
  </si>
  <si>
    <t>Kvalifikacijos pažymėjimų skaičius, vnt.</t>
  </si>
  <si>
    <t>Mokyklų skaičius, vnt.</t>
  </si>
  <si>
    <t>Tarptautinių programų įgyvendinimas</t>
  </si>
  <si>
    <t>Egzaminų skaičius, vnt.</t>
  </si>
  <si>
    <t>Prevencinių renginių skaičius, vnt.</t>
  </si>
  <si>
    <t>Elektroninio mokinio pažymėjimo diegimas ir naudojimo užtikrinimas savivaldybės bendrojo ugdymo mokyklose, neformaliojo švietimo ir sporto įstaigose</t>
  </si>
  <si>
    <t>Įsigyta baldų, vnt.</t>
  </si>
  <si>
    <t>Atlikta rekonstrukcijos darbų, proc.</t>
  </si>
  <si>
    <t xml:space="preserve">Miesto metodinių būrelių veiklos užtikrinimas </t>
  </si>
  <si>
    <r>
      <t xml:space="preserve">Ugdymo proceso ir aplinkos užtikrinimas </t>
    </r>
    <r>
      <rPr>
        <b/>
        <sz val="10"/>
        <rFont val="Times New Roman"/>
        <family val="1"/>
        <charset val="186"/>
      </rPr>
      <t xml:space="preserve">savivaldybės </t>
    </r>
    <r>
      <rPr>
        <sz val="10"/>
        <rFont val="Times New Roman"/>
        <family val="1"/>
        <charset val="186"/>
      </rPr>
      <t>ikimokyklinio ugdymo įstaigose</t>
    </r>
  </si>
  <si>
    <r>
      <t xml:space="preserve">Ugdymo proceso ir aplinkos užtikrinimas </t>
    </r>
    <r>
      <rPr>
        <b/>
        <sz val="10"/>
        <rFont val="Times New Roman"/>
        <family val="1"/>
        <charset val="186"/>
      </rPr>
      <t>savivaldybės</t>
    </r>
    <r>
      <rPr>
        <sz val="10"/>
        <rFont val="Times New Roman"/>
        <family val="1"/>
        <charset val="186"/>
      </rPr>
      <t xml:space="preserve"> bendrojo ugdymo mokyklose </t>
    </r>
  </si>
  <si>
    <t>Švietimo įstaigų persikėlimo į kitas patalpas organizavimas</t>
  </si>
  <si>
    <t xml:space="preserve">Centralizuotas ugdymo įstaigų langų valymas </t>
  </si>
  <si>
    <t xml:space="preserve">Savivaldybės švietimo įstaigų civilinės atsakomybės draudimas  </t>
  </si>
  <si>
    <r>
      <t xml:space="preserve">BĮ Klaipėdos regos ugdymo centro </t>
    </r>
    <r>
      <rPr>
        <sz val="10"/>
        <rFont val="Times New Roman"/>
        <family val="1"/>
        <charset val="186"/>
      </rPr>
      <t>veiklos užtikrinimas</t>
    </r>
  </si>
  <si>
    <r>
      <t>BĮ Klaipėdos miesto pedagogų švietimo ir kultūros centro</t>
    </r>
    <r>
      <rPr>
        <sz val="10"/>
        <rFont val="Times New Roman"/>
        <family val="1"/>
        <charset val="186"/>
      </rPr>
      <t xml:space="preserve"> veiklos užtikrinimas</t>
    </r>
  </si>
  <si>
    <t>Vaikų, kuriems iš dalies kompensuojamas ugdymas nevalstybinėse įstaigose, skaičius, vnt.</t>
  </si>
  <si>
    <t>Programų skaičius, vnt.</t>
  </si>
  <si>
    <t>Metodinių būrelių skaičius, vnt.</t>
  </si>
  <si>
    <t>Savivaldybės bendrojo ugdymo mokyklų pastatų ir aplinkos modernizavimas bei plėtra:</t>
  </si>
  <si>
    <r>
      <t xml:space="preserve">BĮ Klaipėdos „Žaliakalnio“ gimnazijos </t>
    </r>
    <r>
      <rPr>
        <sz val="10"/>
        <rFont val="Times New Roman"/>
        <family val="1"/>
        <charset val="186"/>
      </rPr>
      <t xml:space="preserve">pastato inžinerinių sistemų ir vidaus patalpų remontas </t>
    </r>
  </si>
  <si>
    <t>Ikimokyklinio ugdymo įstaigų pastatų modernizavimas ir plėtra:</t>
  </si>
  <si>
    <t>Neformaliojo vaikų švietimo įstaigų pastatų rekonstravimas:</t>
  </si>
  <si>
    <t>BĮ Klaipėdos karalienės Luizės jaunimo centro (Puodžių g.) modernizavimas, plėtojant neformaliojo ugdymosi galimybes</t>
  </si>
  <si>
    <t>Saugomų pastatų, objektų skaičius, vnt.</t>
  </si>
  <si>
    <t>Parengta techninių projektų, vnt.</t>
  </si>
  <si>
    <t xml:space="preserve">Parengta techninių projektų, vnt.    </t>
  </si>
  <si>
    <t>Perkeltų įstaigų skaičius, vnt.</t>
  </si>
  <si>
    <t>Aptarnaujamų įstaigų skaičius, vnt.</t>
  </si>
  <si>
    <t>Suremontuotų įstaigų skaičius, vnt.</t>
  </si>
  <si>
    <t>________________________________________</t>
  </si>
  <si>
    <t>Mokytis plaukti vežiojamų vaikų skaičius, vnt.</t>
  </si>
  <si>
    <t>Pasirengimas Gamtos mokslų, technologijų, inžinerijos, matematikos mokslų ir kūrybiškumo ugdymo (STEAM) centro įveiklinimui</t>
  </si>
  <si>
    <t>Dėstytojų etatų skaičius, vnt.</t>
  </si>
  <si>
    <t>Švietimo įstaigų modulinių kompleksų įrengimas ir nuoma</t>
  </si>
  <si>
    <t>Išmaniųjų klasių įrengimas</t>
  </si>
  <si>
    <t>Kompiuterių mokyklose atnaujinimas</t>
  </si>
  <si>
    <t>08</t>
  </si>
  <si>
    <t>09</t>
  </si>
  <si>
    <t>11</t>
  </si>
  <si>
    <t>12</t>
  </si>
  <si>
    <t>13</t>
  </si>
  <si>
    <t>14</t>
  </si>
  <si>
    <t>15</t>
  </si>
  <si>
    <t>16</t>
  </si>
  <si>
    <t>17</t>
  </si>
  <si>
    <t xml:space="preserve">Klaipėdos miesto bendrojo ugdymo mokyklų antrųjų klasių mokinių vežimo paslaugos mokyti plaukti užtikrinimas  </t>
  </si>
  <si>
    <t>Papriemonės kodas</t>
  </si>
  <si>
    <t>Papariemonės kodas</t>
  </si>
  <si>
    <t>Klasių skaičius, vnt.</t>
  </si>
  <si>
    <t xml:space="preserve">iš jų mokinių skaičius, vnt. </t>
  </si>
  <si>
    <t>Pavėžėta mokinių, skaičius</t>
  </si>
  <si>
    <t>Įstaigų, kuriose įrengtos saulės (fotovoltinės) elektrinės, skaičius</t>
  </si>
  <si>
    <t>Ikimokyklinio ir priešmokyklinio ugdymo prieinamumo didinimas Klaipėdos mieste (lopšelio-darželio „Svirpliukas“ modernizavimas)</t>
  </si>
  <si>
    <t>Lauko žaidimų aikštelių ir įrenginių atnaujinimas ikimokyklinėse ugdymo įstaigose</t>
  </si>
  <si>
    <t>Patalpų atnaujinimas užtikrinant atitiktį higienos normoms</t>
  </si>
  <si>
    <r>
      <t xml:space="preserve">Europos Sąjungos paramos lėšos, kurios įtrauktos į savivaldybės biudžetą </t>
    </r>
    <r>
      <rPr>
        <b/>
        <sz val="10"/>
        <rFont val="Times New Roman"/>
        <family val="1"/>
        <charset val="186"/>
      </rPr>
      <t>SB(ES)</t>
    </r>
  </si>
  <si>
    <r>
      <t xml:space="preserve">Europos Sąjungos finansinės paramos lėšų likučio metų pradžioje lėšos </t>
    </r>
    <r>
      <rPr>
        <b/>
        <sz val="10"/>
        <rFont val="Times New Roman"/>
        <family val="1"/>
        <charset val="186"/>
      </rPr>
      <t>SB(ESL)</t>
    </r>
  </si>
  <si>
    <t>Savivaldybės biudžetas, iš jo:</t>
  </si>
  <si>
    <t>SB(ESL)</t>
  </si>
  <si>
    <t>SB(VBL)</t>
  </si>
  <si>
    <t>SB'</t>
  </si>
  <si>
    <r>
      <t>Valstybės biudžeto tikslinės dotacijos lėšų likutis</t>
    </r>
    <r>
      <rPr>
        <b/>
        <sz val="10"/>
        <rFont val="Times New Roman"/>
        <family val="1"/>
        <charset val="186"/>
      </rPr>
      <t xml:space="preserve"> SB(VBL)</t>
    </r>
  </si>
  <si>
    <t>Patalpų pritaikymas neįgalių vaikų ugdymui</t>
  </si>
  <si>
    <t>Sporto klasių veiklos užtikrinimas</t>
  </si>
  <si>
    <r>
      <t xml:space="preserve">Ugdymo proceso užtikrinimas </t>
    </r>
    <r>
      <rPr>
        <b/>
        <sz val="10"/>
        <rFont val="Times New Roman"/>
        <family val="1"/>
        <charset val="186"/>
      </rPr>
      <t>nevalstybinėse</t>
    </r>
    <r>
      <rPr>
        <sz val="10"/>
        <rFont val="Times New Roman"/>
        <family val="1"/>
        <charset val="186"/>
      </rPr>
      <t xml:space="preserve"> ikimokyklinio ugdymo įstaigose</t>
    </r>
  </si>
  <si>
    <t>Stadionų ir  sporto aikštynų (su dirbtinės žolės danga) priežiūros užtikrinimas</t>
  </si>
  <si>
    <t xml:space="preserve">Mokinių pavėžėjimo užtikrinimas </t>
  </si>
  <si>
    <t>Kompiuterių skaičius, vnt.</t>
  </si>
  <si>
    <t>Mokytojų padėjėjų skaičius, vnt.</t>
  </si>
  <si>
    <t>Klaipėdos jūrų kadetų mokyklos veiklos užtikrinimas:</t>
  </si>
  <si>
    <t>P1</t>
  </si>
  <si>
    <t>Įrengta papildomų darbo vietų, vnt.</t>
  </si>
  <si>
    <t>Mokytojų, įgijusių kompetencijas, skaičius</t>
  </si>
  <si>
    <t>P6</t>
  </si>
  <si>
    <t>Projektų skyrius</t>
  </si>
  <si>
    <t>Švietimo skyrius</t>
  </si>
  <si>
    <t>Savivaldybės ugdymo įstaigų pastatų ir aplinkos modernizavimas bei plėtra:</t>
  </si>
  <si>
    <t xml:space="preserve">Projektų skyrius </t>
  </si>
  <si>
    <t>Ugdymo proceso užtikrinimas nevalstybinėse mokyklose-darželiuose</t>
  </si>
  <si>
    <t xml:space="preserve">Švietimo įstaigų elektros instaliacijos remontas </t>
  </si>
  <si>
    <t>BĮ Klaipėdos pedagoginės psichologinės tarnybos dalyvavimas projekte pagal ES INTERREG V-A projektą</t>
  </si>
  <si>
    <t>Mokinių maitinimo ir pavėžėjimo užtikrinimas</t>
  </si>
  <si>
    <t>Statinių administravimo skyrius</t>
  </si>
  <si>
    <t>Turto valdymo skyrius</t>
  </si>
  <si>
    <t>Informacinių technologijų skyrius</t>
  </si>
  <si>
    <t xml:space="preserve">Švietimo skyrius - priemonės vykdytojas, </t>
  </si>
  <si>
    <t>18</t>
  </si>
  <si>
    <t>19</t>
  </si>
  <si>
    <t>20</t>
  </si>
  <si>
    <t>21</t>
  </si>
  <si>
    <t>22</t>
  </si>
  <si>
    <t>23</t>
  </si>
  <si>
    <t>Tarpinstitucinio koordinavimo grupė</t>
  </si>
  <si>
    <t xml:space="preserve"> Statybos ir infrastruktūros plėtros skyrius, Vyr. patarėjas G. Dovidaitis</t>
  </si>
  <si>
    <t>Aptarnauta asmenų, skaičius</t>
  </si>
  <si>
    <t>Administruojama sistemų, vnt.</t>
  </si>
  <si>
    <t>Priėmimo į savivaldybės bendrojo ir ikimokyklinio ugdymo įstaigas informacinių sistemų priežiūra</t>
  </si>
  <si>
    <t>Energinio efektyvumo didinimas ikimokyklinio ugdymo įstaigose:</t>
  </si>
  <si>
    <t>Klaipėdos lopšelio-darželio „Žuvėdra“ patalpų pritaikymas ugdymo reikmėms</t>
  </si>
  <si>
    <t>Pritaikyta patalpų, vnt.</t>
  </si>
  <si>
    <t>Lovyčių skaičius, vnt.</t>
  </si>
  <si>
    <t>Neformaliojo švietimo ir pagalbos įstaigų aprūpinimas mobilia interaktyvia įranga</t>
  </si>
  <si>
    <t>BĮ Klaipėdos lopšelio darželio „Sakalėlis“ dalyvavimas projekte „Aktyviai ir linksmai nori sportuoti „Sakalėlio“ vaikai!“</t>
  </si>
  <si>
    <t>Kvalifikacijos tobulinimo programų skaičius, val.</t>
  </si>
  <si>
    <t>Įrangos ir priemonių įsigijimas, vnt.</t>
  </si>
  <si>
    <t>Mokomosios robotikos kabineto įrengimas</t>
  </si>
  <si>
    <t>Finansuojama tikslinių studijų su gretutinėmis pedagogikos studijomis vietų, skaičius</t>
  </si>
  <si>
    <t>Skirta tikslinių stipendijų pasirinkusiems pedagoginių specialybių studijas, skaičius</t>
  </si>
  <si>
    <t>Kt</t>
  </si>
  <si>
    <t>Atnaujinta aikštynų, skaičius</t>
  </si>
  <si>
    <t>Vyr. patarėja I. Kubilienė</t>
  </si>
  <si>
    <r>
      <t xml:space="preserve">Kiti finansavimo šaltiniai </t>
    </r>
    <r>
      <rPr>
        <b/>
        <sz val="10"/>
        <rFont val="Times New Roman"/>
        <family val="1"/>
        <charset val="186"/>
      </rPr>
      <t>Kt</t>
    </r>
  </si>
  <si>
    <t>„Gilijos“ pradinės mokyklos (Taikos pr. 68) pastato energinio efektyvumo didinimas</t>
  </si>
  <si>
    <t>P2</t>
  </si>
  <si>
    <t>Parengtas techninis  projektas, vnt.</t>
  </si>
  <si>
    <t>SB(P)</t>
  </si>
  <si>
    <t xml:space="preserve">Klaipėdos „Ąžuolyno“ gimnazijos modernizavimas </t>
  </si>
  <si>
    <t>Atlikta rangos darbų, proc.</t>
  </si>
  <si>
    <t>Įsigyta modulių, vnt.</t>
  </si>
  <si>
    <t>Klaipėdos lopšelio-darželio „Žiogelis“ pastato Kauno g. 27 modernizavimas</t>
  </si>
  <si>
    <r>
      <t xml:space="preserve">Savivaldybės paskolų lėšos </t>
    </r>
    <r>
      <rPr>
        <b/>
        <sz val="10"/>
        <rFont val="Times New Roman"/>
        <family val="1"/>
        <charset val="186"/>
      </rPr>
      <t>SB(P)</t>
    </r>
  </si>
  <si>
    <t>Įrengtas technologijų kabinetas, proc.</t>
  </si>
  <si>
    <r>
      <t xml:space="preserve">Ugdymo proceso  užtikrinimas </t>
    </r>
    <r>
      <rPr>
        <b/>
        <sz val="10"/>
        <rFont val="Times New Roman"/>
        <family val="1"/>
        <charset val="186"/>
      </rPr>
      <t xml:space="preserve">nevalstybinėse </t>
    </r>
    <r>
      <rPr>
        <sz val="10"/>
        <rFont val="Times New Roman"/>
        <family val="1"/>
        <charset val="186"/>
      </rPr>
      <t xml:space="preserve">bendrojo ugdymo mokyklose </t>
    </r>
  </si>
  <si>
    <r>
      <t xml:space="preserve">Ugdymo proceso ir aplinkos užtikrinimas </t>
    </r>
    <r>
      <rPr>
        <b/>
        <sz val="10"/>
        <rFont val="Times New Roman"/>
        <family val="1"/>
        <charset val="186"/>
      </rPr>
      <t>savivaldybės neformaliojo vaikų švietimo įstaigose</t>
    </r>
  </si>
  <si>
    <r>
      <t xml:space="preserve">BĮ Klaipėdos pedagoginės psichologinės tarnybos </t>
    </r>
    <r>
      <rPr>
        <sz val="10"/>
        <rFont val="Times New Roman"/>
        <family val="1"/>
        <charset val="186"/>
      </rPr>
      <t>veiklos užtikrinimas</t>
    </r>
  </si>
  <si>
    <r>
      <rPr>
        <b/>
        <sz val="10"/>
        <rFont val="Times New Roman"/>
        <family val="1"/>
        <charset val="186"/>
      </rPr>
      <t>BĮ Klaipėdos Prano Mašioto progimnazijos</t>
    </r>
    <r>
      <rPr>
        <sz val="10"/>
        <rFont val="Times New Roman"/>
        <family val="1"/>
        <charset val="186"/>
      </rPr>
      <t xml:space="preserve"> pastato Varpų g. 3 rekonstravimas</t>
    </r>
  </si>
  <si>
    <r>
      <rPr>
        <b/>
        <sz val="10"/>
        <rFont val="Times New Roman"/>
        <family val="1"/>
        <charset val="186"/>
      </rPr>
      <t>Bendrojo ugdymo mokyklos pastato statyba</t>
    </r>
    <r>
      <rPr>
        <sz val="10"/>
        <rFont val="Times New Roman"/>
        <family val="1"/>
        <charset val="186"/>
      </rPr>
      <t xml:space="preserve"> šiaurinėje miesto dalyje</t>
    </r>
  </si>
  <si>
    <r>
      <t xml:space="preserve">Savivaldybės biudžeto lėšos </t>
    </r>
    <r>
      <rPr>
        <b/>
        <sz val="10"/>
        <rFont val="Times New Roman"/>
        <family val="1"/>
        <charset val="186"/>
      </rPr>
      <t>SB</t>
    </r>
  </si>
  <si>
    <r>
      <t xml:space="preserve">Pajamų įmokos už paslaugas </t>
    </r>
    <r>
      <rPr>
        <b/>
        <sz val="10"/>
        <rFont val="Times New Roman"/>
        <family val="1"/>
        <charset val="186"/>
      </rPr>
      <t>SB(SP)</t>
    </r>
  </si>
  <si>
    <r>
      <t xml:space="preserve">Valstybės biudžeto specialiosios tikslinės dotacijos lėšos </t>
    </r>
    <r>
      <rPr>
        <b/>
        <sz val="10"/>
        <rFont val="Times New Roman"/>
        <family val="1"/>
        <charset val="186"/>
      </rPr>
      <t>SB(VB)</t>
    </r>
  </si>
  <si>
    <t>Sporto aikštynų priežiūra</t>
  </si>
  <si>
    <t>Prižiūrima aikštynų, vnt.</t>
  </si>
  <si>
    <t>Komunalinių paslaugų įsigijimas:</t>
  </si>
  <si>
    <t xml:space="preserve"> - šildymo, vandens, nuotekų</t>
  </si>
  <si>
    <t xml:space="preserve"> - elektros energijos</t>
  </si>
  <si>
    <t>Įsigytas sportinis inventorius ir įranga, vnt.</t>
  </si>
  <si>
    <t>Suorganizuota edukacinių ir kultūrinių renginių, skaičius</t>
  </si>
  <si>
    <t>Atlikta rangos darbų (sporto salės), proc.</t>
  </si>
  <si>
    <t>Švietimo paslaugų modernizavimo  programos priemonių įgyvendinimas:</t>
  </si>
  <si>
    <t>Klaipėdos „Žaliakalnio“ gimnazijos baldų ir įrangos atnaujinimas</t>
  </si>
  <si>
    <t>P7</t>
  </si>
  <si>
    <t>SB(K)</t>
  </si>
  <si>
    <r>
      <rPr>
        <sz val="10"/>
        <rFont val="Times New Roman"/>
        <family val="1"/>
        <charset val="186"/>
      </rPr>
      <t>Valstybės biudžeto kompensacija 2020 m. negautoms pajamoms padengti</t>
    </r>
    <r>
      <rPr>
        <b/>
        <sz val="10"/>
        <rFont val="Times New Roman"/>
        <family val="1"/>
        <charset val="186"/>
      </rPr>
      <t xml:space="preserve"> SB(K)</t>
    </r>
  </si>
  <si>
    <t>priedas</t>
  </si>
  <si>
    <t>planas</t>
  </si>
  <si>
    <t>SB(VB)'</t>
  </si>
  <si>
    <t>SB(SP)'</t>
  </si>
  <si>
    <t>SB(L)'</t>
  </si>
  <si>
    <t>LRVB'</t>
  </si>
  <si>
    <t>SB(ES)'</t>
  </si>
  <si>
    <t>SB(ESL)'</t>
  </si>
  <si>
    <t>SB(VBL)'</t>
  </si>
  <si>
    <t>Kt'</t>
  </si>
  <si>
    <t>Įsteigta etatų, skaičius</t>
  </si>
  <si>
    <t>Klaipėdos miesto pedagogų rengimo, kvalifikacijos plėtojimo, profesinių kompetencijų tobulinimo ir mokytojų pritraukimo į mokyklas 2020–2024 programos įgyvendinimas</t>
  </si>
  <si>
    <t>Klaipėdos „Pajūrio“ progimnazijos fasado apšiltinimo darbai</t>
  </si>
  <si>
    <t xml:space="preserve">Centralizuotai įsigytos elektros tiekimo paslaugos visose BĮ, proc. </t>
  </si>
  <si>
    <t>Jaunimo medijų centro Klaipėdos miesto centre  įkūrimas</t>
  </si>
  <si>
    <t>Vyr. patarėjas R. Zulcas</t>
  </si>
  <si>
    <t>24</t>
  </si>
  <si>
    <t>Parengtas planas, vnt.</t>
  </si>
  <si>
    <t>Planavimo ir analizės skyrius –  programos sąmatų tvirtinimas</t>
  </si>
  <si>
    <t>Naujų mokytojų padėjėjų pareigybių steigimas siekiant padidinti mokinių, turinčių specialiųjų ugdymosi poreikių, įtrauktį švietime</t>
  </si>
  <si>
    <t>Įsteigta naujų pareigybių, vnt.</t>
  </si>
  <si>
    <t>Parengta paraiškų, vnt.</t>
  </si>
  <si>
    <t>Produkto kriterijaus</t>
  </si>
  <si>
    <t>Hibridinių klasių įrengimas</t>
  </si>
  <si>
    <t>Įstaigų pritaikymas neįgaliesiems</t>
  </si>
  <si>
    <t>Sumontuota keltuvų, vnt.</t>
  </si>
  <si>
    <t>Veiklos plano tikslo kodas</t>
  </si>
  <si>
    <t>Priemonės požymis*</t>
  </si>
  <si>
    <t>Vykdytojas (skyrius/asmuo)</t>
  </si>
  <si>
    <t>Asignavimai 2021-iesiems metams**</t>
  </si>
  <si>
    <t>Lėšų poreikis biudžetiniams 2022-iesiems metams</t>
  </si>
  <si>
    <t>2022-ieji metai</t>
  </si>
  <si>
    <t>2023-ieji metai</t>
  </si>
  <si>
    <t>2024-ieji metai</t>
  </si>
  <si>
    <t>2021-ieji metai**</t>
  </si>
  <si>
    <t>Asignavimai 2021-iesiems metams</t>
  </si>
  <si>
    <t>2024-ųjų metų lėšų projektas</t>
  </si>
  <si>
    <t>Įstaigų, kuriose atnaujintos sporto salės, skaičius</t>
  </si>
  <si>
    <r>
      <rPr>
        <b/>
        <sz val="10"/>
        <rFont val="Times New Roman"/>
        <family val="1"/>
        <charset val="186"/>
      </rPr>
      <t>Klaipėdos Tauralaukio progimnazijos pastato (Klaipėdos g. 31)</t>
    </r>
    <r>
      <rPr>
        <sz val="10"/>
        <rFont val="Times New Roman"/>
        <family val="1"/>
        <charset val="186"/>
      </rPr>
      <t xml:space="preserve"> rekonstravimas į ikimokyklinio ir priešmokyklinio ugdymo įstaigą</t>
    </r>
  </si>
  <si>
    <t>P1 P7 I</t>
  </si>
  <si>
    <t>2021–2024 M. KLAIPĖDOS MIESTO SAVIVALDYBĖS</t>
  </si>
  <si>
    <t xml:space="preserve">P1 </t>
  </si>
  <si>
    <t>Projektų skaičius, vnt.</t>
  </si>
  <si>
    <t>Švietimo įstaigų virėjų darbo užmokesčio apmokėjimas</t>
  </si>
  <si>
    <t>Įstaigų, kurioms skirtas papildomas finansavimas, skaičius</t>
  </si>
  <si>
    <t>Vėdinimo ir kondicionavimo sistemų įrengimas</t>
  </si>
  <si>
    <t>Švietimo įstaigų teritorijų sutvarkymo darbai</t>
  </si>
  <si>
    <t>Planavimo ir analizės skyrius – programos sąmatų tvirtinimas, vykdytojas – Švietimo skyrius</t>
  </si>
  <si>
    <t>Įstaigų, kuriose pakeisti laiptinių turėklai, skaičius</t>
  </si>
  <si>
    <t>25</t>
  </si>
  <si>
    <t>26</t>
  </si>
  <si>
    <t>Statybos ir infrastruktūros plėtros skyrius</t>
  </si>
  <si>
    <t>T</t>
  </si>
  <si>
    <t>P</t>
  </si>
  <si>
    <t>ES</t>
  </si>
  <si>
    <t xml:space="preserve">I </t>
  </si>
  <si>
    <t xml:space="preserve">Klaipėdos miesto bendrojo ugdymo mokyklų trečiųjų  klasių mokinių mokymo plaukti paslaugos </t>
  </si>
  <si>
    <t>N</t>
  </si>
  <si>
    <t>Neformaliojo ugdymo įstaigų inventoriaus atnaujinimas</t>
  </si>
  <si>
    <t>Įsigytas inventorius, vnt.</t>
  </si>
  <si>
    <t>Miesto erdvių puošimas, skirtas Klaipėdos 770 metinėms</t>
  </si>
  <si>
    <t>Švietimo skyrius - priemonės vykdytojas, Planavimo ir analizės skyrius –  programos sąmatų tvirtinimas</t>
  </si>
  <si>
    <t>Ikimokyklinių ugdymo įstaigų ir mokyklų darželių  informacinių technologijų aptarnavimas</t>
  </si>
  <si>
    <t>Įrengta sporto aikštelė, vnt.</t>
  </si>
  <si>
    <t>Klaipėdos miesto gimnazijų gamtamokslinių laboratorijų steigimo ir modernizavimo 2022–2026 metų programos įgyvendinimas</t>
  </si>
  <si>
    <t>Modernizuota laboratorijų, vnt.</t>
  </si>
  <si>
    <t>Įrengta sanitarinių patalpų, vnt.</t>
  </si>
  <si>
    <t>Klaipėdos Tauralaukio progimnazijos baldų ir įrangos įsigijimas</t>
  </si>
  <si>
    <t>Įsigyta baldų ir įrangos, vnt.</t>
  </si>
  <si>
    <t>Ikimokyklinio ugdymo, neformaliojo vaikų švietimo ir švietimo pagalbos įstaigų aprūpinimas kompiuteriais</t>
  </si>
  <si>
    <t>Projektorių skaičius, vnt.</t>
  </si>
  <si>
    <t>P  N</t>
  </si>
  <si>
    <r>
      <t xml:space="preserve">Europos Sąjungos paramos lėšos </t>
    </r>
    <r>
      <rPr>
        <b/>
        <sz val="10"/>
        <rFont val="Times New Roman"/>
        <family val="1"/>
        <charset val="186"/>
      </rPr>
      <t>ES</t>
    </r>
  </si>
  <si>
    <t>P1 T</t>
  </si>
  <si>
    <t>P6 T</t>
  </si>
  <si>
    <t>27</t>
  </si>
  <si>
    <t>28</t>
  </si>
  <si>
    <t>29</t>
  </si>
  <si>
    <t>30</t>
  </si>
  <si>
    <t>31</t>
  </si>
  <si>
    <t>Priemonių skaičius, vnt.</t>
  </si>
  <si>
    <t>32</t>
  </si>
  <si>
    <t>Įstaigų, kuriose vykdoma priežiūra, skaičius</t>
  </si>
  <si>
    <t>H. Zudermano gimnazijos pastato rekonstrukcija</t>
  </si>
  <si>
    <t xml:space="preserve">P1  I </t>
  </si>
  <si>
    <t>Įstaigų, kuriose bus apgyvendinti dalyviai, skaičius</t>
  </si>
  <si>
    <t>Papildomai įsteigta pedagogų etatų, skaičius</t>
  </si>
  <si>
    <t>Atleista mokytojų, skaičius</t>
  </si>
  <si>
    <t>Sumažinta auklėtojų padėjėjų etatų, skaičius</t>
  </si>
  <si>
    <t>Organizuota gerosios patirties sklaidos renginių, skaičius</t>
  </si>
  <si>
    <t>STEAM olimpiadose dalyvaujančių vaikų, skaičius</t>
  </si>
  <si>
    <t>Mokinių, aprūpintų elektroniniais pažymėjimais, skaičius</t>
  </si>
  <si>
    <t>Atlikta rangos darbų (pastato), proc.</t>
  </si>
  <si>
    <t>Parengta techninių  projektų, vnt.</t>
  </si>
  <si>
    <t>Įsigyta įrangos, vnt.</t>
  </si>
  <si>
    <t>Atlikta rangos darbų proc.</t>
  </si>
  <si>
    <t>P     I</t>
  </si>
  <si>
    <t>Įrengta edukacinių erdvių, vnt.</t>
  </si>
  <si>
    <t>Atleista vadovų, skaičius</t>
  </si>
  <si>
    <t>Atnaujinta mokomųjų kabinetų ir aplinkų, vnt.</t>
  </si>
  <si>
    <t>Programose dalyvaujančių vaikų skaičius, vnt.</t>
  </si>
  <si>
    <t>Įstaigų, kuriose įsigyta įrangos ir baldų, skaičius</t>
  </si>
  <si>
    <t>Parengta Jaunimo medijų centro koncepcija, vnt.</t>
  </si>
  <si>
    <t>Įstaigų, kuriose atlikti remonto darbai, skaičius</t>
  </si>
  <si>
    <t>Įstaigų, kuriose likviduoti pažeidimai, skaičius</t>
  </si>
  <si>
    <t>Įstaigų, kuriose diegiamos šalto vandens valdymo sistemos, skaičius</t>
  </si>
  <si>
    <t>Suorganizuota mokymų, kvalifikacijos kėlimo renginių, vnt.</t>
  </si>
  <si>
    <t>P    I</t>
  </si>
  <si>
    <t>Įstaigų, kurioms elektros energija įsigyjama centralizuotai, skaičius</t>
  </si>
  <si>
    <t>P   T</t>
  </si>
  <si>
    <t>P    P6 T</t>
  </si>
  <si>
    <t>P    T</t>
  </si>
  <si>
    <t>P  T   P1</t>
  </si>
  <si>
    <t xml:space="preserve">LITNET programos plėtra  </t>
  </si>
  <si>
    <t>Nutiesto kabelio ilgis, m</t>
  </si>
  <si>
    <t>33</t>
  </si>
  <si>
    <t>Švietimo skyrius,     vyr. patarėjas D. Petrolevičius</t>
  </si>
  <si>
    <t>Išsinuomota modulinių pastatų, vnt.</t>
  </si>
  <si>
    <t>Statinių kasmetinės apžiūros</t>
  </si>
  <si>
    <r>
      <t xml:space="preserve">Ugdymo proceso užtikrinimas </t>
    </r>
    <r>
      <rPr>
        <b/>
        <sz val="10"/>
        <rFont val="Times New Roman"/>
        <family val="1"/>
        <charset val="186"/>
      </rPr>
      <t>s</t>
    </r>
    <r>
      <rPr>
        <sz val="10"/>
        <rFont val="Times New Roman"/>
        <family val="1"/>
        <charset val="186"/>
      </rPr>
      <t xml:space="preserve">porto mokyklose </t>
    </r>
  </si>
  <si>
    <t>Įrengta kondicionavimo sistemų, grupių skaičius</t>
  </si>
  <si>
    <t xml:space="preserve"> - pastatų atnaujinimas l.-d „Alksniukas“  ir l.-d „Želmenėlis“ </t>
  </si>
  <si>
    <t xml:space="preserve">Švietimo įstaigų paprastasis remontas </t>
  </si>
  <si>
    <t xml:space="preserve">Švietimo įstaigų lauko inžinerinių tinklų remontas </t>
  </si>
  <si>
    <t>Švietimo įstaigų teritorijų aptvėrimas</t>
  </si>
  <si>
    <t>Atsinaujinančių energijos išteklių (saulės) įrengimas ir priežiūra</t>
  </si>
  <si>
    <t xml:space="preserve"> Nr.</t>
  </si>
  <si>
    <t>Adresas</t>
  </si>
  <si>
    <t>Įstaigos plotas</t>
  </si>
  <si>
    <t xml:space="preserve">Renovuota įstaiga </t>
  </si>
  <si>
    <t>1.</t>
  </si>
  <si>
    <t>„Aitvaro“ gimnazija</t>
  </si>
  <si>
    <t>Paryžiaus Komunos g. 14 LT-91166</t>
  </si>
  <si>
    <t>2.</t>
  </si>
  <si>
    <t>„Aukuro“ gimnazija</t>
  </si>
  <si>
    <t>Statybininkų pr. 7 LT-94237</t>
  </si>
  <si>
    <t>3.</t>
  </si>
  <si>
    <t>„Ąžuolyno“ gimnazija</t>
  </si>
  <si>
    <t>Paryžiaus Komunos g. 16 LT-91166</t>
  </si>
  <si>
    <t>4.</t>
  </si>
  <si>
    <t>Baltijos gimnazija</t>
  </si>
  <si>
    <t>Baltijos pr. 51 LT-94127</t>
  </si>
  <si>
    <t>5.</t>
  </si>
  <si>
    <t>Suaugusiųjų gimnazija</t>
  </si>
  <si>
    <t>I. Simonaitytės g. 24 LT-95134</t>
  </si>
  <si>
    <t>6.</t>
  </si>
  <si>
    <t>„Varpo“ gimnazija</t>
  </si>
  <si>
    <t>Budelkiemio g. 7 LT-95245</t>
  </si>
  <si>
    <t>taip</t>
  </si>
  <si>
    <t>7.</t>
  </si>
  <si>
    <t>„Vėtrungės“ gimnazija</t>
  </si>
  <si>
    <t>Gedminų g. 5 LT-94222</t>
  </si>
  <si>
    <t>8.</t>
  </si>
  <si>
    <t>Vydūno gimnazija</t>
  </si>
  <si>
    <t>Sulupės g. 26  LT-93219</t>
  </si>
  <si>
    <t>9.</t>
  </si>
  <si>
    <t>Vytauto Didžiojo gimnazija</t>
  </si>
  <si>
    <t>S. Daukanto g. 31 LT-92231</t>
  </si>
  <si>
    <t>10.</t>
  </si>
  <si>
    <t>Hermano Zudermano gimnazija</t>
  </si>
  <si>
    <t>Debreceno g. 29 LT-94167</t>
  </si>
  <si>
    <t>11.</t>
  </si>
  <si>
    <t>„Žaliakalnio" gimnazija</t>
  </si>
  <si>
    <t>Galinio Pylimo g. 17 LT-91227</t>
  </si>
  <si>
    <t>12.</t>
  </si>
  <si>
    <t>„Žemynos“ gimnazija</t>
  </si>
  <si>
    <t>Kretingos g. 23 LT-92216</t>
  </si>
  <si>
    <t>13.</t>
  </si>
  <si>
    <t>Litorinos mokykla</t>
  </si>
  <si>
    <t>Smiltelės g. 22 LT-93146</t>
  </si>
  <si>
    <t xml:space="preserve">Vienas pastatas su Moksleivių centru </t>
  </si>
  <si>
    <t>Moksleivių saviraiškos centras</t>
  </si>
  <si>
    <t>Smiltelės g. 22-1 LT-93146</t>
  </si>
  <si>
    <t>14.</t>
  </si>
  <si>
    <t>„Medeinės“ mokykla</t>
  </si>
  <si>
    <t>Panevėžio g. 2 LT-92307</t>
  </si>
  <si>
    <t>?</t>
  </si>
  <si>
    <t>15.</t>
  </si>
  <si>
    <t>Jūrų kadetų mokykla</t>
  </si>
  <si>
    <t>Naikupės g. 25 LT-93202</t>
  </si>
  <si>
    <t>16.</t>
  </si>
  <si>
    <t>Simono Dacho progimnazija</t>
  </si>
  <si>
    <t>Kuršių a. 2/3 LT-92127</t>
  </si>
  <si>
    <t>17.</t>
  </si>
  <si>
    <t>„Gabijos“ progimnazija</t>
  </si>
  <si>
    <t>18.</t>
  </si>
  <si>
    <t>Gedminų progimnazija</t>
  </si>
  <si>
    <t>Gedminų g. 3 LT-94167</t>
  </si>
  <si>
    <t>19.</t>
  </si>
  <si>
    <t>Maksimo Gorkio progimnazija</t>
  </si>
  <si>
    <t>S. Daukanto g. 5,LT-92123</t>
  </si>
  <si>
    <t>20.</t>
  </si>
  <si>
    <t>Prano Mašioto progimnazija</t>
  </si>
  <si>
    <t>Varpų g. 3 LT-94275</t>
  </si>
  <si>
    <t>21.</t>
  </si>
  <si>
    <t>Martyno Mažvydo progimnazija</t>
  </si>
  <si>
    <t>Baltijos pr. 53 LT-94125</t>
  </si>
  <si>
    <t>22.</t>
  </si>
  <si>
    <t>„Pajūrio“ progimnazija</t>
  </si>
  <si>
    <t>Laukininkų g. 28, LT-95145</t>
  </si>
  <si>
    <t>23.</t>
  </si>
  <si>
    <t>„Santarvės“ progimnazija</t>
  </si>
  <si>
    <t>Gedminų g. 7, LT-94222</t>
  </si>
  <si>
    <t>24.</t>
  </si>
  <si>
    <t>„Saulėtekio“ progimnazija</t>
  </si>
  <si>
    <t>Mokyklos g. 3, LT-91265</t>
  </si>
  <si>
    <t>25.</t>
  </si>
  <si>
    <t>Sendvario progimnazija</t>
  </si>
  <si>
    <t>Tilžės g. 39 LT-91255</t>
  </si>
  <si>
    <t>26.</t>
  </si>
  <si>
    <t>„Smeltės“ progimnazija</t>
  </si>
  <si>
    <t>Reikjaviko g. 17 LT-94257</t>
  </si>
  <si>
    <t>27.</t>
  </si>
  <si>
    <t>Liudviko Stulpino progimnazija</t>
  </si>
  <si>
    <t>Bandužių g. 4 LT-95261</t>
  </si>
  <si>
    <t>28.</t>
  </si>
  <si>
    <t>Tauralaukio progimnazija</t>
  </si>
  <si>
    <t>Klaipėdos g. 31 LT-92354</t>
  </si>
  <si>
    <t>29.</t>
  </si>
  <si>
    <t>„Verdenės" progimnazija</t>
  </si>
  <si>
    <t>Kretingos g. 22 LT-92211</t>
  </si>
  <si>
    <t>30.</t>
  </si>
  <si>
    <t>„Versmės“ progimnazija</t>
  </si>
  <si>
    <t>I. Simonaitytės g. 2 LT-95129</t>
  </si>
  <si>
    <t>31.</t>
  </si>
  <si>
    <t>Vitės progimnazija</t>
  </si>
  <si>
    <t>J. Janonio g. 32 LT-92246</t>
  </si>
  <si>
    <t>32.</t>
  </si>
  <si>
    <t>„Vyturio“ progimnazija</t>
  </si>
  <si>
    <t>Laukininkų g. 30, LT-95149</t>
  </si>
  <si>
    <t>33.</t>
  </si>
  <si>
    <t>„Gilijos“ pradinė mokykla</t>
  </si>
  <si>
    <t>Taikos pr. 68 LT-93219</t>
  </si>
  <si>
    <t>34.</t>
  </si>
  <si>
    <t>Marijos Montessori mokykla-darželis</t>
  </si>
  <si>
    <t>Debreceno g. 80 LT-94155</t>
  </si>
  <si>
    <t>35.</t>
  </si>
  <si>
    <t>„Saulutės“ mokykla-darželis</t>
  </si>
  <si>
    <t>Kauno g. 11 LT-91157                     </t>
  </si>
  <si>
    <t>36.</t>
  </si>
  <si>
    <t>„Varpelio“ mokykla-darželis</t>
  </si>
  <si>
    <t>Kretingos g. 67 LT-923</t>
  </si>
  <si>
    <t>37.</t>
  </si>
  <si>
    <t>Adomo Brako dailės mokykla</t>
  </si>
  <si>
    <t>Paryžiaus Komunos g. 12 LT-91166</t>
  </si>
  <si>
    <t>38.</t>
  </si>
  <si>
    <t>Jeronimo Kačinsko muzikos mokykla</t>
  </si>
  <si>
    <t>Statybininkų pr. 5 LT-94237</t>
  </si>
  <si>
    <t>39.</t>
  </si>
  <si>
    <t>Juozo Karoso muzikos mokykla</t>
  </si>
  <si>
    <t>Puodžių g. 4 LT-92127</t>
  </si>
  <si>
    <t>40.</t>
  </si>
  <si>
    <t>Karalienės Luizės jaunimo centras</t>
  </si>
  <si>
    <t>Puodžių g. 1 LT-92127</t>
  </si>
  <si>
    <t>41.</t>
  </si>
  <si>
    <t>BĮ Klaipėdos vaikų laisvalaikio centras</t>
  </si>
  <si>
    <t>Molo g. 60-1</t>
  </si>
  <si>
    <t>ne</t>
  </si>
  <si>
    <t>*</t>
  </si>
  <si>
    <t>42.</t>
  </si>
  <si>
    <t>Klubas „Draugystė“</t>
  </si>
  <si>
    <t>Taikos pr. 95-61</t>
  </si>
  <si>
    <t>43.</t>
  </si>
  <si>
    <t>Klubas „Liepsnelė“</t>
  </si>
  <si>
    <t>Viršutinė g. 5</t>
  </si>
  <si>
    <t>44.</t>
  </si>
  <si>
    <t>Klubas „Saulutė“</t>
  </si>
  <si>
    <t>Šermukšnių g. 11</t>
  </si>
  <si>
    <t>45.</t>
  </si>
  <si>
    <t>Klubas „Švyturys“</t>
  </si>
  <si>
    <t>Šilutės pl. 40-1</t>
  </si>
  <si>
    <t>46.</t>
  </si>
  <si>
    <t>Klubas „Žuvėdra</t>
  </si>
  <si>
    <t>Herkaus Manto g. 77</t>
  </si>
  <si>
    <t>*Apžiūra neperkama, jei patalpos yra pastate, kur pats pastatas nepriklauso savivaldybei nuosavybės teise.</t>
  </si>
  <si>
    <t>Ugdymo įstaigos (gimnazijos, progimnazijos, pradinės mokyklos), neformaliojo vaikų švietimo įstaigos</t>
  </si>
  <si>
    <t>Baldų projektavimo paslauga, vnt.</t>
  </si>
  <si>
    <t>* Pagal Klaipėdos miesto savivaldybės tarybos sprendimus: 2021-02-25 Nr. T2-24, 2021-04-29 Nr. T2-90, 2021-06-22 Nr. T2-157, 2021-09-30 Nr. T2-192, 2021-11-25 Nr. T2-247.</t>
  </si>
  <si>
    <t>Ikimokyklinio ar priešmokyklinio ugdymo mokytojų, dirbančių vienoje ikimokyklinės įstaigos grupėje, etatų skaičiaus didinimas</t>
  </si>
  <si>
    <t>Bendrojo ugdymo mokyklų tinklo pertvarkos 2021–2025 metų bendrojo plano priemonių įgyvendinimas:</t>
  </si>
  <si>
    <t>Klaipėdos „Smiltelės“ vaikų globos namų patalpų pritaikymas ikimokykliniam ugdymui</t>
  </si>
  <si>
    <t>2023-iųjų metų lėšų projektas</t>
  </si>
  <si>
    <t>* Nurodoma: 1) ar priemonė nauja (N), ar tęstinė (T); 
                     2) ar projektas investicinis (I);
                     3) KMS 2021–2030 m. Strateginio plėtros plano priemonės, kuri įgyvendinama per šį (n-1)–(n+2) metų SVP, eil. Nr.</t>
  </si>
  <si>
    <t>SAVIVALDYBĖS LĖŠOS, IŠ VISO:</t>
  </si>
  <si>
    <t>Įsigyta mokymo priemonių veikloms KU, vnt.</t>
  </si>
  <si>
    <t>Įsigyta įrenginių, vnt.</t>
  </si>
  <si>
    <t xml:space="preserve">Atliktas Pedagoginei psichologinei tarnybai perduotų patalpų remontas </t>
  </si>
  <si>
    <t>Renovuota, suremontuota sistemų, skaičius</t>
  </si>
  <si>
    <t>Projekto „Mokinių ugdymosi pasiekimų gerinimas diegiant kokybės krepšelį“ įgyvendinimas</t>
  </si>
  <si>
    <t>BĮ Klaipėdos Litorinos mokyklos dalyvavimas projekte „Judriosios popietės“</t>
  </si>
  <si>
    <t>BĮ Klaipėdos Tauralaukio progimnazijos dalyvavimas projektuose „Pagarbi ir tolerantiska mokykla“, „Gyvenimas su klimato kaita“, „Stop ankstyvam išėjimui iš mokyklos, pradėkime tarpdalykinį mokymą dėl ateities“, „Su jumis, su kiekvienu“ ir „Tobulėjame kartu su programa „eTwinningoo“</t>
  </si>
  <si>
    <t>Tarptautinio Europos folkloro kultūros festivalio „Europiada“ dalyvių apgyvendinimas</t>
  </si>
  <si>
    <t>Švietimo skyrius – priemonės vykdytojas, Planavimo ir analizės skyrius –  programos sąmatų tvirtinimas</t>
  </si>
  <si>
    <r>
      <rPr>
        <b/>
        <sz val="10"/>
        <rFont val="Times New Roman"/>
        <family val="1"/>
        <charset val="186"/>
      </rPr>
      <t>Universitetinių klasių veiklos organizavimas</t>
    </r>
    <r>
      <rPr>
        <sz val="10"/>
        <rFont val="Times New Roman"/>
        <family val="1"/>
        <charset val="186"/>
      </rPr>
      <t xml:space="preserve"> (2021 m. – Baltijos ir „Žemynos“ gimnazijose, nuo 2022 m. – Vytauto Didžiojo ir „Vėtrungės“ gimnazijoje)</t>
    </r>
  </si>
  <si>
    <t xml:space="preserve">Neformaliojo ugdymo paslaugų tobulinimo plano parengimas </t>
  </si>
  <si>
    <r>
      <rPr>
        <b/>
        <sz val="10"/>
        <rFont val="Times New Roman"/>
        <family val="1"/>
        <charset val="186"/>
      </rPr>
      <t>Modernių ugdymosi erdvių sukūrimas Klaipėdos miesto progimnazijose ir gimnazijose</t>
    </r>
    <r>
      <rPr>
        <sz val="10"/>
        <rFont val="Times New Roman"/>
        <family val="1"/>
        <charset val="186"/>
      </rPr>
      <t xml:space="preserve"> („Smeltės“, Liudviko Stulpino, Sendvario, Gedminų, „Verdenės“ progimnazijose ir  „Vėtrungės“, „Varpo“ gimnazijose)</t>
    </r>
  </si>
  <si>
    <t>Sporto salių atnaujinimas (2022 m. – „Aitvaro“ gimnazija, „Versmės“ progimnazija, Baltijos gimnazija, „Vyturio“ progimnazija)</t>
  </si>
  <si>
    <t xml:space="preserve">Lopšelio-darželio „Putinėlis“ stogo remonto darbai </t>
  </si>
  <si>
    <r>
      <rPr>
        <b/>
        <sz val="10"/>
        <rFont val="Times New Roman"/>
        <family val="1"/>
        <charset val="186"/>
      </rPr>
      <t>Klaipėdos „Saulėtekio“ progimnazijos</t>
    </r>
    <r>
      <rPr>
        <sz val="10"/>
        <rFont val="Times New Roman"/>
        <family val="1"/>
        <charset val="186"/>
      </rPr>
      <t xml:space="preserve"> pastato inžinerinių sistemų, vidaus patalpų ir pastato išorės remontas </t>
    </r>
  </si>
  <si>
    <t xml:space="preserve"> - pastatų atnaujinimas m.-d. „Saulutė“, l.-d. „Vėrinėlis“, l.-d. „Pingvinukas“, l.-d. „Putinėlis“, l.-d. „Kregždutė“, l.-d. „Radastėlė“, l.-d. „Traukinukas“ skyriaus „Boružėlė“ </t>
  </si>
  <si>
    <t>Klaipėdos lopšelio-darželio „Bangelė“ sporto aikštelės įrengimas</t>
  </si>
  <si>
    <t xml:space="preserve">Klaipėdos vaikų laisvalaikio centro klubo „Želmenėlis“ patalpų ugdymo procesui pritaikymas </t>
  </si>
  <si>
    <t xml:space="preserve">Ikimokyklinių ugdymo vietų skaičiaus didinimas „Varpelio“ mokykloje-darželyje  </t>
  </si>
  <si>
    <t>Edukacinių erdvių įrengimas Klaipėdos miesto bendrojo ugdymo mokyklose (2021 m. – „Vyturio“ ir „Smeltės“ progimnazijoje, 2023 m. – Gedminų progimnazijoje)</t>
  </si>
  <si>
    <t>Vaikiškų lovyčių įsigijimas savivaldybės ikimokyklinio ugdymo įstaigoms</t>
  </si>
  <si>
    <t xml:space="preserve">Įrenginių įsigijimas švietimo įstaigų maisto blokams </t>
  </si>
  <si>
    <t xml:space="preserve">Aiškinamojo rašto 3 priedas </t>
  </si>
  <si>
    <r>
      <rPr>
        <b/>
        <sz val="10"/>
        <rFont val="Times New Roman"/>
        <family val="1"/>
        <charset val="186"/>
      </rPr>
      <t xml:space="preserve">Sporto aikštynų atnaujinimas </t>
    </r>
    <r>
      <rPr>
        <sz val="10"/>
        <rFont val="Times New Roman"/>
        <family val="1"/>
        <charset val="186"/>
      </rPr>
      <t>(modernizavimas) (2021 m. – H. Zudermano gimnazijos, 2022 m. – Vitės, M. Gorkio ir „Smeltės“ progimnazijų, „Vėtrungės“ ir „Žaliakalnio“ gimnazijų, 2023 m. – „Gilijos“ pradinės mokyklos, 2024 m. – Baltijos gimnazijos)</t>
    </r>
  </si>
  <si>
    <t>2022–2024 M. KLAIPĖDOS MIESTO SAVIVALDYBĖS</t>
  </si>
  <si>
    <t>Klaipėdos miesto savivaldybės ugdymo proceso užtikrinimo programos (Nr. 10) aprašymo</t>
  </si>
  <si>
    <t>Iš viso</t>
  </si>
  <si>
    <t>SB(P)''</t>
  </si>
  <si>
    <t>ES'</t>
  </si>
  <si>
    <t>Edukacinių erdvių įrengimas Klaipėdos miesto bendrojo ugdymo mokyklose (2023 m. – Gedminų progimnazijoje)</t>
  </si>
  <si>
    <r>
      <rPr>
        <b/>
        <sz val="10"/>
        <rFont val="Times New Roman"/>
        <family val="1"/>
        <charset val="186"/>
      </rPr>
      <t>Universitetinių klasių veiklos organizavimas</t>
    </r>
    <r>
      <rPr>
        <sz val="10"/>
        <rFont val="Times New Roman"/>
        <family val="1"/>
        <charset val="186"/>
      </rPr>
      <t xml:space="preserve"> (Baltijos, „Žemynos“, Vytauto Didžiojo ir „Vėtrungės“ gimnazijose)</t>
    </r>
  </si>
  <si>
    <t>* N – nauja priemonė; T – tęstinė priemonė; I – investicijų projektas</t>
  </si>
  <si>
    <t>Siūlomas keisti 2023-iųjų
 metų lėšų projektas</t>
  </si>
  <si>
    <t>Skirtumas</t>
  </si>
  <si>
    <t>Siūlomas keisti 2024-iųjų
 metų lėšų projektas</t>
  </si>
  <si>
    <t>Siūlomas keisti 2023-iųjų metų lėšų projektas</t>
  </si>
  <si>
    <t>Siūlomas keisti 2024-ųjų metų lėšų projektas</t>
  </si>
  <si>
    <r>
      <rPr>
        <b/>
        <sz val="10"/>
        <rFont val="Times New Roman"/>
        <family val="1"/>
        <charset val="186"/>
      </rPr>
      <t xml:space="preserve">Sporto aikštynų atnaujinimas </t>
    </r>
    <r>
      <rPr>
        <sz val="10"/>
        <rFont val="Times New Roman"/>
        <family val="1"/>
        <charset val="186"/>
      </rPr>
      <t xml:space="preserve">(modernizavimas) (2022 m. – Vitės, M. Gorkio ir „Smeltės“ progimnazijų, „Vėtrungės“ ir „Žaliakalnio“ gimnazijų, 2023 m. – „Gilijos“ pradinės mokyklos,  </t>
    </r>
    <r>
      <rPr>
        <sz val="10"/>
        <color rgb="FFFF0000"/>
        <rFont val="Times New Roman"/>
        <family val="1"/>
        <charset val="186"/>
      </rPr>
      <t>„Smeltės“ progimnazijos</t>
    </r>
    <r>
      <rPr>
        <sz val="10"/>
        <rFont val="Times New Roman"/>
        <family val="1"/>
        <charset val="186"/>
      </rPr>
      <t xml:space="preserve">, 2024 m. – Baltijos gimnazijos, </t>
    </r>
    <r>
      <rPr>
        <sz val="10"/>
        <color rgb="FFFF0000"/>
        <rFont val="Times New Roman"/>
        <family val="1"/>
        <charset val="186"/>
      </rPr>
      <t>„Saulėtekio“ progimnazijos</t>
    </r>
    <r>
      <rPr>
        <sz val="10"/>
        <rFont val="Times New Roman"/>
        <family val="1"/>
        <charset val="186"/>
      </rPr>
      <t>)</t>
    </r>
  </si>
  <si>
    <r>
      <rPr>
        <b/>
        <sz val="10"/>
        <rFont val="Times New Roman"/>
        <family val="1"/>
        <charset val="186"/>
      </rPr>
      <t xml:space="preserve">Sporto aikštynų atnaujinimas </t>
    </r>
    <r>
      <rPr>
        <sz val="10"/>
        <rFont val="Times New Roman"/>
        <family val="1"/>
        <charset val="186"/>
      </rPr>
      <t>(modernizavimas) (2022 m. – Vitės, M. Gorkio ir „Smeltės“ progimnazijų, „Vėtrungės“ ir „Žaliakalnio“ gimnazijų, 2023 m. – „Gilijos“ pradinės mokyklos, „Smeltės“ progimnazijos, 2024 m. – Baltijos gimnazijos, „Saulėtekio“ progimnazijos)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</si>
</sst>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409]General"/>
    <numFmt numFmtId="167" formatCode="[$-409]#,##0"/>
    <numFmt numFmtId="168" formatCode="[$-409]0.00"/>
  </numFmts>
  <fonts count="27" x14ac:knownFonts="1">
    <font>
      <sz val="10"/>
      <name val="Arial"/>
      <charset val="186"/>
    </font>
    <font>
      <sz val="10"/>
      <name val="Arial"/>
      <family val="2"/>
      <charset val="186"/>
    </font>
    <font>
      <sz val="10"/>
      <name val="Times New Roman"/>
      <family val="1"/>
      <charset val="186"/>
    </font>
    <font>
      <b/>
      <sz val="10"/>
      <name val="Times New Roman"/>
      <family val="1"/>
      <charset val="186"/>
    </font>
    <font>
      <b/>
      <u/>
      <sz val="10"/>
      <name val="Times New Roman"/>
      <family val="1"/>
      <charset val="186"/>
    </font>
    <font>
      <sz val="9"/>
      <color indexed="81"/>
      <name val="Tahoma"/>
      <family val="2"/>
      <charset val="186"/>
    </font>
    <font>
      <sz val="12"/>
      <name val="Times New Roman"/>
      <family val="1"/>
      <charset val="186"/>
    </font>
    <font>
      <b/>
      <sz val="9"/>
      <color indexed="81"/>
      <name val="Tahoma"/>
      <family val="2"/>
      <charset val="186"/>
    </font>
    <font>
      <i/>
      <sz val="10"/>
      <name val="Times New Roman"/>
      <family val="1"/>
      <charset val="186"/>
    </font>
    <font>
      <b/>
      <sz val="12"/>
      <name val="Times New Roman"/>
      <family val="1"/>
      <charset val="186"/>
    </font>
    <font>
      <sz val="11"/>
      <color rgb="FF000000"/>
      <name val="Calibri"/>
      <family val="2"/>
      <charset val="186"/>
    </font>
    <font>
      <b/>
      <i/>
      <sz val="10"/>
      <name val="Times New Roman"/>
      <family val="1"/>
      <charset val="186"/>
    </font>
    <font>
      <sz val="9"/>
      <name val="Times New Roman"/>
      <family val="1"/>
      <charset val="186"/>
    </font>
    <font>
      <b/>
      <sz val="9"/>
      <name val="Times New Roman"/>
      <family val="1"/>
      <charset val="186"/>
    </font>
    <font>
      <b/>
      <i/>
      <sz val="9"/>
      <name val="Times New Roman"/>
      <family val="1"/>
      <charset val="186"/>
    </font>
    <font>
      <sz val="10"/>
      <color rgb="FFFF0000"/>
      <name val="Times New Roman"/>
      <family val="1"/>
      <charset val="186"/>
    </font>
    <font>
      <i/>
      <sz val="10"/>
      <color theme="0"/>
      <name val="Times New Roman"/>
      <family val="1"/>
      <charset val="186"/>
    </font>
    <font>
      <sz val="10"/>
      <color theme="0"/>
      <name val="Times New Roman"/>
      <family val="1"/>
      <charset val="186"/>
    </font>
    <font>
      <b/>
      <sz val="9"/>
      <color rgb="FFFF0000"/>
      <name val="Times New Roman"/>
      <family val="1"/>
      <charset val="186"/>
    </font>
    <font>
      <sz val="11"/>
      <name val="Calibri"/>
      <family val="2"/>
      <charset val="186"/>
    </font>
    <font>
      <b/>
      <i/>
      <sz val="12"/>
      <name val="Times New Roman"/>
      <family val="1"/>
      <charset val="186"/>
    </font>
    <font>
      <sz val="12"/>
      <color rgb="FF000000"/>
      <name val="Times New Roman"/>
      <family val="1"/>
      <charset val="186"/>
    </font>
    <font>
      <sz val="12"/>
      <color rgb="FFFF0000"/>
      <name val="Times New Roman"/>
      <family val="1"/>
      <charset val="186"/>
    </font>
    <font>
      <strike/>
      <sz val="10"/>
      <name val="Times New Roman"/>
      <family val="1"/>
      <charset val="186"/>
    </font>
    <font>
      <b/>
      <sz val="10"/>
      <color theme="0"/>
      <name val="Times New Roman"/>
      <family val="1"/>
      <charset val="186"/>
    </font>
    <font>
      <b/>
      <sz val="10"/>
      <color rgb="FFFF0000"/>
      <name val="Times New Roman"/>
      <family val="1"/>
      <charset val="186"/>
    </font>
    <font>
      <strike/>
      <sz val="10"/>
      <color rgb="FFFF0000"/>
      <name val="Times New Roman"/>
      <family val="1"/>
      <charset val="186"/>
    </font>
  </fonts>
  <fills count="1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rgb="FFDBDBDB"/>
      </patternFill>
    </fill>
    <fill>
      <patternFill patternType="solid">
        <fgColor rgb="FFCCFFCC"/>
        <bgColor indexed="64"/>
      </patternFill>
    </fill>
    <fill>
      <patternFill patternType="solid">
        <fgColor theme="0"/>
        <bgColor rgb="FFD9D9D9"/>
      </patternFill>
    </fill>
    <fill>
      <patternFill patternType="solid">
        <fgColor theme="0"/>
        <bgColor rgb="FFFFFFFF"/>
      </patternFill>
    </fill>
    <fill>
      <patternFill patternType="solid">
        <fgColor theme="0"/>
        <bgColor rgb="FFFFFF00"/>
      </patternFill>
    </fill>
    <fill>
      <patternFill patternType="solid">
        <fgColor rgb="FFFFFFFF"/>
        <bgColor indexed="64"/>
      </patternFill>
    </fill>
    <fill>
      <patternFill patternType="solid">
        <fgColor rgb="FFE2EFD9"/>
        <bgColor indexed="64"/>
      </patternFill>
    </fill>
  </fills>
  <borders count="90">
    <border>
      <left/>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style="thin">
        <color indexed="64"/>
      </left>
      <right style="thin">
        <color indexed="64"/>
      </right>
      <top style="thin">
        <color rgb="FF000000"/>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medium">
        <color indexed="64"/>
      </left>
      <right style="medium">
        <color indexed="64"/>
      </right>
      <top style="medium">
        <color indexed="64"/>
      </top>
      <bottom style="medium">
        <color indexed="64"/>
      </bottom>
      <diagonal/>
    </border>
    <border>
      <left/>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1" fillId="0" borderId="0"/>
    <xf numFmtId="166" fontId="10" fillId="0" borderId="0" applyBorder="0" applyProtection="0"/>
    <xf numFmtId="0" fontId="2" fillId="3" borderId="35" applyBorder="0">
      <alignment horizontal="left" vertical="top" wrapText="1"/>
    </xf>
  </cellStyleXfs>
  <cellXfs count="1909">
    <xf numFmtId="0" fontId="0" fillId="0" borderId="0" xfId="0"/>
    <xf numFmtId="3" fontId="2" fillId="4" borderId="26" xfId="0" applyNumberFormat="1" applyFont="1" applyFill="1" applyBorder="1" applyAlignment="1">
      <alignment horizontal="center" vertical="top" wrapText="1"/>
    </xf>
    <xf numFmtId="3" fontId="2" fillId="4" borderId="49" xfId="0" applyNumberFormat="1" applyFont="1" applyFill="1" applyBorder="1" applyAlignment="1">
      <alignment horizontal="center" vertical="top" wrapText="1"/>
    </xf>
    <xf numFmtId="3" fontId="2" fillId="0" borderId="16" xfId="0" applyNumberFormat="1" applyFont="1" applyFill="1" applyBorder="1" applyAlignment="1">
      <alignment horizontal="center" vertical="top" wrapText="1"/>
    </xf>
    <xf numFmtId="164" fontId="2" fillId="0" borderId="55" xfId="0" applyNumberFormat="1" applyFont="1" applyFill="1" applyBorder="1" applyAlignment="1">
      <alignment horizontal="center" vertical="top" wrapText="1"/>
    </xf>
    <xf numFmtId="3" fontId="2" fillId="4" borderId="16" xfId="0" applyNumberFormat="1" applyFont="1" applyFill="1" applyBorder="1" applyAlignment="1">
      <alignment horizontal="center" vertical="top" wrapText="1"/>
    </xf>
    <xf numFmtId="3" fontId="2" fillId="4" borderId="55" xfId="0" applyNumberFormat="1" applyFont="1" applyFill="1" applyBorder="1" applyAlignment="1">
      <alignment horizontal="center" vertical="top" wrapText="1"/>
    </xf>
    <xf numFmtId="3" fontId="3" fillId="5" borderId="41" xfId="0" applyNumberFormat="1" applyFont="1" applyFill="1" applyBorder="1" applyAlignment="1">
      <alignment horizontal="center" vertical="top" wrapText="1"/>
    </xf>
    <xf numFmtId="164" fontId="2" fillId="4" borderId="55" xfId="0" applyNumberFormat="1" applyFont="1" applyFill="1" applyBorder="1" applyAlignment="1">
      <alignment horizontal="center" vertical="top" wrapText="1"/>
    </xf>
    <xf numFmtId="3" fontId="2" fillId="4" borderId="52" xfId="0" applyNumberFormat="1" applyFont="1" applyFill="1" applyBorder="1" applyAlignment="1">
      <alignment vertical="top" wrapText="1"/>
    </xf>
    <xf numFmtId="164" fontId="2" fillId="0" borderId="0" xfId="0" applyNumberFormat="1" applyFont="1" applyFill="1" applyBorder="1" applyAlignment="1">
      <alignment horizontal="center" vertical="top" wrapText="1"/>
    </xf>
    <xf numFmtId="3" fontId="2" fillId="4" borderId="3" xfId="0" applyNumberFormat="1" applyFont="1" applyFill="1" applyBorder="1" applyAlignment="1">
      <alignment horizontal="center" vertical="top" wrapText="1"/>
    </xf>
    <xf numFmtId="3" fontId="2" fillId="4" borderId="38" xfId="0" applyNumberFormat="1" applyFont="1" applyFill="1" applyBorder="1" applyAlignment="1">
      <alignment horizontal="center" vertical="top" wrapText="1"/>
    </xf>
    <xf numFmtId="3" fontId="2" fillId="4" borderId="32" xfId="0" applyNumberFormat="1" applyFont="1" applyFill="1" applyBorder="1" applyAlignment="1">
      <alignment horizontal="center" vertical="top" wrapText="1"/>
    </xf>
    <xf numFmtId="3" fontId="2" fillId="4" borderId="0" xfId="0" applyNumberFormat="1" applyFont="1" applyFill="1" applyBorder="1" applyAlignment="1">
      <alignment vertical="top" wrapText="1"/>
    </xf>
    <xf numFmtId="3" fontId="2" fillId="0" borderId="0" xfId="0" applyNumberFormat="1" applyFont="1" applyAlignment="1">
      <alignment horizontal="center" vertical="top" wrapText="1"/>
    </xf>
    <xf numFmtId="3" fontId="6" fillId="0" borderId="0" xfId="0" applyNumberFormat="1" applyFont="1" applyBorder="1" applyAlignment="1">
      <alignment vertical="top" wrapText="1"/>
    </xf>
    <xf numFmtId="3" fontId="2" fillId="0" borderId="0" xfId="0" applyNumberFormat="1" applyFont="1" applyBorder="1" applyAlignment="1">
      <alignment vertical="top" wrapText="1"/>
    </xf>
    <xf numFmtId="3" fontId="2" fillId="0" borderId="0" xfId="0" applyNumberFormat="1" applyFont="1" applyFill="1" applyBorder="1" applyAlignment="1">
      <alignment horizontal="center" vertical="top" wrapText="1"/>
    </xf>
    <xf numFmtId="0" fontId="2" fillId="0" borderId="0" xfId="0" applyFont="1" applyBorder="1" applyAlignment="1">
      <alignment vertical="top" wrapText="1"/>
    </xf>
    <xf numFmtId="3" fontId="2" fillId="0" borderId="38" xfId="0" applyNumberFormat="1" applyFont="1" applyBorder="1" applyAlignment="1">
      <alignment horizontal="right" vertical="top" wrapText="1"/>
    </xf>
    <xf numFmtId="49" fontId="2" fillId="3" borderId="54" xfId="0" applyNumberFormat="1" applyFont="1" applyFill="1" applyBorder="1" applyAlignment="1">
      <alignment horizontal="center" vertical="top" wrapText="1"/>
    </xf>
    <xf numFmtId="49" fontId="2" fillId="3" borderId="30" xfId="0" applyNumberFormat="1" applyFont="1" applyFill="1" applyBorder="1" applyAlignment="1">
      <alignment horizontal="center" vertical="top" wrapText="1"/>
    </xf>
    <xf numFmtId="49" fontId="2" fillId="3" borderId="58" xfId="0" applyNumberFormat="1" applyFont="1" applyFill="1" applyBorder="1" applyAlignment="1">
      <alignment horizontal="center" vertical="top" wrapText="1"/>
    </xf>
    <xf numFmtId="3" fontId="2" fillId="4" borderId="13" xfId="0" quotePrefix="1" applyNumberFormat="1" applyFont="1" applyFill="1" applyBorder="1" applyAlignment="1">
      <alignment horizontal="center" vertical="top" wrapText="1"/>
    </xf>
    <xf numFmtId="3" fontId="2" fillId="4" borderId="19" xfId="0" quotePrefix="1" applyNumberFormat="1" applyFont="1" applyFill="1" applyBorder="1" applyAlignment="1">
      <alignment horizontal="center" vertical="top" wrapText="1"/>
    </xf>
    <xf numFmtId="49" fontId="2" fillId="3" borderId="13" xfId="0" applyNumberFormat="1" applyFont="1" applyFill="1" applyBorder="1" applyAlignment="1">
      <alignment horizontal="center" vertical="top" wrapText="1"/>
    </xf>
    <xf numFmtId="49" fontId="2" fillId="3" borderId="30" xfId="0" applyNumberFormat="1" applyFont="1" applyFill="1" applyBorder="1" applyAlignment="1">
      <alignment horizontal="center" vertical="top"/>
    </xf>
    <xf numFmtId="49" fontId="2" fillId="0" borderId="30" xfId="0" applyNumberFormat="1" applyFont="1" applyBorder="1" applyAlignment="1">
      <alignment horizontal="center" vertical="top" wrapText="1"/>
    </xf>
    <xf numFmtId="49" fontId="2" fillId="3" borderId="56" xfId="0" applyNumberFormat="1" applyFont="1" applyFill="1" applyBorder="1" applyAlignment="1">
      <alignment horizontal="center" vertical="top" wrapText="1"/>
    </xf>
    <xf numFmtId="49" fontId="2" fillId="0" borderId="0" xfId="0" applyNumberFormat="1" applyFont="1" applyAlignment="1">
      <alignment horizontal="center" vertical="top" wrapText="1"/>
    </xf>
    <xf numFmtId="49" fontId="2" fillId="3" borderId="31" xfId="0" applyNumberFormat="1" applyFont="1" applyFill="1" applyBorder="1" applyAlignment="1">
      <alignment horizontal="center" vertical="top" wrapText="1"/>
    </xf>
    <xf numFmtId="49" fontId="2" fillId="3" borderId="45"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xf>
    <xf numFmtId="49" fontId="2" fillId="0" borderId="0" xfId="0" applyNumberFormat="1" applyFont="1" applyBorder="1" applyAlignment="1">
      <alignment horizontal="center" vertical="top" wrapText="1"/>
    </xf>
    <xf numFmtId="49" fontId="2" fillId="3" borderId="44"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wrapText="1"/>
    </xf>
    <xf numFmtId="3" fontId="2" fillId="4" borderId="18" xfId="0" quotePrefix="1" applyNumberFormat="1" applyFont="1" applyFill="1" applyBorder="1" applyAlignment="1">
      <alignment horizontal="center" vertical="top" wrapText="1"/>
    </xf>
    <xf numFmtId="3" fontId="2" fillId="4" borderId="2" xfId="0" applyNumberFormat="1" applyFont="1" applyFill="1" applyBorder="1" applyAlignment="1">
      <alignment horizontal="center" vertical="top" wrapText="1"/>
    </xf>
    <xf numFmtId="3" fontId="3" fillId="5" borderId="47" xfId="0" applyNumberFormat="1" applyFont="1" applyFill="1" applyBorder="1" applyAlignment="1">
      <alignment horizontal="center" vertical="top" wrapText="1"/>
    </xf>
    <xf numFmtId="49" fontId="2" fillId="3" borderId="13" xfId="0" applyNumberFormat="1" applyFont="1" applyFill="1" applyBorder="1" applyAlignment="1">
      <alignment horizontal="center" vertical="top"/>
    </xf>
    <xf numFmtId="3" fontId="2" fillId="4" borderId="56" xfId="0" applyNumberFormat="1" applyFont="1" applyFill="1" applyBorder="1" applyAlignment="1">
      <alignment vertical="top" wrapText="1"/>
    </xf>
    <xf numFmtId="3" fontId="2" fillId="4" borderId="26" xfId="0" applyNumberFormat="1" applyFont="1" applyFill="1" applyBorder="1" applyAlignment="1">
      <alignment vertical="top" wrapText="1"/>
    </xf>
    <xf numFmtId="3" fontId="2" fillId="4" borderId="38" xfId="0" applyNumberFormat="1" applyFont="1" applyFill="1" applyBorder="1" applyAlignment="1">
      <alignment vertical="top" wrapText="1"/>
    </xf>
    <xf numFmtId="3" fontId="2" fillId="4" borderId="39" xfId="0" applyNumberFormat="1" applyFont="1" applyFill="1" applyBorder="1" applyAlignment="1">
      <alignment vertical="top" wrapText="1"/>
    </xf>
    <xf numFmtId="0" fontId="2" fillId="0" borderId="52" xfId="0" applyFont="1" applyFill="1" applyBorder="1" applyAlignment="1">
      <alignment horizontal="center" vertical="top" wrapText="1"/>
    </xf>
    <xf numFmtId="3" fontId="3" fillId="4" borderId="13" xfId="0" applyNumberFormat="1" applyFont="1" applyFill="1" applyBorder="1" applyAlignment="1">
      <alignment vertical="top" wrapText="1"/>
    </xf>
    <xf numFmtId="3" fontId="3" fillId="4" borderId="28" xfId="0" applyNumberFormat="1" applyFont="1" applyFill="1" applyBorder="1" applyAlignment="1">
      <alignment horizontal="left" vertical="top" wrapText="1"/>
    </xf>
    <xf numFmtId="3" fontId="2" fillId="4" borderId="50"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49" fontId="2" fillId="3" borderId="54" xfId="0" applyNumberFormat="1" applyFont="1" applyFill="1" applyBorder="1" applyAlignment="1">
      <alignment horizontal="center" vertical="top"/>
    </xf>
    <xf numFmtId="3" fontId="3" fillId="4" borderId="0" xfId="0" applyNumberFormat="1" applyFont="1" applyFill="1" applyBorder="1" applyAlignment="1">
      <alignment horizontal="center" vertical="top" wrapText="1"/>
    </xf>
    <xf numFmtId="3" fontId="2" fillId="0" borderId="17" xfId="0" applyNumberFormat="1" applyFont="1" applyFill="1" applyBorder="1" applyAlignment="1">
      <alignment horizontal="center" vertical="top" wrapText="1"/>
    </xf>
    <xf numFmtId="3" fontId="2" fillId="4" borderId="52" xfId="0" applyNumberFormat="1" applyFont="1" applyFill="1" applyBorder="1" applyAlignment="1">
      <alignment horizontal="center" vertical="top"/>
    </xf>
    <xf numFmtId="3" fontId="2" fillId="4" borderId="8" xfId="0" applyNumberFormat="1" applyFont="1" applyFill="1" applyBorder="1" applyAlignment="1">
      <alignment vertical="top" wrapText="1"/>
    </xf>
    <xf numFmtId="3" fontId="2" fillId="0" borderId="16" xfId="0" applyNumberFormat="1" applyFont="1" applyBorder="1" applyAlignment="1">
      <alignment horizontal="center" vertical="top"/>
    </xf>
    <xf numFmtId="164" fontId="3" fillId="5" borderId="41" xfId="0" applyNumberFormat="1" applyFont="1" applyFill="1" applyBorder="1" applyAlignment="1">
      <alignment horizontal="center" vertical="top"/>
    </xf>
    <xf numFmtId="0" fontId="3" fillId="5" borderId="41" xfId="0" applyFont="1" applyFill="1" applyBorder="1" applyAlignment="1">
      <alignment horizontal="center" vertical="top" wrapText="1"/>
    </xf>
    <xf numFmtId="49" fontId="2" fillId="3" borderId="58" xfId="0" applyNumberFormat="1" applyFont="1" applyFill="1" applyBorder="1" applyAlignment="1">
      <alignment horizontal="center" vertical="top"/>
    </xf>
    <xf numFmtId="49" fontId="2" fillId="3" borderId="28" xfId="0" applyNumberFormat="1" applyFont="1" applyFill="1" applyBorder="1" applyAlignment="1">
      <alignment horizontal="center" vertical="top" wrapText="1"/>
    </xf>
    <xf numFmtId="3" fontId="2" fillId="4" borderId="28" xfId="0" applyNumberFormat="1" applyFont="1" applyFill="1" applyBorder="1" applyAlignment="1">
      <alignment horizontal="left" vertical="top" wrapText="1"/>
    </xf>
    <xf numFmtId="3" fontId="2" fillId="0" borderId="10" xfId="0" applyNumberFormat="1" applyFont="1" applyFill="1" applyBorder="1" applyAlignment="1">
      <alignment vertical="top" wrapText="1"/>
    </xf>
    <xf numFmtId="3" fontId="2" fillId="4" borderId="46" xfId="0" applyNumberFormat="1" applyFont="1" applyFill="1" applyBorder="1" applyAlignment="1">
      <alignment horizontal="center" vertical="top" wrapText="1"/>
    </xf>
    <xf numFmtId="165" fontId="2" fillId="0" borderId="0" xfId="0" applyNumberFormat="1" applyFont="1" applyBorder="1" applyAlignment="1">
      <alignment horizontal="center" vertical="top" wrapText="1"/>
    </xf>
    <xf numFmtId="3" fontId="2" fillId="0" borderId="0" xfId="0" applyNumberFormat="1" applyFont="1" applyAlignment="1">
      <alignment vertical="top" wrapText="1"/>
    </xf>
    <xf numFmtId="165" fontId="3" fillId="4" borderId="0" xfId="0" applyNumberFormat="1" applyFont="1" applyFill="1" applyBorder="1" applyAlignment="1">
      <alignment horizontal="center" vertical="top" wrapText="1"/>
    </xf>
    <xf numFmtId="49" fontId="8" fillId="3" borderId="18" xfId="0" applyNumberFormat="1" applyFont="1" applyFill="1" applyBorder="1" applyAlignment="1">
      <alignment horizontal="center" vertical="top" wrapText="1"/>
    </xf>
    <xf numFmtId="3" fontId="8" fillId="0" borderId="0" xfId="0" applyNumberFormat="1" applyFont="1" applyBorder="1" applyAlignment="1">
      <alignment vertical="top" wrapText="1"/>
    </xf>
    <xf numFmtId="49" fontId="8" fillId="3" borderId="56" xfId="0" applyNumberFormat="1" applyFont="1" applyFill="1" applyBorder="1" applyAlignment="1">
      <alignment horizontal="center" vertical="top" wrapText="1"/>
    </xf>
    <xf numFmtId="3" fontId="11" fillId="4" borderId="56" xfId="0" applyNumberFormat="1" applyFont="1" applyFill="1" applyBorder="1" applyAlignment="1">
      <alignment vertical="top" wrapText="1"/>
    </xf>
    <xf numFmtId="49" fontId="11" fillId="3" borderId="51" xfId="0" applyNumberFormat="1" applyFont="1" applyFill="1" applyBorder="1" applyAlignment="1">
      <alignment horizontal="center" vertical="top" wrapText="1"/>
    </xf>
    <xf numFmtId="3" fontId="2" fillId="4" borderId="0" xfId="0" applyNumberFormat="1" applyFont="1" applyFill="1" applyBorder="1" applyAlignment="1">
      <alignment horizontal="center" vertical="top" wrapText="1"/>
    </xf>
    <xf numFmtId="49" fontId="2" fillId="4" borderId="26" xfId="2" applyNumberFormat="1" applyFont="1" applyFill="1" applyBorder="1" applyAlignment="1">
      <alignment horizontal="center" vertical="top"/>
    </xf>
    <xf numFmtId="3" fontId="3" fillId="5" borderId="26" xfId="0" applyNumberFormat="1" applyFont="1" applyFill="1" applyBorder="1" applyAlignment="1">
      <alignment horizontal="center" vertical="top" wrapText="1"/>
    </xf>
    <xf numFmtId="3" fontId="2" fillId="4" borderId="16" xfId="0" applyNumberFormat="1" applyFont="1" applyFill="1" applyBorder="1" applyAlignment="1">
      <alignment vertical="top" wrapText="1"/>
    </xf>
    <xf numFmtId="3" fontId="2" fillId="4" borderId="17" xfId="0" applyNumberFormat="1" applyFont="1" applyFill="1" applyBorder="1" applyAlignment="1">
      <alignment vertical="top" wrapText="1"/>
    </xf>
    <xf numFmtId="3" fontId="2" fillId="4" borderId="56" xfId="0" applyNumberFormat="1" applyFont="1" applyFill="1" applyBorder="1" applyAlignment="1">
      <alignment horizontal="left" vertical="top" wrapText="1"/>
    </xf>
    <xf numFmtId="3" fontId="2" fillId="3" borderId="42" xfId="0" applyNumberFormat="1" applyFont="1" applyFill="1" applyBorder="1" applyAlignment="1">
      <alignment horizontal="center" vertical="top" wrapText="1"/>
    </xf>
    <xf numFmtId="165" fontId="2" fillId="4" borderId="0" xfId="0" applyNumberFormat="1" applyFont="1" applyFill="1" applyBorder="1" applyAlignment="1">
      <alignment horizontal="left" vertical="top" wrapText="1"/>
    </xf>
    <xf numFmtId="3" fontId="8" fillId="4" borderId="49" xfId="0" applyNumberFormat="1" applyFont="1" applyFill="1" applyBorder="1" applyAlignment="1">
      <alignment horizontal="center" vertical="top" wrapText="1"/>
    </xf>
    <xf numFmtId="49" fontId="2" fillId="4" borderId="49" xfId="2" applyNumberFormat="1" applyFont="1" applyFill="1" applyBorder="1" applyAlignment="1">
      <alignment horizontal="center" vertical="top"/>
    </xf>
    <xf numFmtId="3" fontId="2" fillId="4" borderId="55" xfId="0" applyNumberFormat="1" applyFont="1" applyFill="1" applyBorder="1" applyAlignment="1">
      <alignment vertical="top" wrapText="1"/>
    </xf>
    <xf numFmtId="3" fontId="2" fillId="4" borderId="48" xfId="0" applyNumberFormat="1" applyFont="1" applyFill="1" applyBorder="1" applyAlignment="1">
      <alignment vertical="top" wrapText="1"/>
    </xf>
    <xf numFmtId="49" fontId="3" fillId="3" borderId="13" xfId="0" applyNumberFormat="1" applyFont="1" applyFill="1" applyBorder="1" applyAlignment="1">
      <alignment horizontal="center" vertical="top" wrapText="1"/>
    </xf>
    <xf numFmtId="3" fontId="2" fillId="4" borderId="52" xfId="0" applyNumberFormat="1" applyFont="1" applyFill="1" applyBorder="1" applyAlignment="1">
      <alignment horizontal="center" vertical="top" wrapText="1"/>
    </xf>
    <xf numFmtId="3" fontId="2" fillId="4" borderId="17" xfId="0" applyNumberFormat="1" applyFont="1" applyFill="1" applyBorder="1" applyAlignment="1">
      <alignment horizontal="center" vertical="top" wrapText="1"/>
    </xf>
    <xf numFmtId="3" fontId="2" fillId="0" borderId="38" xfId="0" applyNumberFormat="1" applyFont="1" applyBorder="1" applyAlignment="1">
      <alignment horizontal="center" vertical="center" textRotation="90" wrapText="1"/>
    </xf>
    <xf numFmtId="3" fontId="2" fillId="0" borderId="4" xfId="0" applyNumberFormat="1" applyFont="1" applyBorder="1" applyAlignment="1">
      <alignment horizontal="center" vertical="center" textRotation="90" wrapText="1"/>
    </xf>
    <xf numFmtId="3" fontId="2" fillId="4" borderId="51" xfId="0" applyNumberFormat="1" applyFont="1" applyFill="1" applyBorder="1" applyAlignment="1">
      <alignment horizontal="center" vertical="top" wrapText="1"/>
    </xf>
    <xf numFmtId="3" fontId="2" fillId="4" borderId="4" xfId="0" applyNumberFormat="1" applyFont="1" applyFill="1" applyBorder="1" applyAlignment="1">
      <alignment horizontal="center" vertical="top" wrapText="1"/>
    </xf>
    <xf numFmtId="3" fontId="2" fillId="4" borderId="56" xfId="0" applyNumberFormat="1" applyFont="1" applyFill="1" applyBorder="1" applyAlignment="1">
      <alignment horizontal="center" vertical="top" wrapText="1"/>
    </xf>
    <xf numFmtId="3" fontId="2" fillId="4" borderId="37"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 xfId="0" applyNumberFormat="1" applyFont="1" applyFill="1" applyBorder="1" applyAlignment="1">
      <alignment vertical="top" wrapText="1"/>
    </xf>
    <xf numFmtId="0" fontId="2" fillId="4" borderId="51" xfId="0" applyFont="1" applyFill="1" applyBorder="1" applyAlignment="1">
      <alignment horizontal="center" vertical="top" wrapText="1"/>
    </xf>
    <xf numFmtId="0" fontId="2" fillId="4" borderId="37" xfId="0" applyFont="1" applyFill="1" applyBorder="1" applyAlignment="1">
      <alignment horizontal="center" vertical="top" wrapText="1"/>
    </xf>
    <xf numFmtId="3" fontId="2" fillId="4" borderId="5" xfId="0" applyNumberFormat="1" applyFont="1" applyFill="1" applyBorder="1" applyAlignment="1">
      <alignment vertical="top" wrapText="1"/>
    </xf>
    <xf numFmtId="164" fontId="2" fillId="4" borderId="52" xfId="0" applyNumberFormat="1" applyFont="1" applyFill="1" applyBorder="1" applyAlignment="1">
      <alignment horizontal="center" vertical="top" wrapText="1"/>
    </xf>
    <xf numFmtId="164" fontId="2" fillId="4" borderId="25"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27" xfId="0" applyNumberFormat="1" applyFont="1" applyFill="1" applyBorder="1" applyAlignment="1">
      <alignment horizontal="center" vertical="top"/>
    </xf>
    <xf numFmtId="164" fontId="2" fillId="4" borderId="56" xfId="0" applyNumberFormat="1" applyFont="1" applyFill="1" applyBorder="1" applyAlignment="1">
      <alignment horizontal="center" vertical="top"/>
    </xf>
    <xf numFmtId="164" fontId="2" fillId="4" borderId="56" xfId="0" applyNumberFormat="1" applyFont="1" applyFill="1" applyBorder="1" applyAlignment="1">
      <alignment horizontal="center" vertical="top" wrapText="1"/>
    </xf>
    <xf numFmtId="164" fontId="2" fillId="4" borderId="51" xfId="0" applyNumberFormat="1" applyFont="1" applyFill="1" applyBorder="1" applyAlignment="1">
      <alignment horizontal="center" vertical="top"/>
    </xf>
    <xf numFmtId="164" fontId="2" fillId="4" borderId="32" xfId="0" applyNumberFormat="1" applyFont="1" applyFill="1" applyBorder="1" applyAlignment="1">
      <alignment horizontal="center" vertical="top" wrapText="1"/>
    </xf>
    <xf numFmtId="164" fontId="3" fillId="5" borderId="39" xfId="0" applyNumberFormat="1" applyFont="1" applyFill="1" applyBorder="1" applyAlignment="1">
      <alignment horizontal="center" vertical="top" wrapText="1"/>
    </xf>
    <xf numFmtId="164" fontId="2" fillId="0" borderId="56" xfId="0" applyNumberFormat="1" applyFont="1" applyFill="1" applyBorder="1" applyAlignment="1">
      <alignment horizontal="center" vertical="top" wrapText="1"/>
    </xf>
    <xf numFmtId="164" fontId="3" fillId="5" borderId="4" xfId="0" applyNumberFormat="1" applyFont="1" applyFill="1" applyBorder="1" applyAlignment="1">
      <alignment horizontal="center" vertical="top" wrapText="1"/>
    </xf>
    <xf numFmtId="164" fontId="3" fillId="5" borderId="39" xfId="0" applyNumberFormat="1" applyFont="1" applyFill="1" applyBorder="1" applyAlignment="1">
      <alignment horizontal="center" vertical="top"/>
    </xf>
    <xf numFmtId="164" fontId="2" fillId="4" borderId="3" xfId="0" applyNumberFormat="1" applyFont="1" applyFill="1" applyBorder="1" applyAlignment="1">
      <alignment horizontal="center" vertical="top" wrapText="1"/>
    </xf>
    <xf numFmtId="164" fontId="3" fillId="5" borderId="43" xfId="0" applyNumberFormat="1" applyFont="1" applyFill="1" applyBorder="1" applyAlignment="1">
      <alignment horizontal="center" vertical="top" wrapText="1"/>
    </xf>
    <xf numFmtId="164" fontId="3" fillId="5" borderId="4" xfId="0" applyNumberFormat="1" applyFont="1" applyFill="1" applyBorder="1" applyAlignment="1">
      <alignment horizontal="center" vertical="top"/>
    </xf>
    <xf numFmtId="164" fontId="2" fillId="5" borderId="55" xfId="0" applyNumberFormat="1" applyFont="1" applyFill="1" applyBorder="1" applyAlignment="1">
      <alignment horizontal="center" vertical="top" wrapText="1"/>
    </xf>
    <xf numFmtId="164" fontId="2" fillId="0" borderId="53" xfId="0" applyNumberFormat="1" applyFont="1" applyBorder="1" applyAlignment="1">
      <alignment horizontal="center" vertical="top" wrapText="1"/>
    </xf>
    <xf numFmtId="164" fontId="2" fillId="0" borderId="55" xfId="0" applyNumberFormat="1" applyFont="1" applyBorder="1" applyAlignment="1">
      <alignment horizontal="center" vertical="top" wrapText="1"/>
    </xf>
    <xf numFmtId="164" fontId="2" fillId="0" borderId="25" xfId="0" applyNumberFormat="1" applyFont="1" applyFill="1" applyBorder="1" applyAlignment="1">
      <alignment horizontal="center" vertical="top" wrapText="1"/>
    </xf>
    <xf numFmtId="164" fontId="2" fillId="5" borderId="25" xfId="0" applyNumberFormat="1" applyFont="1" applyFill="1" applyBorder="1" applyAlignment="1">
      <alignment horizontal="center" vertical="top" wrapText="1"/>
    </xf>
    <xf numFmtId="164" fontId="2" fillId="0" borderId="15" xfId="0" applyNumberFormat="1" applyFont="1" applyBorder="1" applyAlignment="1">
      <alignment horizontal="center" vertical="top" wrapText="1"/>
    </xf>
    <xf numFmtId="164" fontId="2" fillId="5" borderId="56" xfId="0" applyNumberFormat="1" applyFont="1" applyFill="1" applyBorder="1" applyAlignment="1">
      <alignment horizontal="center" vertical="top" wrapText="1"/>
    </xf>
    <xf numFmtId="164" fontId="2" fillId="0" borderId="37"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3" fontId="2" fillId="0" borderId="13" xfId="0" applyNumberFormat="1" applyFont="1" applyBorder="1" applyAlignment="1">
      <alignment horizontal="center" vertical="top" wrapText="1"/>
    </xf>
    <xf numFmtId="167" fontId="2" fillId="9" borderId="27" xfId="2" applyNumberFormat="1" applyFont="1" applyFill="1" applyBorder="1" applyAlignment="1">
      <alignment horizontal="center" vertical="top"/>
    </xf>
    <xf numFmtId="3" fontId="2" fillId="4" borderId="28" xfId="0" applyNumberFormat="1" applyFont="1" applyFill="1" applyBorder="1" applyAlignment="1">
      <alignment horizontal="center" vertical="top" wrapText="1"/>
    </xf>
    <xf numFmtId="3" fontId="2" fillId="4" borderId="6" xfId="0" applyNumberFormat="1" applyFont="1" applyFill="1" applyBorder="1" applyAlignment="1">
      <alignment vertical="top" wrapText="1"/>
    </xf>
    <xf numFmtId="3" fontId="2" fillId="4" borderId="66" xfId="0" applyNumberFormat="1" applyFont="1" applyFill="1" applyBorder="1" applyAlignment="1">
      <alignment horizontal="center" vertical="top" wrapText="1"/>
    </xf>
    <xf numFmtId="3" fontId="2" fillId="0" borderId="52" xfId="0" applyNumberFormat="1" applyFont="1" applyBorder="1" applyAlignment="1">
      <alignment horizontal="center" vertical="top" wrapText="1"/>
    </xf>
    <xf numFmtId="164" fontId="2" fillId="0" borderId="51" xfId="0" applyNumberFormat="1" applyFont="1" applyBorder="1" applyAlignment="1">
      <alignment horizontal="center" vertical="top" wrapText="1"/>
    </xf>
    <xf numFmtId="49" fontId="11" fillId="3" borderId="18" xfId="0" applyNumberFormat="1" applyFont="1" applyFill="1" applyBorder="1" applyAlignment="1">
      <alignment horizontal="center" vertical="top" wrapText="1"/>
    </xf>
    <xf numFmtId="49" fontId="2" fillId="3" borderId="18" xfId="0" applyNumberFormat="1" applyFont="1" applyFill="1" applyBorder="1" applyAlignment="1">
      <alignment vertical="top" wrapText="1"/>
    </xf>
    <xf numFmtId="3" fontId="13" fillId="0" borderId="0" xfId="0" applyNumberFormat="1" applyFont="1" applyFill="1" applyBorder="1" applyAlignment="1">
      <alignment horizontal="center" vertical="top" textRotation="90" wrapText="1"/>
    </xf>
    <xf numFmtId="49" fontId="2" fillId="3" borderId="72" xfId="0" applyNumberFormat="1" applyFont="1" applyFill="1" applyBorder="1" applyAlignment="1">
      <alignment horizontal="center" vertical="top" wrapText="1"/>
    </xf>
    <xf numFmtId="164" fontId="2" fillId="4" borderId="27" xfId="0" applyNumberFormat="1" applyFont="1" applyFill="1" applyBorder="1" applyAlignment="1">
      <alignment horizontal="center" vertical="top" wrapText="1"/>
    </xf>
    <xf numFmtId="3" fontId="2" fillId="4" borderId="48" xfId="0" applyNumberFormat="1" applyFont="1" applyFill="1" applyBorder="1" applyAlignment="1">
      <alignment horizontal="center" vertical="top" wrapText="1"/>
    </xf>
    <xf numFmtId="4" fontId="2" fillId="4" borderId="56" xfId="0" applyNumberFormat="1" applyFont="1" applyFill="1" applyBorder="1" applyAlignment="1">
      <alignment horizontal="center" vertical="top" wrapText="1"/>
    </xf>
    <xf numFmtId="3" fontId="2" fillId="4" borderId="62" xfId="0" applyNumberFormat="1" applyFont="1" applyFill="1" applyBorder="1" applyAlignment="1">
      <alignment horizontal="center" vertical="top" wrapText="1"/>
    </xf>
    <xf numFmtId="164" fontId="2" fillId="4" borderId="26" xfId="0" applyNumberFormat="1" applyFont="1" applyFill="1" applyBorder="1" applyAlignment="1">
      <alignment horizontal="center" vertical="top" wrapText="1"/>
    </xf>
    <xf numFmtId="3" fontId="2" fillId="4" borderId="50" xfId="0" applyNumberFormat="1" applyFont="1" applyFill="1" applyBorder="1" applyAlignment="1">
      <alignment vertical="top" wrapText="1"/>
    </xf>
    <xf numFmtId="3" fontId="13" fillId="4" borderId="0" xfId="0" applyNumberFormat="1" applyFont="1" applyFill="1" applyBorder="1" applyAlignment="1">
      <alignment horizontal="center" vertical="top" wrapText="1"/>
    </xf>
    <xf numFmtId="3" fontId="13" fillId="4" borderId="0" xfId="0" applyNumberFormat="1" applyFont="1" applyFill="1" applyBorder="1" applyAlignment="1">
      <alignment horizontal="center" vertical="center" wrapText="1"/>
    </xf>
    <xf numFmtId="3" fontId="13" fillId="4" borderId="0" xfId="0" applyNumberFormat="1" applyFont="1" applyFill="1" applyBorder="1" applyAlignment="1">
      <alignment horizontal="center" vertical="top" textRotation="180" wrapText="1"/>
    </xf>
    <xf numFmtId="164" fontId="2" fillId="4" borderId="28" xfId="0" applyNumberFormat="1" applyFont="1" applyFill="1" applyBorder="1" applyAlignment="1">
      <alignment horizontal="center" vertical="top" wrapText="1"/>
    </xf>
    <xf numFmtId="164" fontId="2" fillId="4" borderId="61" xfId="0" applyNumberFormat="1" applyFont="1" applyFill="1" applyBorder="1" applyAlignment="1">
      <alignment horizontal="center" vertical="top" wrapText="1"/>
    </xf>
    <xf numFmtId="3" fontId="13" fillId="4" borderId="3" xfId="0" applyNumberFormat="1" applyFont="1" applyFill="1" applyBorder="1" applyAlignment="1">
      <alignment horizontal="center" vertical="top" wrapText="1"/>
    </xf>
    <xf numFmtId="3" fontId="13" fillId="4" borderId="0" xfId="0" applyNumberFormat="1" applyFont="1" applyFill="1" applyBorder="1" applyAlignment="1">
      <alignment horizontal="center" vertical="top" textRotation="90" wrapText="1"/>
    </xf>
    <xf numFmtId="3" fontId="2" fillId="4" borderId="71" xfId="0" applyNumberFormat="1" applyFont="1" applyFill="1" applyBorder="1" applyAlignment="1">
      <alignment horizontal="center" vertical="top" wrapText="1"/>
    </xf>
    <xf numFmtId="4" fontId="2" fillId="4" borderId="66" xfId="0" applyNumberFormat="1" applyFont="1" applyFill="1" applyBorder="1" applyAlignment="1">
      <alignment horizontal="center" vertical="top" wrapText="1"/>
    </xf>
    <xf numFmtId="3" fontId="2" fillId="4" borderId="10" xfId="0" applyNumberFormat="1" applyFont="1" applyFill="1" applyBorder="1" applyAlignment="1">
      <alignment vertical="top" wrapText="1"/>
    </xf>
    <xf numFmtId="49" fontId="2" fillId="4" borderId="52" xfId="2" applyNumberFormat="1" applyFont="1" applyFill="1" applyBorder="1" applyAlignment="1">
      <alignment horizontal="center" vertical="top"/>
    </xf>
    <xf numFmtId="3" fontId="13" fillId="4" borderId="29" xfId="0" applyNumberFormat="1" applyFont="1" applyFill="1" applyBorder="1" applyAlignment="1">
      <alignment vertical="top" wrapText="1"/>
    </xf>
    <xf numFmtId="0" fontId="2" fillId="4" borderId="56" xfId="0" applyFont="1" applyFill="1" applyBorder="1" applyAlignment="1">
      <alignment horizontal="left" vertical="top" wrapText="1"/>
    </xf>
    <xf numFmtId="164" fontId="2" fillId="0" borderId="13"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49" fontId="2" fillId="0" borderId="0" xfId="0" applyNumberFormat="1" applyFont="1" applyAlignment="1">
      <alignment vertical="top" wrapText="1"/>
    </xf>
    <xf numFmtId="3" fontId="12" fillId="0" borderId="0" xfId="0" applyNumberFormat="1" applyFont="1" applyAlignment="1">
      <alignment horizontal="center" vertical="top" wrapText="1"/>
    </xf>
    <xf numFmtId="3" fontId="12" fillId="0" borderId="38" xfId="0" applyNumberFormat="1" applyFont="1" applyBorder="1" applyAlignment="1">
      <alignment horizontal="right" wrapText="1"/>
    </xf>
    <xf numFmtId="49" fontId="3" fillId="8" borderId="17" xfId="0" applyNumberFormat="1" applyFont="1" applyFill="1" applyBorder="1" applyAlignment="1">
      <alignment vertical="top" wrapText="1"/>
    </xf>
    <xf numFmtId="49" fontId="3" fillId="8" borderId="41" xfId="0" applyNumberFormat="1" applyFont="1" applyFill="1" applyBorder="1" applyAlignment="1">
      <alignment horizontal="center" vertical="top" wrapText="1"/>
    </xf>
    <xf numFmtId="49" fontId="3" fillId="2" borderId="40" xfId="0" applyNumberFormat="1" applyFont="1" applyFill="1" applyBorder="1" applyAlignment="1">
      <alignment horizontal="center" vertical="top" wrapText="1"/>
    </xf>
    <xf numFmtId="49" fontId="3" fillId="8" borderId="16" xfId="0" applyNumberFormat="1" applyFont="1" applyFill="1" applyBorder="1" applyAlignment="1">
      <alignment vertical="top" wrapText="1"/>
    </xf>
    <xf numFmtId="49" fontId="3" fillId="2" borderId="13" xfId="0" applyNumberFormat="1" applyFont="1" applyFill="1" applyBorder="1" applyAlignment="1">
      <alignment vertical="top" wrapText="1"/>
    </xf>
    <xf numFmtId="49" fontId="3" fillId="3" borderId="54" xfId="0" applyNumberFormat="1" applyFont="1" applyFill="1" applyBorder="1" applyAlignment="1">
      <alignment horizontal="center" vertical="top" wrapText="1"/>
    </xf>
    <xf numFmtId="3" fontId="13" fillId="4" borderId="54" xfId="0" applyNumberFormat="1" applyFont="1" applyFill="1" applyBorder="1" applyAlignment="1">
      <alignment vertical="top" wrapText="1"/>
    </xf>
    <xf numFmtId="49" fontId="3" fillId="2" borderId="18" xfId="0" applyNumberFormat="1" applyFont="1" applyFill="1" applyBorder="1" applyAlignment="1">
      <alignment horizontal="center" vertical="top" wrapText="1"/>
    </xf>
    <xf numFmtId="49" fontId="3" fillId="3" borderId="30" xfId="0" applyNumberFormat="1" applyFont="1" applyFill="1" applyBorder="1" applyAlignment="1">
      <alignment vertical="top" wrapText="1"/>
    </xf>
    <xf numFmtId="3" fontId="13" fillId="4" borderId="26" xfId="0" applyNumberFormat="1" applyFont="1" applyFill="1" applyBorder="1" applyAlignment="1">
      <alignment horizontal="center" vertical="top" wrapText="1"/>
    </xf>
    <xf numFmtId="49" fontId="3" fillId="2" borderId="18" xfId="0" applyNumberFormat="1" applyFont="1" applyFill="1" applyBorder="1" applyAlignment="1">
      <alignment vertical="top" wrapText="1"/>
    </xf>
    <xf numFmtId="3" fontId="13" fillId="4" borderId="49" xfId="0" applyNumberFormat="1" applyFont="1" applyFill="1" applyBorder="1" applyAlignment="1">
      <alignment horizontal="center" vertical="top" wrapText="1"/>
    </xf>
    <xf numFmtId="49" fontId="3" fillId="8" borderId="36" xfId="0" applyNumberFormat="1" applyFont="1" applyFill="1" applyBorder="1" applyAlignment="1">
      <alignment horizontal="center" vertical="top" wrapText="1"/>
    </xf>
    <xf numFmtId="49" fontId="3" fillId="3" borderId="0" xfId="0" applyNumberFormat="1" applyFont="1" applyFill="1" applyBorder="1" applyAlignment="1">
      <alignment horizontal="center" vertical="top" wrapText="1"/>
    </xf>
    <xf numFmtId="49" fontId="3" fillId="3" borderId="30"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wrapText="1"/>
    </xf>
    <xf numFmtId="3" fontId="8" fillId="4" borderId="37" xfId="0" applyNumberFormat="1" applyFont="1" applyFill="1" applyBorder="1" applyAlignment="1">
      <alignment horizontal="left" vertical="top" wrapText="1"/>
    </xf>
    <xf numFmtId="3" fontId="2" fillId="0" borderId="0" xfId="0" applyNumberFormat="1" applyFont="1" applyAlignment="1">
      <alignment wrapText="1"/>
    </xf>
    <xf numFmtId="49" fontId="3" fillId="8" borderId="36" xfId="0" applyNumberFormat="1" applyFont="1" applyFill="1" applyBorder="1" applyAlignment="1">
      <alignment vertical="top" wrapText="1"/>
    </xf>
    <xf numFmtId="3" fontId="13" fillId="4" borderId="54" xfId="0" applyNumberFormat="1" applyFont="1" applyFill="1" applyBorder="1" applyAlignment="1">
      <alignment horizontal="center" vertical="top" wrapText="1"/>
    </xf>
    <xf numFmtId="49" fontId="3" fillId="3" borderId="18" xfId="0" applyNumberFormat="1" applyFont="1" applyFill="1" applyBorder="1" applyAlignment="1">
      <alignment vertical="top" wrapText="1"/>
    </xf>
    <xf numFmtId="3" fontId="13" fillId="4" borderId="58" xfId="0" applyNumberFormat="1" applyFont="1" applyFill="1" applyBorder="1" applyAlignment="1">
      <alignment horizontal="center" vertical="top" wrapText="1"/>
    </xf>
    <xf numFmtId="164" fontId="2" fillId="4" borderId="50" xfId="0" applyNumberFormat="1" applyFont="1" applyFill="1" applyBorder="1" applyAlignment="1">
      <alignment horizontal="center" vertical="top" wrapText="1"/>
    </xf>
    <xf numFmtId="3" fontId="2" fillId="0" borderId="16" xfId="0" applyNumberFormat="1" applyFont="1" applyBorder="1" applyAlignment="1">
      <alignment horizontal="center" vertical="top" wrapText="1"/>
    </xf>
    <xf numFmtId="49" fontId="3" fillId="8" borderId="48" xfId="0" applyNumberFormat="1" applyFont="1" applyFill="1" applyBorder="1" applyAlignment="1">
      <alignment vertical="top" wrapText="1"/>
    </xf>
    <xf numFmtId="49" fontId="3" fillId="2" borderId="19" xfId="0" applyNumberFormat="1" applyFont="1" applyFill="1" applyBorder="1" applyAlignment="1">
      <alignment vertical="top" wrapText="1"/>
    </xf>
    <xf numFmtId="49" fontId="3" fillId="3" borderId="58" xfId="0" applyNumberFormat="1" applyFont="1" applyFill="1" applyBorder="1" applyAlignment="1">
      <alignment vertical="top" wrapText="1"/>
    </xf>
    <xf numFmtId="49" fontId="3" fillId="8" borderId="16"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wrapText="1"/>
    </xf>
    <xf numFmtId="3" fontId="2" fillId="4" borderId="3" xfId="0" applyNumberFormat="1" applyFont="1" applyFill="1" applyBorder="1" applyAlignment="1">
      <alignment vertical="top" wrapText="1"/>
    </xf>
    <xf numFmtId="3" fontId="2" fillId="4" borderId="32" xfId="0" applyNumberFormat="1" applyFont="1" applyFill="1" applyBorder="1" applyAlignment="1">
      <alignment vertical="top" wrapText="1"/>
    </xf>
    <xf numFmtId="49" fontId="3" fillId="8" borderId="48" xfId="0" applyNumberFormat="1" applyFont="1" applyFill="1" applyBorder="1" applyAlignment="1">
      <alignment horizontal="center" vertical="top" wrapText="1"/>
    </xf>
    <xf numFmtId="49" fontId="3" fillId="2" borderId="19" xfId="0" applyNumberFormat="1" applyFont="1" applyFill="1" applyBorder="1" applyAlignment="1">
      <alignment horizontal="center" vertical="top" wrapText="1"/>
    </xf>
    <xf numFmtId="49" fontId="3" fillId="3" borderId="58" xfId="0" applyNumberFormat="1" applyFont="1" applyFill="1" applyBorder="1" applyAlignment="1">
      <alignment horizontal="center" vertical="top" wrapText="1"/>
    </xf>
    <xf numFmtId="3" fontId="3" fillId="5" borderId="39" xfId="0" applyNumberFormat="1" applyFont="1" applyFill="1" applyBorder="1" applyAlignment="1">
      <alignment horizontal="center" vertical="top" wrapText="1"/>
    </xf>
    <xf numFmtId="3" fontId="2" fillId="0" borderId="13"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49" fontId="3" fillId="8" borderId="12" xfId="0" applyNumberFormat="1"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164" fontId="3" fillId="2" borderId="12" xfId="0" applyNumberFormat="1" applyFont="1" applyFill="1" applyBorder="1" applyAlignment="1">
      <alignment horizontal="center" vertical="top" wrapText="1"/>
    </xf>
    <xf numFmtId="164" fontId="3" fillId="2" borderId="11" xfId="0" applyNumberFormat="1" applyFont="1" applyFill="1" applyBorder="1" applyAlignment="1">
      <alignment horizontal="center" vertical="top" wrapText="1"/>
    </xf>
    <xf numFmtId="164" fontId="3" fillId="2" borderId="60" xfId="0" applyNumberFormat="1" applyFont="1" applyFill="1" applyBorder="1" applyAlignment="1">
      <alignment horizontal="center" vertical="top" wrapText="1"/>
    </xf>
    <xf numFmtId="164" fontId="3" fillId="8" borderId="12" xfId="0" applyNumberFormat="1" applyFont="1" applyFill="1" applyBorder="1" applyAlignment="1">
      <alignment horizontal="center" vertical="top" wrapText="1"/>
    </xf>
    <xf numFmtId="164" fontId="3" fillId="8" borderId="11" xfId="0" applyNumberFormat="1" applyFont="1" applyFill="1" applyBorder="1" applyAlignment="1">
      <alignment horizontal="center" vertical="top" wrapText="1"/>
    </xf>
    <xf numFmtId="164" fontId="3" fillId="8" borderId="60"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49" fontId="3" fillId="2" borderId="14" xfId="0" applyNumberFormat="1" applyFont="1" applyFill="1" applyBorder="1" applyAlignment="1">
      <alignment horizontal="center" vertical="top" wrapText="1"/>
    </xf>
    <xf numFmtId="3" fontId="2" fillId="0" borderId="0" xfId="0" applyNumberFormat="1" applyFont="1" applyBorder="1" applyAlignment="1">
      <alignment vertical="top"/>
    </xf>
    <xf numFmtId="49" fontId="11" fillId="8" borderId="17" xfId="0" applyNumberFormat="1" applyFont="1" applyFill="1" applyBorder="1" applyAlignment="1">
      <alignment horizontal="center" vertical="top" wrapText="1"/>
    </xf>
    <xf numFmtId="49" fontId="11" fillId="2" borderId="18" xfId="0" applyNumberFormat="1" applyFont="1" applyFill="1" applyBorder="1" applyAlignment="1">
      <alignment horizontal="center" vertical="top" wrapText="1"/>
    </xf>
    <xf numFmtId="49" fontId="11" fillId="3" borderId="30" xfId="0" applyNumberFormat="1" applyFont="1" applyFill="1" applyBorder="1" applyAlignment="1">
      <alignment horizontal="center" vertical="top" wrapText="1"/>
    </xf>
    <xf numFmtId="3" fontId="14" fillId="4" borderId="0" xfId="0" applyNumberFormat="1" applyFont="1" applyFill="1" applyBorder="1" applyAlignment="1">
      <alignment horizontal="center" vertical="top" wrapText="1"/>
    </xf>
    <xf numFmtId="49" fontId="3" fillId="4" borderId="30" xfId="0" applyNumberFormat="1" applyFont="1" applyFill="1" applyBorder="1" applyAlignment="1">
      <alignment horizontal="center" vertical="top" wrapText="1"/>
    </xf>
    <xf numFmtId="49" fontId="3" fillId="3" borderId="19" xfId="0" applyNumberFormat="1" applyFont="1" applyFill="1" applyBorder="1" applyAlignment="1">
      <alignment horizontal="center" vertical="top" wrapText="1"/>
    </xf>
    <xf numFmtId="49" fontId="3" fillId="0" borderId="30" xfId="0" applyNumberFormat="1" applyFont="1" applyBorder="1" applyAlignment="1">
      <alignment horizontal="center" vertical="top" wrapText="1"/>
    </xf>
    <xf numFmtId="49" fontId="3" fillId="0" borderId="18" xfId="0" applyNumberFormat="1" applyFont="1" applyBorder="1" applyAlignment="1">
      <alignment horizontal="center" vertical="top" wrapText="1"/>
    </xf>
    <xf numFmtId="0" fontId="2" fillId="4" borderId="52" xfId="0" applyFont="1" applyFill="1" applyBorder="1" applyAlignment="1">
      <alignment horizontal="center" vertical="top" wrapText="1"/>
    </xf>
    <xf numFmtId="3" fontId="2" fillId="4" borderId="29" xfId="0" applyNumberFormat="1" applyFont="1" applyFill="1" applyBorder="1" applyAlignment="1">
      <alignment horizontal="center" vertical="top"/>
    </xf>
    <xf numFmtId="49" fontId="3" fillId="2" borderId="18" xfId="0" applyNumberFormat="1" applyFont="1" applyFill="1" applyBorder="1" applyAlignment="1">
      <alignment horizontal="center" vertical="top"/>
    </xf>
    <xf numFmtId="3" fontId="3" fillId="2" borderId="12" xfId="0" applyNumberFormat="1" applyFont="1" applyFill="1" applyBorder="1" applyAlignment="1">
      <alignment horizontal="center" vertical="top" wrapText="1"/>
    </xf>
    <xf numFmtId="49" fontId="3" fillId="3" borderId="13" xfId="0" applyNumberFormat="1" applyFont="1" applyFill="1" applyBorder="1" applyAlignment="1">
      <alignment vertical="top" wrapText="1"/>
    </xf>
    <xf numFmtId="49" fontId="3" fillId="3" borderId="30" xfId="0" applyNumberFormat="1" applyFont="1" applyFill="1" applyBorder="1" applyAlignment="1">
      <alignment vertical="top"/>
    </xf>
    <xf numFmtId="49" fontId="3" fillId="2" borderId="13" xfId="0" applyNumberFormat="1" applyFont="1" applyFill="1" applyBorder="1" applyAlignment="1">
      <alignment horizontal="center" vertical="top"/>
    </xf>
    <xf numFmtId="49" fontId="3" fillId="3" borderId="54" xfId="0" applyNumberFormat="1" applyFont="1" applyFill="1" applyBorder="1" applyAlignment="1">
      <alignment vertical="top"/>
    </xf>
    <xf numFmtId="3" fontId="13" fillId="4" borderId="34" xfId="0" applyNumberFormat="1" applyFont="1" applyFill="1" applyBorder="1" applyAlignment="1">
      <alignment horizontal="center" vertical="top" wrapText="1"/>
    </xf>
    <xf numFmtId="3" fontId="2" fillId="4" borderId="53" xfId="0" applyNumberFormat="1" applyFont="1" applyFill="1" applyBorder="1" applyAlignment="1">
      <alignment horizontal="center" vertical="top" wrapText="1"/>
    </xf>
    <xf numFmtId="3" fontId="13" fillId="4" borderId="7" xfId="0" applyNumberFormat="1" applyFont="1" applyFill="1" applyBorder="1" applyAlignment="1">
      <alignment horizontal="center" vertical="top" wrapText="1"/>
    </xf>
    <xf numFmtId="49" fontId="3" fillId="2" borderId="19" xfId="0" applyNumberFormat="1" applyFont="1" applyFill="1" applyBorder="1" applyAlignment="1">
      <alignment horizontal="center" vertical="top"/>
    </xf>
    <xf numFmtId="49" fontId="3" fillId="3" borderId="58" xfId="0" applyNumberFormat="1" applyFont="1" applyFill="1" applyBorder="1" applyAlignment="1">
      <alignment vertical="top"/>
    </xf>
    <xf numFmtId="3" fontId="13" fillId="4" borderId="59" xfId="0" applyNumberFormat="1" applyFont="1" applyFill="1" applyBorder="1" applyAlignment="1">
      <alignment horizontal="center" vertical="top" wrapText="1"/>
    </xf>
    <xf numFmtId="164" fontId="3" fillId="2" borderId="48" xfId="0" applyNumberFormat="1" applyFont="1" applyFill="1" applyBorder="1" applyAlignment="1">
      <alignment horizontal="center" vertical="top" wrapText="1"/>
    </xf>
    <xf numFmtId="164" fontId="3" fillId="2" borderId="19" xfId="0" applyNumberFormat="1" applyFont="1" applyFill="1" applyBorder="1" applyAlignment="1">
      <alignment horizontal="center" vertical="top" wrapText="1"/>
    </xf>
    <xf numFmtId="3" fontId="3" fillId="2" borderId="48" xfId="0" applyNumberFormat="1" applyFont="1" applyFill="1" applyBorder="1" applyAlignment="1">
      <alignment horizontal="center" vertical="top" wrapText="1"/>
    </xf>
    <xf numFmtId="3" fontId="3" fillId="2" borderId="38" xfId="0" applyNumberFormat="1" applyFont="1" applyFill="1" applyBorder="1" applyAlignment="1">
      <alignment horizontal="center" vertical="top" wrapText="1"/>
    </xf>
    <xf numFmtId="49" fontId="3" fillId="2" borderId="11" xfId="0" applyNumberFormat="1" applyFont="1" applyFill="1" applyBorder="1" applyAlignment="1">
      <alignment horizontal="left" vertical="top" wrapText="1"/>
    </xf>
    <xf numFmtId="49" fontId="3" fillId="3" borderId="18" xfId="0" applyNumberFormat="1" applyFont="1" applyFill="1" applyBorder="1" applyAlignment="1">
      <alignment horizontal="center" vertical="top" wrapText="1"/>
    </xf>
    <xf numFmtId="3" fontId="2" fillId="0" borderId="0" xfId="0" applyNumberFormat="1" applyFont="1" applyFill="1" applyBorder="1" applyAlignment="1">
      <alignment vertical="top" wrapText="1"/>
    </xf>
    <xf numFmtId="3" fontId="13" fillId="4" borderId="18" xfId="0" applyNumberFormat="1" applyFont="1" applyFill="1" applyBorder="1" applyAlignment="1">
      <alignment horizontal="center" vertical="center" textRotation="90" wrapText="1"/>
    </xf>
    <xf numFmtId="49" fontId="3" fillId="3" borderId="19" xfId="0" applyNumberFormat="1" applyFont="1" applyFill="1" applyBorder="1" applyAlignment="1">
      <alignment vertical="top"/>
    </xf>
    <xf numFmtId="49" fontId="3" fillId="3" borderId="19" xfId="0" applyNumberFormat="1" applyFont="1" applyFill="1" applyBorder="1" applyAlignment="1">
      <alignment vertical="top" wrapText="1"/>
    </xf>
    <xf numFmtId="3" fontId="13" fillId="0" borderId="3" xfId="0" applyNumberFormat="1" applyFont="1" applyFill="1" applyBorder="1" applyAlignment="1">
      <alignment horizontal="center" vertical="top" textRotation="90" wrapText="1"/>
    </xf>
    <xf numFmtId="3" fontId="13" fillId="0" borderId="0" xfId="0" applyNumberFormat="1" applyFont="1" applyFill="1" applyBorder="1" applyAlignment="1">
      <alignment horizontal="center" vertical="top" textRotation="180" wrapText="1"/>
    </xf>
    <xf numFmtId="49" fontId="3" fillId="3" borderId="54" xfId="0" applyNumberFormat="1" applyFont="1" applyFill="1" applyBorder="1" applyAlignment="1">
      <alignment vertical="top" wrapText="1"/>
    </xf>
    <xf numFmtId="49" fontId="3" fillId="8" borderId="1" xfId="0" applyNumberFormat="1" applyFont="1" applyFill="1" applyBorder="1" applyAlignment="1">
      <alignment horizontal="center" vertical="top" wrapText="1"/>
    </xf>
    <xf numFmtId="49" fontId="3" fillId="2" borderId="24" xfId="0" applyNumberFormat="1" applyFont="1" applyFill="1" applyBorder="1" applyAlignment="1">
      <alignment horizontal="center" vertical="top" wrapText="1"/>
    </xf>
    <xf numFmtId="164" fontId="3" fillId="8" borderId="48" xfId="0" applyNumberFormat="1" applyFont="1" applyFill="1" applyBorder="1" applyAlignment="1">
      <alignment horizontal="center" vertical="top" wrapText="1"/>
    </xf>
    <xf numFmtId="164" fontId="3" fillId="8" borderId="19"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49" fontId="3" fillId="7" borderId="1" xfId="0" applyNumberFormat="1" applyFont="1" applyFill="1" applyBorder="1" applyAlignment="1">
      <alignment horizontal="center" vertical="top" wrapText="1"/>
    </xf>
    <xf numFmtId="164" fontId="3" fillId="7" borderId="48" xfId="0" applyNumberFormat="1" applyFont="1" applyFill="1" applyBorder="1" applyAlignment="1">
      <alignment horizontal="center" vertical="top" wrapText="1"/>
    </xf>
    <xf numFmtId="164" fontId="3" fillId="7" borderId="19" xfId="0" applyNumberFormat="1" applyFont="1" applyFill="1" applyBorder="1" applyAlignment="1">
      <alignment horizontal="center" vertical="top" wrapText="1"/>
    </xf>
    <xf numFmtId="3" fontId="3" fillId="7" borderId="48" xfId="0" applyNumberFormat="1" applyFont="1" applyFill="1" applyBorder="1" applyAlignment="1">
      <alignment horizontal="center" vertical="top" wrapText="1"/>
    </xf>
    <xf numFmtId="3" fontId="3" fillId="7" borderId="38" xfId="0" applyNumberFormat="1" applyFont="1" applyFill="1" applyBorder="1" applyAlignment="1">
      <alignment horizontal="center" vertical="top" wrapText="1"/>
    </xf>
    <xf numFmtId="3" fontId="3" fillId="7" borderId="59" xfId="0" applyNumberFormat="1" applyFont="1" applyFill="1" applyBorder="1" applyAlignment="1">
      <alignment horizontal="center" vertical="top" wrapText="1"/>
    </xf>
    <xf numFmtId="3" fontId="3" fillId="0" borderId="0" xfId="0" applyNumberFormat="1" applyFont="1" applyFill="1" applyBorder="1" applyAlignment="1">
      <alignment wrapText="1"/>
    </xf>
    <xf numFmtId="165" fontId="3" fillId="7" borderId="62" xfId="0" applyNumberFormat="1" applyFont="1" applyFill="1" applyBorder="1" applyAlignment="1">
      <alignment horizontal="center" vertical="top" wrapText="1"/>
    </xf>
    <xf numFmtId="165" fontId="3" fillId="7" borderId="28" xfId="0" applyNumberFormat="1" applyFont="1" applyFill="1" applyBorder="1" applyAlignment="1">
      <alignment horizontal="center" vertical="top" wrapText="1"/>
    </xf>
    <xf numFmtId="165" fontId="3" fillId="7" borderId="61" xfId="0" applyNumberFormat="1" applyFont="1" applyFill="1" applyBorder="1" applyAlignment="1">
      <alignment horizontal="center" vertical="top" wrapText="1"/>
    </xf>
    <xf numFmtId="165" fontId="3" fillId="5" borderId="53" xfId="0" applyNumberFormat="1" applyFont="1" applyFill="1" applyBorder="1" applyAlignment="1">
      <alignment horizontal="center" vertical="top" wrapText="1"/>
    </xf>
    <xf numFmtId="165" fontId="3" fillId="5" borderId="37" xfId="0" applyNumberFormat="1" applyFont="1" applyFill="1" applyBorder="1" applyAlignment="1">
      <alignment horizontal="center" vertical="top" wrapText="1"/>
    </xf>
    <xf numFmtId="165" fontId="3" fillId="5" borderId="15" xfId="0" applyNumberFormat="1" applyFont="1" applyFill="1" applyBorder="1" applyAlignment="1">
      <alignment horizontal="center" vertical="top" wrapText="1"/>
    </xf>
    <xf numFmtId="3" fontId="12" fillId="0" borderId="0" xfId="0" applyNumberFormat="1" applyFont="1" applyBorder="1" applyAlignment="1">
      <alignment horizontal="center" vertical="top" wrapText="1"/>
    </xf>
    <xf numFmtId="49" fontId="2" fillId="0" borderId="0" xfId="0" applyNumberFormat="1" applyFont="1" applyBorder="1" applyAlignment="1">
      <alignment vertical="top" wrapText="1"/>
    </xf>
    <xf numFmtId="165" fontId="2" fillId="0" borderId="0" xfId="0" applyNumberFormat="1" applyFont="1" applyAlignment="1">
      <alignment horizontal="center" vertical="top" wrapText="1"/>
    </xf>
    <xf numFmtId="164" fontId="3" fillId="5" borderId="48" xfId="0" applyNumberFormat="1" applyFont="1" applyFill="1" applyBorder="1" applyAlignment="1">
      <alignment horizontal="center" vertical="top" wrapText="1"/>
    </xf>
    <xf numFmtId="164" fontId="3" fillId="5" borderId="19" xfId="0" applyNumberFormat="1" applyFont="1" applyFill="1" applyBorder="1" applyAlignment="1">
      <alignment horizontal="center" vertical="top" wrapText="1"/>
    </xf>
    <xf numFmtId="164" fontId="3" fillId="5" borderId="59" xfId="0" applyNumberFormat="1" applyFont="1" applyFill="1" applyBorder="1" applyAlignment="1">
      <alignment horizontal="center" vertical="top" wrapText="1"/>
    </xf>
    <xf numFmtId="0" fontId="2" fillId="4" borderId="56" xfId="0" applyFont="1" applyFill="1" applyBorder="1" applyAlignment="1">
      <alignment horizontal="center" vertical="top" wrapText="1"/>
    </xf>
    <xf numFmtId="164" fontId="3" fillId="5" borderId="47" xfId="0" applyNumberFormat="1" applyFont="1" applyFill="1" applyBorder="1" applyAlignment="1">
      <alignment horizontal="center" vertical="top" wrapText="1"/>
    </xf>
    <xf numFmtId="165" fontId="3" fillId="7" borderId="9" xfId="0" applyNumberFormat="1" applyFont="1" applyFill="1" applyBorder="1" applyAlignment="1">
      <alignment horizontal="center" vertical="top" wrapText="1"/>
    </xf>
    <xf numFmtId="165" fontId="3" fillId="5" borderId="5" xfId="0" applyNumberFormat="1" applyFont="1" applyFill="1" applyBorder="1" applyAlignment="1">
      <alignment horizontal="center" vertical="top" wrapText="1"/>
    </xf>
    <xf numFmtId="164" fontId="2" fillId="5" borderId="2" xfId="0" applyNumberFormat="1" applyFont="1" applyFill="1" applyBorder="1" applyAlignment="1">
      <alignment horizontal="center" vertical="top" wrapText="1"/>
    </xf>
    <xf numFmtId="164" fontId="3" fillId="7" borderId="2" xfId="0" applyNumberFormat="1" applyFont="1" applyFill="1" applyBorder="1" applyAlignment="1">
      <alignment horizontal="center" vertical="top" wrapText="1"/>
    </xf>
    <xf numFmtId="164" fontId="3" fillId="7" borderId="55" xfId="0" applyNumberFormat="1" applyFont="1" applyFill="1" applyBorder="1" applyAlignment="1">
      <alignment horizontal="center" vertical="top" wrapText="1"/>
    </xf>
    <xf numFmtId="164" fontId="3" fillId="7" borderId="56" xfId="0" applyNumberFormat="1" applyFont="1" applyFill="1" applyBorder="1" applyAlignment="1">
      <alignment horizontal="center" vertical="top" wrapText="1"/>
    </xf>
    <xf numFmtId="164" fontId="3" fillId="7" borderId="25" xfId="0" applyNumberFormat="1" applyFont="1" applyFill="1" applyBorder="1" applyAlignment="1">
      <alignment horizontal="center" vertical="top" wrapText="1"/>
    </xf>
    <xf numFmtId="3" fontId="2" fillId="4" borderId="13" xfId="0" applyNumberFormat="1" applyFont="1" applyFill="1" applyBorder="1" applyAlignment="1">
      <alignment vertical="top" wrapText="1"/>
    </xf>
    <xf numFmtId="3" fontId="2" fillId="4" borderId="66" xfId="0" applyNumberFormat="1" applyFont="1" applyFill="1" applyBorder="1" applyAlignment="1">
      <alignment horizontal="center" vertical="top"/>
    </xf>
    <xf numFmtId="3" fontId="2" fillId="4" borderId="67" xfId="0" applyNumberFormat="1" applyFont="1" applyFill="1" applyBorder="1" applyAlignment="1">
      <alignment horizontal="center" vertical="top"/>
    </xf>
    <xf numFmtId="165" fontId="2" fillId="0" borderId="13" xfId="0" applyNumberFormat="1" applyFont="1" applyBorder="1" applyAlignment="1">
      <alignment horizontal="center" vertical="top" wrapText="1"/>
    </xf>
    <xf numFmtId="164" fontId="2" fillId="4" borderId="66" xfId="0" applyNumberFormat="1" applyFont="1" applyFill="1" applyBorder="1" applyAlignment="1">
      <alignment horizontal="center" vertical="top"/>
    </xf>
    <xf numFmtId="0" fontId="2" fillId="14" borderId="2"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0" xfId="0" applyFont="1" applyFill="1" applyBorder="1" applyAlignment="1">
      <alignment horizontal="center" vertical="top" wrapText="1"/>
    </xf>
    <xf numFmtId="3" fontId="13" fillId="0" borderId="13" xfId="0" applyNumberFormat="1" applyFont="1" applyFill="1" applyBorder="1" applyAlignment="1">
      <alignment horizontal="center" vertical="top" textRotation="90" wrapText="1"/>
    </xf>
    <xf numFmtId="3" fontId="12" fillId="4" borderId="0" xfId="0" applyNumberFormat="1" applyFont="1" applyFill="1" applyBorder="1" applyAlignment="1">
      <alignment horizontal="center" vertical="top" wrapText="1"/>
    </xf>
    <xf numFmtId="49" fontId="2" fillId="4" borderId="55" xfId="2" applyNumberFormat="1" applyFont="1" applyFill="1" applyBorder="1" applyAlignment="1">
      <alignment horizontal="center" vertical="top"/>
    </xf>
    <xf numFmtId="3" fontId="2" fillId="4" borderId="53" xfId="0" applyNumberFormat="1" applyFont="1" applyFill="1" applyBorder="1" applyAlignment="1">
      <alignment vertical="top" wrapText="1"/>
    </xf>
    <xf numFmtId="3" fontId="2" fillId="4" borderId="0" xfId="0" applyNumberFormat="1" applyFont="1" applyFill="1" applyAlignment="1">
      <alignment wrapText="1"/>
    </xf>
    <xf numFmtId="3" fontId="8" fillId="4" borderId="17" xfId="0" applyNumberFormat="1" applyFont="1" applyFill="1" applyBorder="1" applyAlignment="1">
      <alignment horizontal="center" vertical="top" wrapText="1"/>
    </xf>
    <xf numFmtId="3" fontId="8" fillId="4" borderId="8" xfId="0" applyNumberFormat="1" applyFont="1" applyFill="1" applyBorder="1" applyAlignment="1">
      <alignment horizontal="center" vertical="top" wrapText="1"/>
    </xf>
    <xf numFmtId="3" fontId="8" fillId="4" borderId="18" xfId="0" applyNumberFormat="1" applyFont="1" applyFill="1" applyBorder="1" applyAlignment="1">
      <alignment horizontal="center" vertical="top" wrapText="1"/>
    </xf>
    <xf numFmtId="167" fontId="2" fillId="9" borderId="66" xfId="2" applyNumberFormat="1" applyFont="1" applyFill="1" applyBorder="1" applyAlignment="1">
      <alignment horizontal="center" vertical="top"/>
    </xf>
    <xf numFmtId="49" fontId="2" fillId="4" borderId="53" xfId="2" applyNumberFormat="1" applyFont="1" applyFill="1" applyBorder="1" applyAlignment="1">
      <alignment horizontal="center" vertical="top"/>
    </xf>
    <xf numFmtId="164" fontId="2" fillId="0" borderId="0" xfId="0" applyNumberFormat="1" applyFont="1" applyBorder="1" applyAlignment="1">
      <alignment vertical="top" wrapText="1"/>
    </xf>
    <xf numFmtId="3" fontId="2" fillId="4" borderId="55" xfId="0" applyNumberFormat="1" applyFont="1" applyFill="1" applyBorder="1" applyAlignment="1">
      <alignment horizontal="center" vertical="top"/>
    </xf>
    <xf numFmtId="3" fontId="6" fillId="0" borderId="0" xfId="0" applyNumberFormat="1" applyFont="1" applyAlignment="1">
      <alignment vertical="top" wrapText="1"/>
    </xf>
    <xf numFmtId="3" fontId="13" fillId="4" borderId="0" xfId="0" applyNumberFormat="1" applyFont="1" applyFill="1" applyBorder="1" applyAlignment="1">
      <alignment vertical="top" wrapText="1"/>
    </xf>
    <xf numFmtId="164" fontId="2" fillId="4" borderId="71" xfId="0" applyNumberFormat="1" applyFont="1" applyFill="1" applyBorder="1" applyAlignment="1">
      <alignment horizontal="center" vertical="top"/>
    </xf>
    <xf numFmtId="3" fontId="2" fillId="4" borderId="50" xfId="0" applyNumberFormat="1" applyFont="1" applyFill="1" applyBorder="1" applyAlignment="1">
      <alignment horizontal="left" vertical="top" wrapText="1"/>
    </xf>
    <xf numFmtId="3" fontId="2" fillId="4" borderId="29" xfId="0" applyNumberFormat="1" applyFont="1" applyFill="1" applyBorder="1" applyAlignment="1">
      <alignment horizontal="center" vertical="top" wrapText="1"/>
    </xf>
    <xf numFmtId="3" fontId="3" fillId="5" borderId="6" xfId="0" applyNumberFormat="1" applyFont="1" applyFill="1" applyBorder="1" applyAlignment="1">
      <alignment horizontal="center" vertical="top" wrapText="1"/>
    </xf>
    <xf numFmtId="3" fontId="13" fillId="4" borderId="31" xfId="0" applyNumberFormat="1" applyFont="1" applyFill="1" applyBorder="1" applyAlignment="1">
      <alignment vertical="top" wrapText="1"/>
    </xf>
    <xf numFmtId="3" fontId="13" fillId="4" borderId="30" xfId="0" applyNumberFormat="1" applyFont="1" applyFill="1" applyBorder="1" applyAlignment="1">
      <alignment vertical="top" wrapText="1"/>
    </xf>
    <xf numFmtId="49" fontId="2" fillId="13" borderId="55" xfId="2" applyNumberFormat="1" applyFont="1" applyFill="1" applyBorder="1" applyAlignment="1">
      <alignment horizontal="center" vertical="top" wrapText="1"/>
    </xf>
    <xf numFmtId="49" fontId="2" fillId="13" borderId="52" xfId="2" applyNumberFormat="1" applyFont="1" applyFill="1" applyBorder="1" applyAlignment="1">
      <alignment horizontal="center" vertical="top" wrapText="1"/>
    </xf>
    <xf numFmtId="0" fontId="2" fillId="4" borderId="17" xfId="0" applyFont="1" applyFill="1" applyBorder="1" applyAlignment="1">
      <alignment horizontal="center" vertical="top" wrapText="1"/>
    </xf>
    <xf numFmtId="164" fontId="3" fillId="5" borderId="38" xfId="0" applyNumberFormat="1" applyFont="1" applyFill="1" applyBorder="1" applyAlignment="1">
      <alignment horizontal="center" vertical="top" wrapText="1"/>
    </xf>
    <xf numFmtId="168" fontId="2" fillId="9" borderId="6" xfId="2" applyNumberFormat="1" applyFont="1" applyFill="1" applyBorder="1" applyAlignment="1">
      <alignment vertical="top" wrapText="1"/>
    </xf>
    <xf numFmtId="168" fontId="2" fillId="9" borderId="8" xfId="2" applyNumberFormat="1" applyFont="1" applyFill="1" applyBorder="1" applyAlignment="1">
      <alignment vertical="top" wrapText="1"/>
    </xf>
    <xf numFmtId="0" fontId="2" fillId="4" borderId="6" xfId="0" applyFont="1" applyFill="1" applyBorder="1" applyAlignment="1">
      <alignment vertical="top" wrapText="1"/>
    </xf>
    <xf numFmtId="167" fontId="2" fillId="11" borderId="8" xfId="2" applyNumberFormat="1" applyFont="1" applyFill="1" applyBorder="1" applyAlignment="1">
      <alignment horizontal="left" vertical="top" wrapText="1"/>
    </xf>
    <xf numFmtId="167" fontId="2" fillId="9" borderId="8" xfId="2" applyNumberFormat="1" applyFont="1" applyFill="1" applyBorder="1" applyAlignment="1">
      <alignment vertical="top" wrapText="1"/>
    </xf>
    <xf numFmtId="167" fontId="2" fillId="9" borderId="42" xfId="2" applyNumberFormat="1" applyFont="1" applyFill="1" applyBorder="1" applyAlignment="1">
      <alignment vertical="top" wrapText="1"/>
    </xf>
    <xf numFmtId="3" fontId="2" fillId="0" borderId="8" xfId="0" applyNumberFormat="1" applyFont="1" applyBorder="1" applyAlignment="1">
      <alignment horizontal="center" vertical="top"/>
    </xf>
    <xf numFmtId="3" fontId="2" fillId="0" borderId="10" xfId="0" applyNumberFormat="1" applyFont="1" applyBorder="1" applyAlignment="1">
      <alignment vertical="top"/>
    </xf>
    <xf numFmtId="3" fontId="2" fillId="0" borderId="5" xfId="0" applyNumberFormat="1" applyFont="1" applyBorder="1" applyAlignment="1">
      <alignment vertical="top"/>
    </xf>
    <xf numFmtId="3" fontId="2" fillId="0" borderId="19" xfId="0" applyNumberFormat="1" applyFont="1" applyFill="1" applyBorder="1" applyAlignment="1">
      <alignment vertical="top" wrapText="1"/>
    </xf>
    <xf numFmtId="0" fontId="2" fillId="4" borderId="2" xfId="0" applyFont="1" applyFill="1" applyBorder="1" applyAlignment="1">
      <alignment horizontal="left" vertical="top" wrapText="1"/>
    </xf>
    <xf numFmtId="0" fontId="3" fillId="5" borderId="47" xfId="0" applyFont="1" applyFill="1" applyBorder="1" applyAlignment="1">
      <alignment horizontal="center" vertical="top" wrapText="1"/>
    </xf>
    <xf numFmtId="164" fontId="3" fillId="8" borderId="59" xfId="0" applyNumberFormat="1" applyFont="1" applyFill="1" applyBorder="1" applyAlignment="1">
      <alignment horizontal="center" vertical="top" wrapText="1"/>
    </xf>
    <xf numFmtId="164" fontId="3" fillId="7" borderId="59" xfId="0" applyNumberFormat="1" applyFont="1" applyFill="1" applyBorder="1" applyAlignment="1">
      <alignment horizontal="center" vertical="top" wrapText="1"/>
    </xf>
    <xf numFmtId="165" fontId="17" fillId="4" borderId="0" xfId="0" applyNumberFormat="1" applyFont="1" applyFill="1" applyBorder="1" applyAlignment="1">
      <alignment horizontal="center" vertical="top" wrapText="1"/>
    </xf>
    <xf numFmtId="3" fontId="13" fillId="4" borderId="45" xfId="0" applyNumberFormat="1" applyFont="1" applyFill="1" applyBorder="1" applyAlignment="1">
      <alignment horizontal="center" vertical="top" wrapText="1"/>
    </xf>
    <xf numFmtId="49" fontId="2" fillId="0" borderId="18" xfId="0" applyNumberFormat="1" applyFont="1" applyBorder="1" applyAlignment="1">
      <alignment horizontal="center" vertical="top" wrapText="1"/>
    </xf>
    <xf numFmtId="49" fontId="8" fillId="4" borderId="37" xfId="0" applyNumberFormat="1" applyFont="1" applyFill="1" applyBorder="1" applyAlignment="1">
      <alignment horizontal="center" vertical="top" wrapText="1"/>
    </xf>
    <xf numFmtId="164" fontId="2" fillId="0" borderId="2" xfId="0" applyNumberFormat="1" applyFont="1" applyFill="1" applyBorder="1" applyAlignment="1">
      <alignment horizontal="center" vertical="top" wrapText="1"/>
    </xf>
    <xf numFmtId="164" fontId="2" fillId="0" borderId="5" xfId="0" applyNumberFormat="1" applyFont="1" applyBorder="1" applyAlignment="1">
      <alignment horizontal="center" vertical="top" wrapText="1"/>
    </xf>
    <xf numFmtId="164" fontId="2" fillId="0" borderId="2" xfId="0" applyNumberFormat="1" applyFont="1" applyBorder="1" applyAlignment="1">
      <alignment horizontal="center" vertical="top" wrapText="1"/>
    </xf>
    <xf numFmtId="3" fontId="2" fillId="3" borderId="16" xfId="0" applyNumberFormat="1" applyFont="1" applyFill="1" applyBorder="1" applyAlignment="1">
      <alignment horizontal="center" vertical="top" wrapText="1"/>
    </xf>
    <xf numFmtId="3" fontId="2" fillId="3" borderId="17" xfId="0" applyNumberFormat="1" applyFont="1" applyFill="1" applyBorder="1" applyAlignment="1">
      <alignment horizontal="center" vertical="top" wrapText="1"/>
    </xf>
    <xf numFmtId="3" fontId="2" fillId="4" borderId="39" xfId="0" applyNumberFormat="1" applyFont="1" applyFill="1" applyBorder="1" applyAlignment="1">
      <alignment horizontal="center" vertical="top" wrapText="1"/>
    </xf>
    <xf numFmtId="49" fontId="2" fillId="4" borderId="19" xfId="0" applyNumberFormat="1" applyFont="1" applyFill="1" applyBorder="1" applyAlignment="1">
      <alignment horizontal="center" vertical="top" wrapText="1"/>
    </xf>
    <xf numFmtId="3" fontId="13" fillId="4" borderId="26" xfId="0" applyNumberFormat="1" applyFont="1" applyFill="1" applyBorder="1" applyAlignment="1">
      <alignment horizontal="center" vertical="top" textRotation="90" wrapText="1"/>
    </xf>
    <xf numFmtId="3" fontId="13" fillId="4" borderId="30" xfId="0" applyNumberFormat="1" applyFont="1" applyFill="1" applyBorder="1" applyAlignment="1">
      <alignment horizontal="center" vertical="top" textRotation="90" wrapText="1"/>
    </xf>
    <xf numFmtId="3" fontId="3" fillId="4" borderId="18" xfId="0" applyNumberFormat="1" applyFont="1" applyFill="1" applyBorder="1" applyAlignment="1">
      <alignment horizontal="left"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49" fontId="3" fillId="8" borderId="16" xfId="0" applyNumberFormat="1" applyFont="1" applyFill="1" applyBorder="1" applyAlignment="1">
      <alignment horizontal="center" vertical="top"/>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3"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13" fillId="4" borderId="30"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2" fillId="0" borderId="38" xfId="0" applyNumberFormat="1" applyFont="1" applyBorder="1" applyAlignment="1">
      <alignment horizontal="right" wrapText="1"/>
    </xf>
    <xf numFmtId="3" fontId="13" fillId="0" borderId="18" xfId="0" applyNumberFormat="1" applyFont="1" applyFill="1" applyBorder="1" applyAlignment="1">
      <alignment horizontal="center" vertical="top" textRotation="90" wrapText="1"/>
    </xf>
    <xf numFmtId="3" fontId="3" fillId="2" borderId="60" xfId="0" applyNumberFormat="1" applyFont="1" applyFill="1" applyBorder="1" applyAlignment="1">
      <alignment horizontal="center" vertical="top" wrapText="1"/>
    </xf>
    <xf numFmtId="167" fontId="2" fillId="9" borderId="52" xfId="2" applyNumberFormat="1" applyFont="1" applyFill="1" applyBorder="1" applyAlignment="1">
      <alignment vertical="top" wrapText="1"/>
    </xf>
    <xf numFmtId="3" fontId="6" fillId="0" borderId="0" xfId="0" applyNumberFormat="1" applyFont="1" applyAlignment="1">
      <alignment horizontal="left" vertical="top" wrapText="1"/>
    </xf>
    <xf numFmtId="3" fontId="2" fillId="4" borderId="49" xfId="0" applyNumberFormat="1" applyFont="1" applyFill="1" applyBorder="1" applyAlignment="1">
      <alignment vertical="top" wrapText="1"/>
    </xf>
    <xf numFmtId="3" fontId="2" fillId="4" borderId="58" xfId="0" applyNumberFormat="1" applyFont="1" applyFill="1" applyBorder="1" applyAlignment="1">
      <alignment horizontal="left" vertical="top" wrapText="1"/>
    </xf>
    <xf numFmtId="3" fontId="2" fillId="4" borderId="21" xfId="0" applyNumberFormat="1" applyFont="1" applyFill="1" applyBorder="1" applyAlignment="1">
      <alignment horizontal="center" vertical="top" wrapText="1"/>
    </xf>
    <xf numFmtId="3" fontId="2" fillId="0" borderId="21" xfId="0" applyNumberFormat="1" applyFont="1" applyBorder="1" applyAlignment="1">
      <alignment horizontal="center" vertical="center" textRotation="90" wrapText="1"/>
    </xf>
    <xf numFmtId="0" fontId="2" fillId="4" borderId="35" xfId="0" applyFont="1" applyFill="1" applyBorder="1" applyAlignment="1">
      <alignment horizontal="center" vertical="top" wrapText="1"/>
    </xf>
    <xf numFmtId="0" fontId="2" fillId="4" borderId="66" xfId="0"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3" fontId="2" fillId="0" borderId="34" xfId="0" applyNumberFormat="1" applyFont="1" applyFill="1" applyBorder="1" applyAlignment="1">
      <alignment horizontal="center" vertical="top" wrapText="1"/>
    </xf>
    <xf numFmtId="3" fontId="2" fillId="0" borderId="21" xfId="0" applyNumberFormat="1" applyFont="1" applyFill="1" applyBorder="1" applyAlignment="1">
      <alignment horizontal="center" vertical="top" wrapText="1"/>
    </xf>
    <xf numFmtId="3" fontId="8" fillId="4" borderId="29" xfId="0" applyNumberFormat="1" applyFont="1" applyFill="1" applyBorder="1" applyAlignment="1">
      <alignment horizontal="center" vertical="top" wrapText="1"/>
    </xf>
    <xf numFmtId="167" fontId="2" fillId="9" borderId="21" xfId="2" applyNumberFormat="1" applyFont="1" applyFill="1" applyBorder="1" applyAlignment="1">
      <alignment horizontal="center" vertical="center"/>
    </xf>
    <xf numFmtId="3" fontId="2" fillId="0" borderId="29" xfId="0" applyNumberFormat="1" applyFont="1" applyBorder="1" applyAlignment="1">
      <alignment horizontal="center" vertical="top" wrapText="1"/>
    </xf>
    <xf numFmtId="3" fontId="2" fillId="0" borderId="35" xfId="0" applyNumberFormat="1" applyFont="1" applyBorder="1" applyAlignment="1">
      <alignment horizontal="center" vertical="top" wrapText="1"/>
    </xf>
    <xf numFmtId="3" fontId="2" fillId="0" borderId="34" xfId="0" applyNumberFormat="1" applyFont="1" applyBorder="1" applyAlignment="1">
      <alignment horizontal="center" vertical="top" wrapText="1"/>
    </xf>
    <xf numFmtId="3" fontId="2" fillId="4" borderId="35" xfId="0" applyNumberFormat="1" applyFont="1" applyFill="1" applyBorder="1" applyAlignment="1">
      <alignment horizontal="center" vertical="top"/>
    </xf>
    <xf numFmtId="3" fontId="2" fillId="0" borderId="62" xfId="0" applyNumberFormat="1" applyFont="1" applyBorder="1" applyAlignment="1">
      <alignment vertical="top"/>
    </xf>
    <xf numFmtId="3" fontId="2" fillId="0" borderId="66" xfId="0" applyNumberFormat="1" applyFont="1" applyBorder="1" applyAlignment="1">
      <alignment horizontal="center" vertical="top"/>
    </xf>
    <xf numFmtId="3" fontId="2" fillId="4" borderId="21" xfId="0" applyNumberFormat="1" applyFont="1" applyFill="1" applyBorder="1" applyAlignment="1">
      <alignment horizontal="center" vertical="top"/>
    </xf>
    <xf numFmtId="3" fontId="2" fillId="0" borderId="21" xfId="0" applyNumberFormat="1" applyFont="1" applyBorder="1" applyAlignment="1">
      <alignment horizontal="center" vertical="top" wrapText="1"/>
    </xf>
    <xf numFmtId="3" fontId="2" fillId="4" borderId="34" xfId="0" applyNumberFormat="1" applyFont="1" applyFill="1" applyBorder="1" applyAlignment="1">
      <alignment horizontal="center" vertical="top"/>
    </xf>
    <xf numFmtId="164" fontId="2" fillId="4" borderId="66" xfId="0" applyNumberFormat="1" applyFont="1" applyFill="1" applyBorder="1" applyAlignment="1">
      <alignment horizontal="center" vertical="top" wrapText="1"/>
    </xf>
    <xf numFmtId="164" fontId="2" fillId="4" borderId="35" xfId="0" applyNumberFormat="1" applyFont="1" applyFill="1" applyBorder="1" applyAlignment="1">
      <alignment horizontal="center" vertical="top" wrapText="1"/>
    </xf>
    <xf numFmtId="164" fontId="3" fillId="4" borderId="29" xfId="0" applyNumberFormat="1" applyFont="1" applyFill="1" applyBorder="1" applyAlignment="1">
      <alignment horizontal="center" vertical="top" wrapText="1"/>
    </xf>
    <xf numFmtId="164" fontId="2" fillId="4" borderId="71" xfId="0" applyNumberFormat="1" applyFont="1" applyFill="1" applyBorder="1" applyAlignment="1">
      <alignment horizontal="center" vertical="top" wrapText="1"/>
    </xf>
    <xf numFmtId="164" fontId="2" fillId="4" borderId="73" xfId="0" applyNumberFormat="1" applyFont="1" applyFill="1" applyBorder="1" applyAlignment="1">
      <alignment horizontal="center" vertical="top" wrapText="1"/>
    </xf>
    <xf numFmtId="0" fontId="2" fillId="14" borderId="55" xfId="0" applyFont="1" applyFill="1" applyBorder="1" applyAlignment="1">
      <alignment horizontal="center" vertical="top" wrapText="1"/>
    </xf>
    <xf numFmtId="164" fontId="8" fillId="4" borderId="67" xfId="0" applyNumberFormat="1" applyFont="1" applyFill="1" applyBorder="1" applyAlignment="1">
      <alignment horizontal="center" vertical="top" wrapText="1"/>
    </xf>
    <xf numFmtId="164" fontId="2" fillId="0" borderId="34" xfId="0" applyNumberFormat="1" applyFont="1" applyFill="1" applyBorder="1" applyAlignment="1">
      <alignment horizontal="center" vertical="top" wrapText="1"/>
    </xf>
    <xf numFmtId="3" fontId="2" fillId="0" borderId="26" xfId="0" applyNumberFormat="1" applyFont="1" applyBorder="1" applyAlignment="1">
      <alignment horizontal="center" vertical="top"/>
    </xf>
    <xf numFmtId="3" fontId="2" fillId="0" borderId="49" xfId="0" applyNumberFormat="1" applyFont="1" applyBorder="1" applyAlignment="1">
      <alignment horizontal="center" vertical="top"/>
    </xf>
    <xf numFmtId="3" fontId="2" fillId="0" borderId="0" xfId="0" applyNumberFormat="1" applyFont="1" applyBorder="1" applyAlignment="1">
      <alignment horizontal="center" vertical="top"/>
    </xf>
    <xf numFmtId="164" fontId="2" fillId="0" borderId="29" xfId="0" applyNumberFormat="1" applyFont="1" applyFill="1" applyBorder="1" applyAlignment="1">
      <alignment horizontal="center" vertical="top" wrapText="1"/>
    </xf>
    <xf numFmtId="164" fontId="2" fillId="0" borderId="35" xfId="0" applyNumberFormat="1" applyFont="1" applyFill="1" applyBorder="1" applyAlignment="1">
      <alignment horizontal="center" vertical="top" wrapText="1"/>
    </xf>
    <xf numFmtId="164" fontId="2" fillId="0" borderId="67" xfId="0" applyNumberFormat="1" applyFont="1" applyFill="1" applyBorder="1" applyAlignment="1">
      <alignment horizontal="center" vertical="top" wrapText="1"/>
    </xf>
    <xf numFmtId="164" fontId="2" fillId="3" borderId="34" xfId="0" applyNumberFormat="1" applyFont="1" applyFill="1" applyBorder="1" applyAlignment="1">
      <alignment horizontal="center" vertical="top" wrapText="1"/>
    </xf>
    <xf numFmtId="164" fontId="2" fillId="3" borderId="67" xfId="0" applyNumberFormat="1" applyFont="1" applyFill="1" applyBorder="1" applyAlignment="1">
      <alignment horizontal="center" vertical="top" wrapText="1"/>
    </xf>
    <xf numFmtId="3" fontId="2" fillId="0" borderId="56" xfId="0" applyNumberFormat="1" applyFont="1" applyFill="1" applyBorder="1" applyAlignment="1">
      <alignment vertical="top" wrapText="1"/>
    </xf>
    <xf numFmtId="3" fontId="2" fillId="4" borderId="18"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6" fillId="0" borderId="0" xfId="0" applyNumberFormat="1" applyFont="1" applyAlignment="1">
      <alignment horizontal="left" vertical="top" wrapText="1"/>
    </xf>
    <xf numFmtId="3" fontId="2" fillId="0" borderId="0" xfId="0" applyNumberFormat="1" applyFont="1" applyBorder="1" applyAlignment="1">
      <alignment horizontal="center" vertical="top" wrapText="1"/>
    </xf>
    <xf numFmtId="49" fontId="3" fillId="8" borderId="17" xfId="0" applyNumberFormat="1" applyFont="1" applyFill="1" applyBorder="1" applyAlignment="1">
      <alignment horizontal="center" vertical="top"/>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0" borderId="6" xfId="0" applyNumberFormat="1" applyFont="1" applyFill="1" applyBorder="1" applyAlignment="1">
      <alignment horizontal="center" vertical="top" wrapText="1"/>
    </xf>
    <xf numFmtId="0" fontId="2" fillId="4" borderId="18" xfId="0" applyFont="1" applyFill="1" applyBorder="1" applyAlignment="1">
      <alignment horizontal="left" vertical="top" wrapText="1"/>
    </xf>
    <xf numFmtId="3" fontId="2" fillId="4" borderId="13"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3" fontId="3" fillId="2" borderId="46" xfId="0" applyNumberFormat="1" applyFont="1" applyFill="1" applyBorder="1" applyAlignment="1">
      <alignment horizontal="center" vertical="top" wrapText="1"/>
    </xf>
    <xf numFmtId="0" fontId="2" fillId="14" borderId="32" xfId="0" applyFont="1" applyFill="1" applyBorder="1" applyAlignment="1">
      <alignment horizontal="center" vertical="top" wrapText="1"/>
    </xf>
    <xf numFmtId="3" fontId="2" fillId="0" borderId="3" xfId="0" applyNumberFormat="1" applyFont="1" applyBorder="1" applyAlignment="1">
      <alignment horizontal="center" vertical="top"/>
    </xf>
    <xf numFmtId="0" fontId="2" fillId="4" borderId="0" xfId="0" applyFont="1" applyFill="1" applyBorder="1" applyAlignment="1">
      <alignment horizontal="left" vertical="top" wrapText="1"/>
    </xf>
    <xf numFmtId="3" fontId="2" fillId="3" borderId="3" xfId="0" applyNumberFormat="1" applyFont="1" applyFill="1" applyBorder="1" applyAlignment="1">
      <alignment horizontal="center" vertical="top" wrapText="1"/>
    </xf>
    <xf numFmtId="3" fontId="2" fillId="3" borderId="0" xfId="0" applyNumberFormat="1"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2" xfId="0" applyFont="1" applyFill="1" applyBorder="1" applyAlignment="1">
      <alignment horizontal="center" vertical="top" wrapText="1"/>
    </xf>
    <xf numFmtId="3" fontId="2" fillId="4" borderId="47" xfId="0" applyNumberFormat="1" applyFont="1" applyFill="1" applyBorder="1" applyAlignment="1">
      <alignment horizontal="center" vertical="top" wrapText="1"/>
    </xf>
    <xf numFmtId="3" fontId="2" fillId="4" borderId="9"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xf>
    <xf numFmtId="4" fontId="2" fillId="4" borderId="2"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xf>
    <xf numFmtId="164" fontId="2" fillId="4" borderId="2" xfId="0" applyNumberFormat="1" applyFont="1" applyFill="1" applyBorder="1" applyAlignment="1">
      <alignment horizontal="center" vertical="top"/>
    </xf>
    <xf numFmtId="164" fontId="2" fillId="4" borderId="2"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top" wrapText="1"/>
    </xf>
    <xf numFmtId="164" fontId="3" fillId="4" borderId="8" xfId="0" applyNumberFormat="1" applyFont="1" applyFill="1" applyBorder="1" applyAlignment="1">
      <alignment horizontal="center" vertical="top" wrapText="1"/>
    </xf>
    <xf numFmtId="164" fontId="2" fillId="4" borderId="9" xfId="0" applyNumberFormat="1" applyFont="1" applyFill="1" applyBorder="1" applyAlignment="1">
      <alignment horizontal="center" vertical="top"/>
    </xf>
    <xf numFmtId="164" fontId="2" fillId="4" borderId="9" xfId="0" applyNumberFormat="1" applyFont="1" applyFill="1" applyBorder="1" applyAlignment="1">
      <alignment horizontal="center" vertical="top" wrapText="1"/>
    </xf>
    <xf numFmtId="164" fontId="2" fillId="4" borderId="47" xfId="0" applyNumberFormat="1" applyFont="1" applyFill="1" applyBorder="1" applyAlignment="1">
      <alignment horizontal="center" vertical="top" wrapText="1"/>
    </xf>
    <xf numFmtId="0" fontId="2" fillId="4" borderId="9" xfId="0" applyFont="1" applyFill="1" applyBorder="1" applyAlignment="1">
      <alignment horizontal="center" vertical="top" wrapText="1"/>
    </xf>
    <xf numFmtId="164" fontId="3" fillId="5" borderId="42" xfId="0" applyNumberFormat="1" applyFont="1" applyFill="1" applyBorder="1" applyAlignment="1">
      <alignment horizontal="center" vertical="top" wrapText="1"/>
    </xf>
    <xf numFmtId="164" fontId="3" fillId="2" borderId="76" xfId="0" applyNumberFormat="1" applyFont="1" applyFill="1" applyBorder="1" applyAlignment="1">
      <alignment horizontal="center" vertical="top" wrapText="1"/>
    </xf>
    <xf numFmtId="164" fontId="3" fillId="8" borderId="76" xfId="0" applyNumberFormat="1" applyFont="1" applyFill="1" applyBorder="1" applyAlignment="1">
      <alignment horizontal="center" vertical="top" wrapText="1"/>
    </xf>
    <xf numFmtId="3" fontId="8" fillId="4" borderId="53" xfId="0" applyNumberFormat="1" applyFont="1" applyFill="1" applyBorder="1" applyAlignment="1">
      <alignment horizontal="center" vertical="top" wrapText="1"/>
    </xf>
    <xf numFmtId="164" fontId="8" fillId="4" borderId="5" xfId="0" applyNumberFormat="1" applyFont="1" applyFill="1" applyBorder="1" applyAlignment="1">
      <alignment horizontal="center" vertical="top" wrapText="1"/>
    </xf>
    <xf numFmtId="164" fontId="2" fillId="0" borderId="10" xfId="0" applyNumberFormat="1" applyFont="1" applyFill="1" applyBorder="1" applyAlignment="1">
      <alignment horizontal="center" vertical="top" wrapText="1"/>
    </xf>
    <xf numFmtId="0" fontId="2" fillId="14" borderId="56" xfId="0" applyFont="1" applyFill="1" applyBorder="1" applyAlignment="1">
      <alignment horizontal="center" vertical="top" wrapText="1"/>
    </xf>
    <xf numFmtId="3" fontId="8" fillId="4" borderId="37" xfId="0" applyNumberFormat="1" applyFont="1" applyFill="1" applyBorder="1" applyAlignment="1">
      <alignment horizontal="center" vertical="top" wrapText="1"/>
    </xf>
    <xf numFmtId="49" fontId="2" fillId="4" borderId="37" xfId="2" applyNumberFormat="1" applyFont="1" applyFill="1" applyBorder="1" applyAlignment="1">
      <alignment horizontal="center" vertical="top"/>
    </xf>
    <xf numFmtId="3" fontId="2" fillId="0" borderId="2" xfId="0" applyNumberFormat="1" applyFont="1" applyBorder="1" applyAlignment="1">
      <alignment horizontal="center" vertical="top"/>
    </xf>
    <xf numFmtId="164" fontId="2" fillId="0" borderId="8" xfId="0" applyNumberFormat="1" applyFont="1" applyFill="1" applyBorder="1" applyAlignment="1">
      <alignment horizontal="center" vertical="top" wrapText="1"/>
    </xf>
    <xf numFmtId="164" fontId="2" fillId="0" borderId="6" xfId="0"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2" fillId="0" borderId="8" xfId="0" applyNumberFormat="1" applyFont="1" applyFill="1" applyBorder="1" applyAlignment="1">
      <alignment horizontal="center" vertical="top"/>
    </xf>
    <xf numFmtId="164" fontId="2" fillId="0" borderId="9" xfId="0" applyNumberFormat="1" applyFont="1" applyFill="1" applyBorder="1" applyAlignment="1">
      <alignment horizontal="center" vertical="top"/>
    </xf>
    <xf numFmtId="164" fontId="2" fillId="0" borderId="2" xfId="0" applyNumberFormat="1" applyFont="1" applyFill="1" applyBorder="1" applyAlignment="1">
      <alignment horizontal="center" vertical="top"/>
    </xf>
    <xf numFmtId="164" fontId="3" fillId="5" borderId="47" xfId="0" applyNumberFormat="1" applyFont="1" applyFill="1" applyBorder="1" applyAlignment="1">
      <alignment horizontal="center" vertical="top"/>
    </xf>
    <xf numFmtId="164" fontId="3" fillId="2" borderId="42" xfId="0" applyNumberFormat="1" applyFont="1" applyFill="1" applyBorder="1" applyAlignment="1">
      <alignment horizontal="center" vertical="top" wrapText="1"/>
    </xf>
    <xf numFmtId="3" fontId="2" fillId="4" borderId="2"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0" borderId="18" xfId="0" applyNumberFormat="1" applyFont="1" applyFill="1" applyBorder="1" applyAlignment="1">
      <alignment horizontal="center" vertical="top" wrapText="1"/>
    </xf>
    <xf numFmtId="3" fontId="2" fillId="0" borderId="13" xfId="0" applyNumberFormat="1" applyFont="1" applyBorder="1" applyAlignment="1">
      <alignment horizontal="center" vertical="top"/>
    </xf>
    <xf numFmtId="164" fontId="2" fillId="3" borderId="10" xfId="0" applyNumberFormat="1" applyFont="1" applyFill="1" applyBorder="1" applyAlignment="1">
      <alignment horizontal="center" vertical="top" wrapText="1"/>
    </xf>
    <xf numFmtId="164" fontId="2" fillId="3" borderId="5" xfId="0" applyNumberFormat="1" applyFont="1" applyFill="1" applyBorder="1" applyAlignment="1">
      <alignment horizontal="center" vertical="top" wrapText="1"/>
    </xf>
    <xf numFmtId="164" fontId="3" fillId="8" borderId="42" xfId="0" applyNumberFormat="1" applyFont="1" applyFill="1" applyBorder="1" applyAlignment="1">
      <alignment horizontal="center" vertical="top" wrapText="1"/>
    </xf>
    <xf numFmtId="164" fontId="3" fillId="7" borderId="42" xfId="0" applyNumberFormat="1" applyFont="1" applyFill="1" applyBorder="1" applyAlignment="1">
      <alignment horizontal="center" vertical="top" wrapText="1"/>
    </xf>
    <xf numFmtId="3" fontId="2" fillId="3" borderId="13" xfId="0" applyNumberFormat="1" applyFont="1" applyFill="1" applyBorder="1" applyAlignment="1">
      <alignment horizontal="center" vertical="top" wrapText="1"/>
    </xf>
    <xf numFmtId="3" fontId="2" fillId="3" borderId="18"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3" fontId="3" fillId="0" borderId="23" xfId="0" applyNumberFormat="1" applyFont="1" applyBorder="1" applyAlignment="1">
      <alignment horizontal="center" vertical="center" textRotation="90" wrapText="1"/>
    </xf>
    <xf numFmtId="3" fontId="12" fillId="4" borderId="29" xfId="0" applyNumberFormat="1" applyFont="1" applyFill="1" applyBorder="1" applyAlignment="1">
      <alignment horizontal="center" vertical="top" wrapText="1"/>
    </xf>
    <xf numFmtId="3" fontId="2" fillId="4" borderId="62" xfId="0" applyNumberFormat="1" applyFont="1" applyFill="1" applyBorder="1" applyAlignment="1">
      <alignment vertical="top" wrapText="1"/>
    </xf>
    <xf numFmtId="167" fontId="2" fillId="9" borderId="17" xfId="2" applyNumberFormat="1" applyFont="1" applyFill="1" applyBorder="1" applyAlignment="1">
      <alignment vertical="top" wrapText="1"/>
    </xf>
    <xf numFmtId="167" fontId="2" fillId="9" borderId="0" xfId="2" applyNumberFormat="1" applyFont="1" applyFill="1" applyBorder="1" applyAlignment="1">
      <alignment horizontal="center" vertical="top" wrapText="1"/>
    </xf>
    <xf numFmtId="167" fontId="2" fillId="9" borderId="18" xfId="2" applyNumberFormat="1" applyFont="1" applyFill="1" applyBorder="1" applyAlignment="1">
      <alignment horizontal="center" vertical="top" wrapText="1"/>
    </xf>
    <xf numFmtId="167" fontId="2" fillId="9" borderId="26" xfId="2" applyNumberFormat="1" applyFont="1" applyFill="1" applyBorder="1" applyAlignment="1">
      <alignment horizontal="center" vertical="top" wrapText="1"/>
    </xf>
    <xf numFmtId="167" fontId="2" fillId="9" borderId="49" xfId="2" applyNumberFormat="1" applyFont="1" applyFill="1" applyBorder="1" applyAlignment="1">
      <alignment horizontal="center" vertical="top" wrapText="1"/>
    </xf>
    <xf numFmtId="167" fontId="2" fillId="9" borderId="42" xfId="2" applyNumberFormat="1" applyFont="1" applyFill="1" applyBorder="1" applyAlignment="1">
      <alignment horizontal="center" vertical="center"/>
    </xf>
    <xf numFmtId="167" fontId="2" fillId="9" borderId="53" xfId="2" applyNumberFormat="1" applyFont="1" applyFill="1" applyBorder="1" applyAlignment="1">
      <alignment vertical="top" wrapText="1"/>
    </xf>
    <xf numFmtId="49" fontId="3" fillId="4" borderId="0" xfId="0" applyNumberFormat="1" applyFont="1" applyFill="1" applyBorder="1" applyAlignment="1">
      <alignment horizontal="center" vertical="top" wrapText="1"/>
    </xf>
    <xf numFmtId="49" fontId="2" fillId="4" borderId="56" xfId="0" applyNumberFormat="1" applyFont="1" applyFill="1" applyBorder="1" applyAlignment="1">
      <alignment horizontal="center" vertical="top" wrapText="1"/>
    </xf>
    <xf numFmtId="3" fontId="2" fillId="0" borderId="10" xfId="0" applyNumberFormat="1" applyFont="1" applyBorder="1" applyAlignment="1">
      <alignment horizontal="center" vertical="top"/>
    </xf>
    <xf numFmtId="3" fontId="2" fillId="0" borderId="34" xfId="0" applyNumberFormat="1" applyFont="1" applyBorder="1" applyAlignment="1">
      <alignment horizontal="center" vertical="top"/>
    </xf>
    <xf numFmtId="167" fontId="2" fillId="9" borderId="38" xfId="2" applyNumberFormat="1" applyFont="1" applyFill="1" applyBorder="1" applyAlignment="1">
      <alignment horizontal="center" vertical="top" wrapText="1"/>
    </xf>
    <xf numFmtId="167" fontId="2" fillId="9" borderId="19" xfId="2" applyNumberFormat="1" applyFont="1" applyFill="1" applyBorder="1" applyAlignment="1">
      <alignment horizontal="center" vertical="top" wrapText="1"/>
    </xf>
    <xf numFmtId="164" fontId="2" fillId="4" borderId="38"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164" fontId="2" fillId="0" borderId="61" xfId="0" applyNumberFormat="1" applyFont="1" applyFill="1" applyBorder="1" applyAlignment="1">
      <alignment horizontal="center" vertical="top"/>
    </xf>
    <xf numFmtId="164" fontId="2" fillId="0" borderId="25" xfId="0" applyNumberFormat="1" applyFont="1" applyFill="1" applyBorder="1" applyAlignment="1">
      <alignment horizontal="center" vertical="top"/>
    </xf>
    <xf numFmtId="164" fontId="2" fillId="4" borderId="25" xfId="0" applyNumberFormat="1" applyFont="1" applyFill="1" applyBorder="1" applyAlignment="1">
      <alignment horizontal="center" vertical="top"/>
    </xf>
    <xf numFmtId="164" fontId="3" fillId="5" borderId="43" xfId="0" applyNumberFormat="1" applyFont="1" applyFill="1" applyBorder="1" applyAlignment="1">
      <alignment horizontal="center" vertical="top"/>
    </xf>
    <xf numFmtId="164" fontId="3" fillId="2" borderId="59" xfId="0" applyNumberFormat="1" applyFont="1" applyFill="1" applyBorder="1" applyAlignment="1">
      <alignment horizontal="center" vertical="top" wrapText="1"/>
    </xf>
    <xf numFmtId="165" fontId="3" fillId="0" borderId="23" xfId="0" applyNumberFormat="1" applyFont="1" applyBorder="1" applyAlignment="1">
      <alignment horizontal="center" vertical="center" textRotation="90" wrapText="1"/>
    </xf>
    <xf numFmtId="3" fontId="3" fillId="0" borderId="3" xfId="0" applyNumberFormat="1" applyFont="1" applyBorder="1" applyAlignment="1">
      <alignment horizontal="center" vertical="center" textRotation="90" wrapText="1"/>
    </xf>
    <xf numFmtId="3" fontId="3" fillId="0" borderId="11" xfId="0" applyNumberFormat="1" applyFont="1" applyBorder="1" applyAlignment="1">
      <alignment horizontal="center" vertical="center" textRotation="90" wrapText="1"/>
    </xf>
    <xf numFmtId="164" fontId="2" fillId="0" borderId="25" xfId="0" applyNumberFormat="1" applyFont="1" applyBorder="1" applyAlignment="1">
      <alignment horizontal="center" vertical="top" wrapText="1"/>
    </xf>
    <xf numFmtId="164" fontId="2" fillId="0" borderId="56" xfId="0" applyNumberFormat="1" applyFont="1" applyBorder="1" applyAlignment="1">
      <alignment horizontal="center" vertical="top" wrapText="1"/>
    </xf>
    <xf numFmtId="4" fontId="2" fillId="4" borderId="0" xfId="0" applyNumberFormat="1" applyFont="1" applyFill="1" applyBorder="1" applyAlignment="1">
      <alignment horizontal="center" vertical="top" wrapText="1"/>
    </xf>
    <xf numFmtId="164" fontId="2" fillId="4" borderId="49" xfId="0" applyNumberFormat="1" applyFont="1" applyFill="1" applyBorder="1" applyAlignment="1">
      <alignment horizontal="center" vertical="top" wrapText="1"/>
    </xf>
    <xf numFmtId="49" fontId="2" fillId="0" borderId="37" xfId="0" applyNumberFormat="1" applyFont="1" applyBorder="1" applyAlignment="1">
      <alignment horizontal="center" vertical="top" wrapText="1"/>
    </xf>
    <xf numFmtId="164" fontId="2" fillId="12" borderId="27" xfId="2" applyNumberFormat="1" applyFont="1" applyFill="1" applyBorder="1" applyAlignment="1">
      <alignment horizontal="center" vertical="top"/>
    </xf>
    <xf numFmtId="3" fontId="13" fillId="4" borderId="58" xfId="0" applyNumberFormat="1" applyFont="1" applyFill="1" applyBorder="1" applyAlignment="1">
      <alignment vertical="top" wrapText="1"/>
    </xf>
    <xf numFmtId="49" fontId="2" fillId="3" borderId="37"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4" borderId="9" xfId="0" applyNumberFormat="1" applyFont="1" applyFill="1" applyBorder="1" applyAlignment="1">
      <alignment horizontal="center" vertical="center"/>
    </xf>
    <xf numFmtId="164" fontId="2" fillId="4" borderId="71" xfId="0" applyNumberFormat="1" applyFont="1" applyFill="1" applyBorder="1" applyAlignment="1">
      <alignment horizontal="center" vertical="center"/>
    </xf>
    <xf numFmtId="49" fontId="2" fillId="3" borderId="11" xfId="0" applyNumberFormat="1" applyFont="1" applyFill="1" applyBorder="1" applyAlignment="1">
      <alignment horizontal="center" vertical="top" wrapText="1"/>
    </xf>
    <xf numFmtId="3" fontId="2" fillId="4" borderId="12" xfId="0" applyNumberFormat="1" applyFont="1" applyFill="1" applyBorder="1" applyAlignment="1">
      <alignment horizontal="center" vertical="top" wrapText="1"/>
    </xf>
    <xf numFmtId="164" fontId="2" fillId="4" borderId="76" xfId="0" applyNumberFormat="1" applyFont="1" applyFill="1" applyBorder="1" applyAlignment="1">
      <alignment horizontal="center" vertical="top" wrapText="1"/>
    </xf>
    <xf numFmtId="3" fontId="2" fillId="4" borderId="11" xfId="0" applyNumberFormat="1" applyFont="1" applyFill="1" applyBorder="1" applyAlignment="1">
      <alignment horizontal="center" vertical="top" wrapText="1"/>
    </xf>
    <xf numFmtId="164" fontId="2" fillId="4" borderId="81" xfId="0" applyNumberFormat="1" applyFont="1" applyFill="1" applyBorder="1" applyAlignment="1">
      <alignment horizontal="center" vertical="top" wrapText="1"/>
    </xf>
    <xf numFmtId="3" fontId="2" fillId="4" borderId="46" xfId="0" applyNumberFormat="1" applyFont="1" applyFill="1" applyBorder="1" applyAlignment="1">
      <alignment vertical="top" wrapText="1"/>
    </xf>
    <xf numFmtId="3" fontId="2" fillId="4" borderId="76" xfId="0" applyNumberFormat="1" applyFont="1" applyFill="1" applyBorder="1" applyAlignment="1">
      <alignment horizontal="center" vertical="top" wrapText="1"/>
    </xf>
    <xf numFmtId="3" fontId="2" fillId="4" borderId="81" xfId="0" applyNumberFormat="1" applyFont="1" applyFill="1" applyBorder="1" applyAlignment="1">
      <alignment horizontal="center" vertical="top" wrapText="1"/>
    </xf>
    <xf numFmtId="3" fontId="2" fillId="4" borderId="11" xfId="0" applyNumberFormat="1" applyFont="1" applyFill="1" applyBorder="1" applyAlignment="1">
      <alignment horizontal="left" vertical="top" wrapText="1"/>
    </xf>
    <xf numFmtId="3" fontId="13" fillId="0" borderId="26" xfId="0" applyNumberFormat="1" applyFont="1" applyFill="1" applyBorder="1" applyAlignment="1">
      <alignment horizontal="center" vertical="top" wrapText="1"/>
    </xf>
    <xf numFmtId="164" fontId="2" fillId="4" borderId="26" xfId="2"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xf>
    <xf numFmtId="3" fontId="13" fillId="4" borderId="30"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xf>
    <xf numFmtId="49" fontId="2" fillId="3" borderId="51" xfId="0" applyNumberFormat="1"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8" xfId="0" applyNumberFormat="1" applyFont="1" applyFill="1" applyBorder="1" applyAlignment="1">
      <alignment horizontal="left"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164" fontId="2" fillId="4" borderId="0" xfId="0" applyNumberFormat="1" applyFont="1" applyFill="1" applyBorder="1" applyAlignment="1">
      <alignment horizontal="center" vertical="top" wrapText="1"/>
    </xf>
    <xf numFmtId="164" fontId="2" fillId="4" borderId="39" xfId="0" applyNumberFormat="1" applyFont="1" applyFill="1" applyBorder="1" applyAlignment="1">
      <alignment horizontal="center" vertical="top" wrapText="1"/>
    </xf>
    <xf numFmtId="164" fontId="2" fillId="4" borderId="4" xfId="0" applyNumberFormat="1" applyFont="1" applyFill="1" applyBorder="1" applyAlignment="1">
      <alignment horizontal="center" vertical="top" wrapText="1"/>
    </xf>
    <xf numFmtId="164" fontId="2" fillId="4" borderId="46" xfId="0" applyNumberFormat="1" applyFont="1" applyFill="1" applyBorder="1" applyAlignment="1">
      <alignment horizontal="center" vertical="top" wrapText="1"/>
    </xf>
    <xf numFmtId="164" fontId="2" fillId="4" borderId="11"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center" wrapText="1"/>
    </xf>
    <xf numFmtId="164" fontId="2" fillId="4" borderId="67" xfId="0" applyNumberFormat="1" applyFont="1" applyFill="1" applyBorder="1" applyAlignment="1">
      <alignment horizontal="center" vertical="center" wrapText="1"/>
    </xf>
    <xf numFmtId="3" fontId="2" fillId="4" borderId="5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9" xfId="0" applyNumberFormat="1" applyFont="1" applyFill="1" applyBorder="1" applyAlignment="1">
      <alignment horizontal="left" vertical="top" wrapText="1"/>
    </xf>
    <xf numFmtId="49" fontId="3" fillId="3" borderId="0" xfId="0" applyNumberFormat="1" applyFont="1" applyFill="1" applyBorder="1" applyAlignment="1">
      <alignment vertical="top" wrapText="1"/>
    </xf>
    <xf numFmtId="3" fontId="2" fillId="4" borderId="9" xfId="0" applyNumberFormat="1" applyFont="1" applyFill="1" applyBorder="1" applyAlignment="1">
      <alignment vertical="top" wrapText="1"/>
    </xf>
    <xf numFmtId="3" fontId="15" fillId="4" borderId="32" xfId="0" applyNumberFormat="1" applyFont="1" applyFill="1" applyBorder="1" applyAlignment="1">
      <alignment horizontal="center" vertical="top" wrapText="1"/>
    </xf>
    <xf numFmtId="3" fontId="15" fillId="4" borderId="56" xfId="0" applyNumberFormat="1" applyFont="1" applyFill="1" applyBorder="1" applyAlignment="1">
      <alignment horizontal="center" vertical="top" wrapText="1"/>
    </xf>
    <xf numFmtId="3" fontId="15" fillId="4" borderId="66" xfId="0" applyNumberFormat="1" applyFont="1" applyFill="1" applyBorder="1" applyAlignment="1">
      <alignment horizontal="center" vertical="top"/>
    </xf>
    <xf numFmtId="49" fontId="2" fillId="3" borderId="85" xfId="0" applyNumberFormat="1" applyFont="1" applyFill="1" applyBorder="1" applyAlignment="1">
      <alignment horizontal="center" vertical="top" wrapText="1"/>
    </xf>
    <xf numFmtId="3" fontId="2" fillId="0" borderId="53" xfId="0" applyNumberFormat="1" applyFont="1" applyBorder="1" applyAlignment="1">
      <alignment horizontal="center" vertical="top" wrapText="1"/>
    </xf>
    <xf numFmtId="164" fontId="2" fillId="0" borderId="26" xfId="0" applyNumberFormat="1" applyFont="1" applyBorder="1" applyAlignment="1">
      <alignment horizontal="center" vertical="top" wrapText="1"/>
    </xf>
    <xf numFmtId="164" fontId="2" fillId="0" borderId="49" xfId="0" applyNumberFormat="1" applyFont="1" applyBorder="1" applyAlignment="1">
      <alignment horizontal="center" vertical="top" wrapText="1"/>
    </xf>
    <xf numFmtId="164" fontId="2" fillId="0" borderId="18" xfId="0" applyNumberFormat="1" applyFont="1" applyBorder="1" applyAlignment="1">
      <alignment horizontal="center" vertical="top" wrapText="1"/>
    </xf>
    <xf numFmtId="164" fontId="2" fillId="0" borderId="51" xfId="0" applyNumberFormat="1" applyFont="1" applyBorder="1" applyAlignment="1">
      <alignment horizontal="center" vertical="top"/>
    </xf>
    <xf numFmtId="164" fontId="2" fillId="0" borderId="49" xfId="0" applyNumberFormat="1" applyFont="1" applyBorder="1" applyAlignment="1">
      <alignment horizontal="center" vertical="top"/>
    </xf>
    <xf numFmtId="164" fontId="2" fillId="0" borderId="37" xfId="0" applyNumberFormat="1" applyFont="1" applyBorder="1" applyAlignment="1">
      <alignment horizontal="center" vertical="top"/>
    </xf>
    <xf numFmtId="3" fontId="13" fillId="0" borderId="54" xfId="0" applyNumberFormat="1" applyFont="1" applyFill="1" applyBorder="1" applyAlignment="1">
      <alignment horizontal="center" vertical="top" wrapText="1"/>
    </xf>
    <xf numFmtId="3" fontId="13" fillId="0" borderId="30" xfId="0" applyNumberFormat="1" applyFont="1" applyFill="1" applyBorder="1" applyAlignment="1">
      <alignment horizontal="center" vertical="top" wrapText="1"/>
    </xf>
    <xf numFmtId="3" fontId="13" fillId="0" borderId="0" xfId="0" applyNumberFormat="1" applyFont="1" applyFill="1" applyBorder="1" applyAlignment="1">
      <alignment horizontal="center" vertical="top" wrapText="1"/>
    </xf>
    <xf numFmtId="3" fontId="18" fillId="4" borderId="0" xfId="0" applyNumberFormat="1" applyFont="1" applyFill="1" applyBorder="1" applyAlignment="1">
      <alignment horizontal="center" vertical="top" wrapText="1"/>
    </xf>
    <xf numFmtId="3" fontId="15" fillId="0" borderId="2" xfId="0" applyNumberFormat="1" applyFont="1" applyBorder="1" applyAlignment="1">
      <alignment horizontal="center" vertical="top"/>
    </xf>
    <xf numFmtId="164" fontId="2" fillId="0" borderId="26" xfId="0" applyNumberFormat="1" applyFont="1" applyFill="1" applyBorder="1" applyAlignment="1">
      <alignment horizontal="center" vertical="top" wrapText="1"/>
    </xf>
    <xf numFmtId="164" fontId="2" fillId="0" borderId="51" xfId="0" applyNumberFormat="1" applyFont="1" applyFill="1" applyBorder="1" applyAlignment="1">
      <alignment horizontal="center" vertical="top" wrapText="1"/>
    </xf>
    <xf numFmtId="164" fontId="6" fillId="0" borderId="0" xfId="0" applyNumberFormat="1" applyFont="1" applyBorder="1" applyAlignment="1">
      <alignment vertical="top" wrapText="1"/>
    </xf>
    <xf numFmtId="49" fontId="2" fillId="4" borderId="51" xfId="2" applyNumberFormat="1" applyFont="1" applyFill="1" applyBorder="1" applyAlignment="1">
      <alignment horizontal="center" vertical="top"/>
    </xf>
    <xf numFmtId="167" fontId="2" fillId="9" borderId="65" xfId="2" applyNumberFormat="1" applyFont="1" applyFill="1" applyBorder="1" applyAlignment="1">
      <alignment horizontal="center" vertical="center"/>
    </xf>
    <xf numFmtId="167" fontId="2" fillId="9" borderId="74" xfId="2" applyNumberFormat="1" applyFont="1" applyFill="1" applyBorder="1" applyAlignment="1">
      <alignment horizontal="center" vertical="center"/>
    </xf>
    <xf numFmtId="49" fontId="2" fillId="4" borderId="56" xfId="2" applyNumberFormat="1" applyFont="1" applyFill="1" applyBorder="1" applyAlignment="1">
      <alignment horizontal="center" vertical="top"/>
    </xf>
    <xf numFmtId="164" fontId="2" fillId="12" borderId="66" xfId="2" applyNumberFormat="1" applyFont="1" applyFill="1" applyBorder="1" applyAlignment="1">
      <alignment horizontal="center" vertical="top"/>
    </xf>
    <xf numFmtId="167" fontId="2" fillId="9" borderId="78" xfId="2" applyNumberFormat="1" applyFont="1" applyFill="1" applyBorder="1" applyAlignment="1">
      <alignment horizontal="center" vertical="center"/>
    </xf>
    <xf numFmtId="167" fontId="2" fillId="9" borderId="75" xfId="2" applyNumberFormat="1" applyFont="1" applyFill="1" applyBorder="1" applyAlignment="1">
      <alignment horizontal="center" vertical="center"/>
    </xf>
    <xf numFmtId="49" fontId="2" fillId="13" borderId="32" xfId="2" applyNumberFormat="1" applyFont="1" applyFill="1" applyBorder="1" applyAlignment="1">
      <alignment horizontal="center" vertical="top" wrapText="1"/>
    </xf>
    <xf numFmtId="164" fontId="2" fillId="12" borderId="2" xfId="2" applyNumberFormat="1" applyFont="1" applyFill="1" applyBorder="1" applyAlignment="1">
      <alignment horizontal="center" vertical="top"/>
    </xf>
    <xf numFmtId="164" fontId="2" fillId="13" borderId="32" xfId="2" applyNumberFormat="1" applyFont="1" applyFill="1" applyBorder="1" applyAlignment="1">
      <alignment horizontal="center" vertical="top" wrapText="1"/>
    </xf>
    <xf numFmtId="164" fontId="2" fillId="13" borderId="56" xfId="2" applyNumberFormat="1" applyFont="1" applyFill="1" applyBorder="1" applyAlignment="1">
      <alignment horizontal="center" vertical="top" wrapText="1"/>
    </xf>
    <xf numFmtId="168" fontId="2" fillId="9" borderId="52" xfId="2" applyNumberFormat="1" applyFont="1" applyFill="1" applyBorder="1" applyAlignment="1">
      <alignment vertical="top" wrapText="1"/>
    </xf>
    <xf numFmtId="167" fontId="2" fillId="9" borderId="6" xfId="2" applyNumberFormat="1" applyFont="1" applyFill="1" applyBorder="1" applyAlignment="1">
      <alignment horizontal="center" vertical="top"/>
    </xf>
    <xf numFmtId="167" fontId="2" fillId="9" borderId="35" xfId="2" applyNumberFormat="1" applyFont="1" applyFill="1" applyBorder="1" applyAlignment="1">
      <alignment horizontal="center" vertical="top"/>
    </xf>
    <xf numFmtId="164" fontId="2" fillId="13" borderId="26" xfId="2" applyNumberFormat="1" applyFont="1" applyFill="1" applyBorder="1" applyAlignment="1">
      <alignment horizontal="center" vertical="top" wrapText="1"/>
    </xf>
    <xf numFmtId="168" fontId="2" fillId="9" borderId="17" xfId="2" applyNumberFormat="1" applyFont="1" applyFill="1" applyBorder="1" applyAlignment="1">
      <alignment vertical="top" wrapText="1"/>
    </xf>
    <xf numFmtId="167" fontId="2" fillId="9" borderId="8" xfId="2" applyNumberFormat="1" applyFont="1" applyFill="1" applyBorder="1" applyAlignment="1">
      <alignment horizontal="center" vertical="top"/>
    </xf>
    <xf numFmtId="168" fontId="2" fillId="9" borderId="0" xfId="2" applyNumberFormat="1" applyFont="1" applyFill="1" applyBorder="1" applyAlignment="1">
      <alignment horizontal="center" vertical="top" wrapText="1"/>
    </xf>
    <xf numFmtId="168"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xf>
    <xf numFmtId="164" fontId="2" fillId="4" borderId="6" xfId="2" applyNumberFormat="1" applyFont="1" applyFill="1" applyBorder="1" applyAlignment="1">
      <alignment horizontal="center" vertical="top"/>
    </xf>
    <xf numFmtId="164" fontId="2" fillId="13" borderId="51" xfId="2" applyNumberFormat="1" applyFont="1" applyFill="1" applyBorder="1" applyAlignment="1">
      <alignment horizontal="center" vertical="top" wrapText="1"/>
    </xf>
    <xf numFmtId="164" fontId="2" fillId="4" borderId="35" xfId="2" applyNumberFormat="1" applyFont="1" applyFill="1" applyBorder="1" applyAlignment="1">
      <alignment horizontal="center" vertical="top"/>
    </xf>
    <xf numFmtId="3" fontId="13" fillId="4" borderId="45" xfId="0" applyNumberFormat="1" applyFont="1" applyFill="1" applyBorder="1" applyAlignment="1">
      <alignment vertical="top" wrapText="1"/>
    </xf>
    <xf numFmtId="164" fontId="2" fillId="4" borderId="2" xfId="2" applyNumberFormat="1" applyFont="1" applyFill="1" applyBorder="1" applyAlignment="1">
      <alignment horizontal="center" vertical="top"/>
    </xf>
    <xf numFmtId="164" fontId="2" fillId="4" borderId="66" xfId="2" applyNumberFormat="1"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9" xfId="0" applyFont="1" applyFill="1" applyBorder="1" applyAlignment="1">
      <alignment horizontal="center" vertical="top" wrapText="1"/>
    </xf>
    <xf numFmtId="0" fontId="2" fillId="4" borderId="49" xfId="0" applyFont="1" applyFill="1" applyBorder="1" applyAlignment="1">
      <alignment horizontal="center" vertical="top" wrapText="1"/>
    </xf>
    <xf numFmtId="0" fontId="2" fillId="4" borderId="67" xfId="0" applyFont="1" applyFill="1" applyBorder="1" applyAlignment="1">
      <alignment horizontal="center" vertical="top" wrapText="1"/>
    </xf>
    <xf numFmtId="49" fontId="2" fillId="4" borderId="32" xfId="2" applyNumberFormat="1" applyFont="1" applyFill="1" applyBorder="1" applyAlignment="1">
      <alignment horizontal="center" vertical="top"/>
    </xf>
    <xf numFmtId="164" fontId="2" fillId="11" borderId="2" xfId="2" applyNumberFormat="1" applyFont="1" applyFill="1" applyBorder="1" applyAlignment="1">
      <alignment horizontal="center" vertical="top"/>
    </xf>
    <xf numFmtId="164" fontId="2" fillId="11" borderId="66" xfId="2" applyNumberFormat="1" applyFont="1" applyFill="1" applyBorder="1" applyAlignment="1">
      <alignment horizontal="center" vertical="top"/>
    </xf>
    <xf numFmtId="167" fontId="2" fillId="9" borderId="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49" fontId="2" fillId="4" borderId="0" xfId="2" applyNumberFormat="1" applyFont="1" applyFill="1" applyBorder="1" applyAlignment="1">
      <alignment horizontal="center" vertical="top"/>
    </xf>
    <xf numFmtId="49" fontId="2" fillId="4" borderId="18" xfId="2" applyNumberFormat="1" applyFont="1" applyFill="1" applyBorder="1" applyAlignment="1">
      <alignment horizontal="center" vertical="top"/>
    </xf>
    <xf numFmtId="164" fontId="2" fillId="11" borderId="6" xfId="2" applyNumberFormat="1" applyFont="1" applyFill="1" applyBorder="1" applyAlignment="1">
      <alignment horizontal="center" vertical="top"/>
    </xf>
    <xf numFmtId="164" fontId="2" fillId="11" borderId="35" xfId="2" applyNumberFormat="1" applyFont="1" applyFill="1" applyBorder="1" applyAlignment="1">
      <alignment horizontal="center" vertical="top"/>
    </xf>
    <xf numFmtId="49" fontId="2" fillId="4" borderId="2" xfId="2" applyNumberFormat="1" applyFont="1" applyFill="1" applyBorder="1" applyAlignment="1">
      <alignment horizontal="center" vertical="top"/>
    </xf>
    <xf numFmtId="165" fontId="2" fillId="4" borderId="33" xfId="2" applyNumberFormat="1" applyFont="1" applyFill="1" applyBorder="1" applyAlignment="1">
      <alignment horizontal="center" vertical="top"/>
    </xf>
    <xf numFmtId="164" fontId="2" fillId="12" borderId="44" xfId="2" applyNumberFormat="1" applyFont="1" applyFill="1" applyBorder="1" applyAlignment="1">
      <alignment horizontal="center" vertical="top"/>
    </xf>
    <xf numFmtId="167" fontId="2" fillId="9" borderId="55" xfId="2" applyNumberFormat="1" applyFont="1" applyFill="1" applyBorder="1" applyAlignment="1">
      <alignment horizontal="left" vertical="top" wrapText="1"/>
    </xf>
    <xf numFmtId="167" fontId="2" fillId="9" borderId="32" xfId="2" applyNumberFormat="1" applyFont="1" applyFill="1" applyBorder="1" applyAlignment="1">
      <alignment horizontal="center" vertical="top" wrapText="1"/>
    </xf>
    <xf numFmtId="167" fontId="2" fillId="9" borderId="56" xfId="2" applyNumberFormat="1" applyFont="1" applyFill="1" applyBorder="1" applyAlignment="1">
      <alignment horizontal="center" vertical="top" wrapText="1"/>
    </xf>
    <xf numFmtId="165" fontId="2" fillId="4" borderId="80" xfId="2" applyNumberFormat="1" applyFont="1" applyFill="1" applyBorder="1" applyAlignment="1">
      <alignment horizontal="center" vertical="top"/>
    </xf>
    <xf numFmtId="165" fontId="2" fillId="4" borderId="37" xfId="2" applyNumberFormat="1" applyFont="1" applyFill="1" applyBorder="1" applyAlignment="1">
      <alignment vertical="top"/>
    </xf>
    <xf numFmtId="164" fontId="2" fillId="12" borderId="67" xfId="2" applyNumberFormat="1" applyFont="1" applyFill="1" applyBorder="1" applyAlignment="1">
      <alignment vertical="top"/>
    </xf>
    <xf numFmtId="164" fontId="2" fillId="12" borderId="31" xfId="2" applyNumberFormat="1" applyFont="1" applyFill="1" applyBorder="1" applyAlignment="1">
      <alignment horizontal="center" vertical="top"/>
    </xf>
    <xf numFmtId="167" fontId="2" fillId="9" borderId="2" xfId="2" applyNumberFormat="1" applyFont="1" applyFill="1" applyBorder="1" applyAlignment="1">
      <alignment vertical="top" wrapText="1"/>
    </xf>
    <xf numFmtId="167" fontId="2" fillId="9" borderId="33" xfId="2" applyNumberFormat="1" applyFont="1" applyFill="1" applyBorder="1" applyAlignment="1">
      <alignment vertical="top" wrapText="1"/>
    </xf>
    <xf numFmtId="3" fontId="2" fillId="4" borderId="66" xfId="0" applyNumberFormat="1" applyFont="1" applyFill="1" applyBorder="1" applyAlignment="1">
      <alignment vertical="top" wrapText="1"/>
    </xf>
    <xf numFmtId="167" fontId="2" fillId="9" borderId="5" xfId="2" applyNumberFormat="1" applyFont="1" applyFill="1" applyBorder="1" applyAlignment="1">
      <alignment vertical="top" wrapText="1"/>
    </xf>
    <xf numFmtId="167" fontId="2" fillId="9" borderId="80" xfId="2" applyNumberFormat="1" applyFont="1" applyFill="1" applyBorder="1" applyAlignment="1">
      <alignment vertical="top" wrapText="1"/>
    </xf>
    <xf numFmtId="167" fontId="2" fillId="9" borderId="37" xfId="2" applyNumberFormat="1" applyFont="1" applyFill="1" applyBorder="1" applyAlignment="1">
      <alignment vertical="top" wrapText="1"/>
    </xf>
    <xf numFmtId="167" fontId="2" fillId="9" borderId="17" xfId="2" applyNumberFormat="1" applyFont="1" applyFill="1" applyBorder="1" applyAlignment="1">
      <alignment horizontal="left" vertical="top" wrapText="1"/>
    </xf>
    <xf numFmtId="164" fontId="2" fillId="4" borderId="32" xfId="2" applyNumberFormat="1" applyFont="1" applyFill="1" applyBorder="1" applyAlignment="1">
      <alignment horizontal="center" vertical="top"/>
    </xf>
    <xf numFmtId="164" fontId="2" fillId="4" borderId="56" xfId="2" applyNumberFormat="1" applyFont="1" applyFill="1" applyBorder="1" applyAlignment="1">
      <alignment horizontal="center" vertical="top"/>
    </xf>
    <xf numFmtId="167" fontId="2" fillId="11" borderId="52" xfId="2" applyNumberFormat="1" applyFont="1" applyFill="1" applyBorder="1" applyAlignment="1">
      <alignment horizontal="left" vertical="top" wrapText="1"/>
    </xf>
    <xf numFmtId="167" fontId="2" fillId="11" borderId="35" xfId="2" applyNumberFormat="1" applyFont="1" applyFill="1" applyBorder="1" applyAlignment="1">
      <alignment horizontal="center" vertical="top"/>
    </xf>
    <xf numFmtId="167" fontId="2" fillId="11" borderId="17" xfId="2" applyNumberFormat="1" applyFont="1" applyFill="1" applyBorder="1" applyAlignment="1">
      <alignment horizontal="left" vertical="top" wrapText="1"/>
    </xf>
    <xf numFmtId="167" fontId="2" fillId="11" borderId="8" xfId="2" applyNumberFormat="1" applyFont="1" applyFill="1" applyBorder="1" applyAlignment="1">
      <alignment horizontal="center" vertical="top"/>
    </xf>
    <xf numFmtId="167" fontId="2" fillId="11" borderId="0" xfId="2" applyNumberFormat="1" applyFont="1" applyFill="1" applyBorder="1" applyAlignment="1">
      <alignment horizontal="center" vertical="top" wrapText="1"/>
    </xf>
    <xf numFmtId="167" fontId="2" fillId="11" borderId="18" xfId="2" applyNumberFormat="1" applyFont="1" applyFill="1" applyBorder="1" applyAlignment="1">
      <alignment horizontal="center" vertical="top" wrapText="1"/>
    </xf>
    <xf numFmtId="167" fontId="2" fillId="11" borderId="29" xfId="2" applyNumberFormat="1" applyFont="1" applyFill="1" applyBorder="1" applyAlignment="1">
      <alignment horizontal="center" vertical="top"/>
    </xf>
    <xf numFmtId="164" fontId="2" fillId="12" borderId="8" xfId="2" applyNumberFormat="1" applyFont="1" applyFill="1" applyBorder="1" applyAlignment="1">
      <alignment horizontal="center" vertical="top"/>
    </xf>
    <xf numFmtId="164" fontId="2" fillId="4" borderId="18" xfId="2" applyNumberFormat="1" applyFont="1" applyFill="1" applyBorder="1" applyAlignment="1">
      <alignment horizontal="center" vertical="top"/>
    </xf>
    <xf numFmtId="164" fontId="2" fillId="12" borderId="29" xfId="2" applyNumberFormat="1" applyFont="1" applyFill="1" applyBorder="1" applyAlignment="1">
      <alignment horizontal="center" vertical="top"/>
    </xf>
    <xf numFmtId="167" fontId="2" fillId="11" borderId="53" xfId="2" applyNumberFormat="1" applyFont="1" applyFill="1" applyBorder="1" applyAlignment="1">
      <alignment horizontal="left" vertical="top" wrapText="1"/>
    </xf>
    <xf numFmtId="167" fontId="2" fillId="11" borderId="5" xfId="2" applyNumberFormat="1" applyFont="1" applyFill="1" applyBorder="1" applyAlignment="1">
      <alignment horizontal="center" vertical="top"/>
    </xf>
    <xf numFmtId="167" fontId="2" fillId="11" borderId="49" xfId="2" applyNumberFormat="1" applyFont="1" applyFill="1" applyBorder="1" applyAlignment="1">
      <alignment horizontal="center" vertical="top" wrapText="1"/>
    </xf>
    <xf numFmtId="167" fontId="2" fillId="11" borderId="37" xfId="2" applyNumberFormat="1" applyFont="1" applyFill="1" applyBorder="1" applyAlignment="1">
      <alignment horizontal="center" vertical="top" wrapText="1"/>
    </xf>
    <xf numFmtId="167" fontId="2" fillId="11" borderId="67" xfId="2" applyNumberFormat="1" applyFont="1" applyFill="1" applyBorder="1" applyAlignment="1">
      <alignment horizontal="center" vertical="top"/>
    </xf>
    <xf numFmtId="164" fontId="3" fillId="11" borderId="6" xfId="2" applyNumberFormat="1" applyFont="1" applyFill="1" applyBorder="1" applyAlignment="1">
      <alignment horizontal="center" vertical="top"/>
    </xf>
    <xf numFmtId="164" fontId="3" fillId="4" borderId="26" xfId="2" applyNumberFormat="1" applyFont="1" applyFill="1" applyBorder="1" applyAlignment="1">
      <alignment horizontal="right" vertical="top"/>
    </xf>
    <xf numFmtId="164" fontId="3" fillId="4" borderId="51" xfId="2" applyNumberFormat="1" applyFont="1" applyFill="1" applyBorder="1" applyAlignment="1">
      <alignment horizontal="right" vertical="top"/>
    </xf>
    <xf numFmtId="164" fontId="3" fillId="11" borderId="29" xfId="2" applyNumberFormat="1" applyFont="1" applyFill="1" applyBorder="1" applyAlignment="1">
      <alignment horizontal="center" vertical="top"/>
    </xf>
    <xf numFmtId="164" fontId="3" fillId="11" borderId="5" xfId="2" applyNumberFormat="1" applyFont="1" applyFill="1" applyBorder="1" applyAlignment="1">
      <alignment horizontal="center" vertical="top"/>
    </xf>
    <xf numFmtId="164" fontId="3" fillId="4" borderId="49" xfId="2" applyNumberFormat="1" applyFont="1" applyFill="1" applyBorder="1" applyAlignment="1">
      <alignment horizontal="right" vertical="top"/>
    </xf>
    <xf numFmtId="164" fontId="3" fillId="4" borderId="37" xfId="2" applyNumberFormat="1" applyFont="1" applyFill="1" applyBorder="1" applyAlignment="1">
      <alignment horizontal="right" vertical="top"/>
    </xf>
    <xf numFmtId="164" fontId="3" fillId="11" borderId="67" xfId="2" applyNumberFormat="1" applyFont="1" applyFill="1" applyBorder="1" applyAlignment="1">
      <alignment horizontal="center" vertical="top"/>
    </xf>
    <xf numFmtId="164" fontId="3" fillId="11" borderId="8" xfId="2" applyNumberFormat="1" applyFont="1" applyFill="1" applyBorder="1" applyAlignment="1">
      <alignment horizontal="center" vertical="top"/>
    </xf>
    <xf numFmtId="164" fontId="3" fillId="4" borderId="0" xfId="2" applyNumberFormat="1" applyFont="1" applyFill="1" applyBorder="1" applyAlignment="1">
      <alignment horizontal="right" vertical="top"/>
    </xf>
    <xf numFmtId="164" fontId="3" fillId="4" borderId="18" xfId="2" applyNumberFormat="1" applyFont="1" applyFill="1" applyBorder="1" applyAlignment="1">
      <alignment horizontal="right" vertical="top"/>
    </xf>
    <xf numFmtId="167" fontId="15" fillId="9" borderId="49" xfId="2" applyNumberFormat="1" applyFont="1" applyFill="1" applyBorder="1" applyAlignment="1">
      <alignment horizontal="center" vertical="top" wrapText="1"/>
    </xf>
    <xf numFmtId="167" fontId="15" fillId="9" borderId="37" xfId="2" applyNumberFormat="1" applyFont="1" applyFill="1" applyBorder="1" applyAlignment="1">
      <alignment horizontal="center" vertical="top" wrapText="1"/>
    </xf>
    <xf numFmtId="167" fontId="15" fillId="9" borderId="67" xfId="2" applyNumberFormat="1" applyFont="1" applyFill="1" applyBorder="1" applyAlignment="1">
      <alignment horizontal="center" vertical="top"/>
    </xf>
    <xf numFmtId="49" fontId="3" fillId="4" borderId="17" xfId="2" applyNumberFormat="1" applyFont="1" applyFill="1" applyBorder="1" applyAlignment="1">
      <alignment horizontal="center" vertical="top"/>
    </xf>
    <xf numFmtId="167" fontId="15" fillId="9" borderId="26" xfId="2" applyNumberFormat="1" applyFont="1" applyFill="1" applyBorder="1" applyAlignment="1">
      <alignment horizontal="center" vertical="top" wrapText="1"/>
    </xf>
    <xf numFmtId="49" fontId="3" fillId="4" borderId="53" xfId="2" applyNumberFormat="1" applyFont="1" applyFill="1" applyBorder="1" applyAlignment="1">
      <alignment horizontal="center" vertical="top"/>
    </xf>
    <xf numFmtId="164" fontId="2" fillId="11" borderId="5" xfId="2" applyNumberFormat="1" applyFont="1" applyFill="1" applyBorder="1" applyAlignment="1">
      <alignment horizontal="center" vertical="top"/>
    </xf>
    <xf numFmtId="164" fontId="2" fillId="4" borderId="49" xfId="2" applyNumberFormat="1" applyFont="1" applyFill="1" applyBorder="1" applyAlignment="1">
      <alignment horizontal="center" vertical="top"/>
    </xf>
    <xf numFmtId="164" fontId="2" fillId="11" borderId="67" xfId="2" applyNumberFormat="1" applyFont="1" applyFill="1" applyBorder="1" applyAlignment="1">
      <alignment horizontal="center" vertical="top"/>
    </xf>
    <xf numFmtId="167" fontId="2" fillId="9" borderId="67" xfId="2" applyNumberFormat="1" applyFont="1" applyFill="1" applyBorder="1" applyAlignment="1">
      <alignment horizontal="center" vertical="top"/>
    </xf>
    <xf numFmtId="3" fontId="13" fillId="4" borderId="44" xfId="0" applyNumberFormat="1" applyFont="1" applyFill="1" applyBorder="1" applyAlignment="1">
      <alignment horizontal="center" vertical="top" wrapText="1"/>
    </xf>
    <xf numFmtId="164" fontId="3" fillId="11" borderId="2" xfId="2" applyNumberFormat="1" applyFont="1" applyFill="1" applyBorder="1" applyAlignment="1">
      <alignment horizontal="center" vertical="top"/>
    </xf>
    <xf numFmtId="167" fontId="2" fillId="9" borderId="2" xfId="2" applyNumberFormat="1" applyFont="1" applyFill="1" applyBorder="1" applyAlignment="1">
      <alignment horizontal="center" vertical="top"/>
    </xf>
    <xf numFmtId="164" fontId="4" fillId="11" borderId="5" xfId="2" applyNumberFormat="1" applyFont="1" applyFill="1" applyBorder="1" applyAlignment="1">
      <alignment horizontal="center" vertical="top"/>
    </xf>
    <xf numFmtId="164" fontId="2" fillId="11" borderId="15" xfId="2" applyNumberFormat="1" applyFont="1" applyFill="1" applyBorder="1" applyAlignment="1">
      <alignment horizontal="center" vertical="top"/>
    </xf>
    <xf numFmtId="3" fontId="3" fillId="4" borderId="26" xfId="0" applyNumberFormat="1" applyFont="1" applyFill="1" applyBorder="1" applyAlignment="1">
      <alignment horizontal="center" vertical="top" wrapText="1"/>
    </xf>
    <xf numFmtId="164" fontId="3" fillId="5" borderId="2" xfId="0" applyNumberFormat="1" applyFont="1" applyFill="1" applyBorder="1" applyAlignment="1">
      <alignment horizontal="center" vertical="top" wrapText="1"/>
    </xf>
    <xf numFmtId="164" fontId="3" fillId="5" borderId="55" xfId="0" applyNumberFormat="1" applyFont="1" applyFill="1" applyBorder="1" applyAlignment="1">
      <alignment horizontal="center" vertical="top" wrapText="1"/>
    </xf>
    <xf numFmtId="164" fontId="3" fillId="5" borderId="56" xfId="0" applyNumberFormat="1" applyFont="1" applyFill="1" applyBorder="1" applyAlignment="1">
      <alignment horizontal="center" vertical="top" wrapText="1"/>
    </xf>
    <xf numFmtId="164" fontId="3" fillId="5" borderId="25" xfId="0" applyNumberFormat="1" applyFont="1" applyFill="1" applyBorder="1" applyAlignment="1">
      <alignment horizontal="center" vertical="top" wrapText="1"/>
    </xf>
    <xf numFmtId="49" fontId="8" fillId="4" borderId="51" xfId="0" applyNumberFormat="1" applyFont="1" applyFill="1" applyBorder="1" applyAlignment="1">
      <alignment horizontal="center" vertical="top" wrapText="1"/>
    </xf>
    <xf numFmtId="49" fontId="8" fillId="4" borderId="18" xfId="0" applyNumberFormat="1" applyFont="1" applyFill="1" applyBorder="1" applyAlignment="1">
      <alignment horizontal="center" vertical="top" wrapText="1"/>
    </xf>
    <xf numFmtId="49" fontId="2" fillId="4" borderId="32" xfId="2" applyNumberFormat="1" applyFont="1" applyFill="1" applyBorder="1" applyAlignment="1">
      <alignment horizontal="center" vertical="top" wrapText="1"/>
    </xf>
    <xf numFmtId="49" fontId="2" fillId="4" borderId="56" xfId="2" applyNumberFormat="1" applyFont="1" applyFill="1" applyBorder="1" applyAlignment="1">
      <alignment horizontal="center" vertical="top" wrapText="1"/>
    </xf>
    <xf numFmtId="167" fontId="2" fillId="9" borderId="68" xfId="2" applyNumberFormat="1" applyFont="1" applyFill="1" applyBorder="1" applyAlignment="1">
      <alignment vertical="top" wrapText="1"/>
    </xf>
    <xf numFmtId="167" fontId="2" fillId="9" borderId="65" xfId="2" applyNumberFormat="1" applyFont="1" applyFill="1" applyBorder="1" applyAlignment="1">
      <alignment horizontal="center" vertical="top" wrapText="1"/>
    </xf>
    <xf numFmtId="167" fontId="2" fillId="9" borderId="77" xfId="2" applyNumberFormat="1" applyFont="1" applyFill="1" applyBorder="1" applyAlignment="1">
      <alignment horizontal="center" vertical="top" wrapText="1"/>
    </xf>
    <xf numFmtId="167" fontId="2" fillId="9" borderId="69" xfId="2" applyNumberFormat="1" applyFont="1" applyFill="1" applyBorder="1" applyAlignment="1">
      <alignment horizontal="center" vertical="top" wrapText="1"/>
    </xf>
    <xf numFmtId="167" fontId="2" fillId="9" borderId="74" xfId="2" applyNumberFormat="1" applyFont="1" applyFill="1" applyBorder="1" applyAlignment="1">
      <alignment horizontal="center" vertical="top" wrapText="1"/>
    </xf>
    <xf numFmtId="49" fontId="2" fillId="4" borderId="26" xfId="2" applyNumberFormat="1" applyFont="1" applyFill="1" applyBorder="1" applyAlignment="1">
      <alignment horizontal="center" vertical="top" wrapText="1"/>
    </xf>
    <xf numFmtId="49" fontId="2" fillId="4" borderId="51" xfId="2" applyNumberFormat="1" applyFont="1" applyFill="1" applyBorder="1" applyAlignment="1">
      <alignment horizontal="center" vertical="top" wrapText="1"/>
    </xf>
    <xf numFmtId="164" fontId="3" fillId="4" borderId="6" xfId="0" applyNumberFormat="1" applyFont="1" applyFill="1" applyBorder="1" applyAlignment="1">
      <alignment horizontal="center" vertical="top" wrapText="1"/>
    </xf>
    <xf numFmtId="3" fontId="3" fillId="4" borderId="51" xfId="0" applyNumberFormat="1" applyFont="1" applyFill="1" applyBorder="1" applyAlignment="1">
      <alignment horizontal="center" vertical="top" wrapText="1"/>
    </xf>
    <xf numFmtId="164" fontId="3" fillId="4" borderId="35" xfId="0" applyNumberFormat="1" applyFont="1" applyFill="1" applyBorder="1" applyAlignment="1">
      <alignment horizontal="center" vertical="top" wrapText="1"/>
    </xf>
    <xf numFmtId="167" fontId="2" fillId="9" borderId="6" xfId="2" applyNumberFormat="1" applyFont="1" applyFill="1" applyBorder="1" applyAlignment="1">
      <alignment horizontal="center" vertical="top" wrapText="1"/>
    </xf>
    <xf numFmtId="167" fontId="2" fillId="9" borderId="35" xfId="2" applyNumberFormat="1" applyFont="1" applyFill="1" applyBorder="1" applyAlignment="1">
      <alignment horizontal="center" vertical="top" wrapText="1"/>
    </xf>
    <xf numFmtId="167" fontId="2" fillId="9" borderId="5" xfId="2" applyNumberFormat="1" applyFont="1" applyFill="1" applyBorder="1" applyAlignment="1">
      <alignment horizontal="center" vertical="top" wrapText="1"/>
    </xf>
    <xf numFmtId="167" fontId="2" fillId="9" borderId="67" xfId="2" applyNumberFormat="1" applyFont="1" applyFill="1" applyBorder="1" applyAlignment="1">
      <alignment horizontal="center" vertical="top" wrapText="1"/>
    </xf>
    <xf numFmtId="167" fontId="2" fillId="9" borderId="48" xfId="2" applyNumberFormat="1" applyFont="1" applyFill="1" applyBorder="1" applyAlignment="1">
      <alignment vertical="top" wrapText="1"/>
    </xf>
    <xf numFmtId="167" fontId="2" fillId="9" borderId="38" xfId="2" applyNumberFormat="1" applyFont="1" applyFill="1" applyBorder="1" applyAlignment="1">
      <alignment vertical="top" wrapText="1"/>
    </xf>
    <xf numFmtId="167" fontId="2" fillId="9" borderId="19" xfId="2" applyNumberFormat="1" applyFont="1" applyFill="1" applyBorder="1" applyAlignment="1">
      <alignment vertical="top" wrapText="1"/>
    </xf>
    <xf numFmtId="3" fontId="13" fillId="4" borderId="18" xfId="0" applyNumberFormat="1" applyFont="1" applyFill="1" applyBorder="1" applyAlignment="1">
      <alignment horizontal="center" vertical="top" textRotation="90" wrapText="1"/>
    </xf>
    <xf numFmtId="49" fontId="2" fillId="4" borderId="44" xfId="0" applyNumberFormat="1" applyFont="1" applyFill="1" applyBorder="1" applyAlignment="1">
      <alignment horizontal="center" vertical="top" wrapText="1"/>
    </xf>
    <xf numFmtId="0" fontId="2" fillId="4" borderId="2" xfId="0" applyNumberFormat="1" applyFont="1" applyFill="1" applyBorder="1" applyAlignment="1">
      <alignment horizontal="center" vertical="top"/>
    </xf>
    <xf numFmtId="0" fontId="2" fillId="4" borderId="66" xfId="0" applyNumberFormat="1" applyFont="1" applyFill="1" applyBorder="1" applyAlignment="1">
      <alignment horizontal="center" vertical="top"/>
    </xf>
    <xf numFmtId="49" fontId="2" fillId="4" borderId="31" xfId="0" applyNumberFormat="1" applyFont="1" applyFill="1" applyBorder="1" applyAlignment="1">
      <alignment horizontal="center" vertical="top" wrapText="1"/>
    </xf>
    <xf numFmtId="164" fontId="2" fillId="4" borderId="44" xfId="0" applyNumberFormat="1" applyFont="1" applyFill="1" applyBorder="1" applyAlignment="1">
      <alignment horizontal="center" vertical="top"/>
    </xf>
    <xf numFmtId="49" fontId="2" fillId="4" borderId="45" xfId="0" applyNumberFormat="1" applyFont="1" applyFill="1" applyBorder="1" applyAlignment="1">
      <alignment horizontal="center" vertical="top" wrapText="1"/>
    </xf>
    <xf numFmtId="164" fontId="2" fillId="4" borderId="45" xfId="0" applyNumberFormat="1" applyFont="1" applyFill="1" applyBorder="1" applyAlignment="1">
      <alignment horizontal="center" vertical="top"/>
    </xf>
    <xf numFmtId="164" fontId="2" fillId="4" borderId="15" xfId="0" applyNumberFormat="1" applyFont="1" applyFill="1" applyBorder="1" applyAlignment="1">
      <alignment horizontal="center" vertical="top"/>
    </xf>
    <xf numFmtId="1" fontId="2" fillId="4" borderId="5" xfId="0" applyNumberFormat="1" applyFont="1" applyFill="1" applyBorder="1" applyAlignment="1">
      <alignment horizontal="center" vertical="top"/>
    </xf>
    <xf numFmtId="1" fontId="2" fillId="4" borderId="67" xfId="0" applyNumberFormat="1" applyFont="1" applyFill="1" applyBorder="1" applyAlignment="1">
      <alignment horizontal="center" vertical="top"/>
    </xf>
    <xf numFmtId="3" fontId="13" fillId="4" borderId="37" xfId="0" applyNumberFormat="1" applyFont="1" applyFill="1" applyBorder="1" applyAlignment="1">
      <alignment horizontal="center" vertical="top" wrapText="1"/>
    </xf>
    <xf numFmtId="49" fontId="2" fillId="4" borderId="30" xfId="0" applyNumberFormat="1" applyFont="1" applyFill="1" applyBorder="1" applyAlignment="1">
      <alignment horizontal="center" vertical="top" wrapText="1"/>
    </xf>
    <xf numFmtId="164" fontId="2" fillId="4" borderId="31" xfId="0" applyNumberFormat="1" applyFont="1" applyFill="1" applyBorder="1" applyAlignment="1">
      <alignment horizontal="center" vertical="top"/>
    </xf>
    <xf numFmtId="3" fontId="15" fillId="4" borderId="18" xfId="0" applyNumberFormat="1" applyFont="1" applyFill="1" applyBorder="1" applyAlignment="1">
      <alignment horizontal="center" vertical="top" wrapText="1"/>
    </xf>
    <xf numFmtId="3" fontId="13" fillId="4" borderId="56" xfId="0" applyNumberFormat="1" applyFont="1" applyFill="1" applyBorder="1" applyAlignment="1">
      <alignment horizontal="center" vertical="center" wrapText="1"/>
    </xf>
    <xf numFmtId="3" fontId="13" fillId="4" borderId="18" xfId="0" applyNumberFormat="1" applyFont="1" applyFill="1" applyBorder="1" applyAlignment="1">
      <alignment horizontal="center" vertical="center" wrapText="1"/>
    </xf>
    <xf numFmtId="164" fontId="2" fillId="4" borderId="79" xfId="0" applyNumberFormat="1" applyFont="1" applyFill="1" applyBorder="1" applyAlignment="1">
      <alignment horizontal="center" vertical="top"/>
    </xf>
    <xf numFmtId="164" fontId="2" fillId="4" borderId="82" xfId="0" applyNumberFormat="1" applyFont="1" applyFill="1" applyBorder="1" applyAlignment="1">
      <alignment horizontal="center" vertical="top"/>
    </xf>
    <xf numFmtId="164" fontId="2" fillId="4" borderId="84" xfId="0" applyNumberFormat="1" applyFont="1" applyFill="1" applyBorder="1" applyAlignment="1">
      <alignment horizontal="center" vertical="top"/>
    </xf>
    <xf numFmtId="164" fontId="2" fillId="4" borderId="83" xfId="0" applyNumberFormat="1" applyFont="1" applyFill="1" applyBorder="1" applyAlignment="1">
      <alignment horizontal="center" vertical="top"/>
    </xf>
    <xf numFmtId="0" fontId="2" fillId="4" borderId="52" xfId="0" applyFont="1" applyFill="1" applyBorder="1" applyAlignment="1">
      <alignment vertical="top" wrapText="1"/>
    </xf>
    <xf numFmtId="3" fontId="13" fillId="4" borderId="29" xfId="0" applyNumberFormat="1" applyFont="1" applyFill="1" applyBorder="1" applyAlignment="1">
      <alignment horizontal="center" vertical="top" textRotation="180" wrapText="1"/>
    </xf>
    <xf numFmtId="0" fontId="2" fillId="4" borderId="17" xfId="0" applyFont="1" applyFill="1" applyBorder="1" applyAlignment="1">
      <alignment horizontal="left" vertical="top" wrapText="1"/>
    </xf>
    <xf numFmtId="164" fontId="2" fillId="4" borderId="26" xfId="1" applyNumberFormat="1" applyFont="1" applyFill="1" applyBorder="1" applyAlignment="1">
      <alignment horizontal="center" vertical="top" wrapText="1"/>
    </xf>
    <xf numFmtId="3" fontId="13" fillId="4" borderId="23" xfId="0" applyNumberFormat="1" applyFont="1" applyFill="1" applyBorder="1" applyAlignment="1">
      <alignment horizontal="center" vertical="top" wrapText="1"/>
    </xf>
    <xf numFmtId="165" fontId="2" fillId="4" borderId="10" xfId="0" applyNumberFormat="1" applyFont="1" applyFill="1" applyBorder="1" applyAlignment="1">
      <alignment horizontal="center" vertical="top" wrapText="1"/>
    </xf>
    <xf numFmtId="164" fontId="2" fillId="4" borderId="45" xfId="0" applyNumberFormat="1" applyFont="1" applyFill="1" applyBorder="1" applyAlignment="1">
      <alignment horizontal="center" vertical="top" wrapText="1"/>
    </xf>
    <xf numFmtId="164" fontId="2" fillId="4" borderId="56" xfId="1" applyNumberFormat="1" applyFont="1" applyFill="1" applyBorder="1" applyAlignment="1">
      <alignment horizontal="center" vertical="top" wrapText="1"/>
    </xf>
    <xf numFmtId="3" fontId="3" fillId="4" borderId="49" xfId="0" applyNumberFormat="1" applyFont="1" applyFill="1" applyBorder="1" applyAlignment="1">
      <alignment horizontal="right" vertical="top" wrapText="1"/>
    </xf>
    <xf numFmtId="164" fontId="2" fillId="4" borderId="53" xfId="0" applyNumberFormat="1" applyFont="1" applyFill="1" applyBorder="1" applyAlignment="1">
      <alignment horizontal="center" vertical="top" wrapText="1"/>
    </xf>
    <xf numFmtId="3" fontId="15" fillId="4" borderId="29" xfId="0" applyNumberFormat="1" applyFont="1" applyFill="1" applyBorder="1" applyAlignment="1">
      <alignment horizontal="center" vertical="top" wrapText="1"/>
    </xf>
    <xf numFmtId="3" fontId="13" fillId="4" borderId="64" xfId="0" applyNumberFormat="1" applyFont="1" applyFill="1" applyBorder="1" applyAlignment="1">
      <alignment horizontal="center" vertical="top" wrapText="1"/>
    </xf>
    <xf numFmtId="3" fontId="13" fillId="4" borderId="57" xfId="0" applyNumberFormat="1" applyFont="1" applyFill="1" applyBorder="1" applyAlignment="1">
      <alignment horizontal="center" vertical="top" wrapText="1"/>
    </xf>
    <xf numFmtId="3" fontId="13" fillId="4" borderId="51" xfId="0" applyNumberFormat="1" applyFont="1" applyFill="1" applyBorder="1" applyAlignment="1">
      <alignment horizontal="center" vertical="top" wrapText="1"/>
    </xf>
    <xf numFmtId="3" fontId="13" fillId="4" borderId="63" xfId="0" applyNumberFormat="1" applyFont="1" applyFill="1" applyBorder="1" applyAlignment="1">
      <alignment horizontal="center" vertical="top" wrapText="1"/>
    </xf>
    <xf numFmtId="3" fontId="13" fillId="0" borderId="64" xfId="0" applyNumberFormat="1" applyFont="1" applyFill="1" applyBorder="1" applyAlignment="1">
      <alignment horizontal="center" vertical="top" wrapText="1"/>
    </xf>
    <xf numFmtId="3" fontId="13" fillId="0" borderId="63"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3" fontId="3" fillId="4" borderId="37" xfId="0" applyNumberFormat="1" applyFont="1" applyFill="1" applyBorder="1" applyAlignment="1">
      <alignment horizontal="left" vertical="top" wrapText="1"/>
    </xf>
    <xf numFmtId="4" fontId="2" fillId="4" borderId="19" xfId="0"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4" fontId="2" fillId="0" borderId="0" xfId="0" applyNumberFormat="1" applyFont="1" applyBorder="1" applyAlignment="1">
      <alignment horizontal="center" vertical="top" wrapText="1"/>
    </xf>
    <xf numFmtId="164" fontId="2" fillId="0" borderId="26" xfId="0" applyNumberFormat="1" applyFont="1" applyBorder="1" applyAlignment="1">
      <alignment horizontal="center" vertical="top"/>
    </xf>
    <xf numFmtId="164" fontId="2" fillId="0" borderId="0" xfId="0" applyNumberFormat="1" applyFont="1" applyBorder="1" applyAlignment="1">
      <alignment horizontal="center" vertical="top"/>
    </xf>
    <xf numFmtId="164" fontId="2" fillId="0" borderId="18" xfId="0" applyNumberFormat="1" applyFont="1" applyBorder="1" applyAlignment="1">
      <alignment horizontal="center" vertical="top"/>
    </xf>
    <xf numFmtId="164" fontId="2" fillId="0" borderId="29" xfId="0" applyNumberFormat="1" applyFont="1" applyFill="1" applyBorder="1" applyAlignment="1">
      <alignment horizontal="center" vertical="top"/>
    </xf>
    <xf numFmtId="164" fontId="2" fillId="0" borderId="15" xfId="0" applyNumberFormat="1" applyFont="1" applyFill="1" applyBorder="1" applyAlignment="1">
      <alignment horizontal="center" vertical="top"/>
    </xf>
    <xf numFmtId="164" fontId="2" fillId="0" borderId="3" xfId="0" applyNumberFormat="1" applyFont="1" applyBorder="1" applyAlignment="1">
      <alignment horizontal="center" vertical="top"/>
    </xf>
    <xf numFmtId="164" fontId="2" fillId="0" borderId="13" xfId="0" applyNumberFormat="1" applyFont="1" applyBorder="1" applyAlignment="1">
      <alignment horizontal="center" vertical="top"/>
    </xf>
    <xf numFmtId="164" fontId="2" fillId="4" borderId="23" xfId="0" applyNumberFormat="1" applyFont="1" applyFill="1" applyBorder="1" applyAlignment="1">
      <alignment horizontal="center" vertical="top"/>
    </xf>
    <xf numFmtId="3" fontId="2" fillId="4" borderId="73" xfId="0" applyNumberFormat="1" applyFont="1" applyFill="1" applyBorder="1" applyAlignment="1">
      <alignment horizontal="center" vertical="top" wrapText="1"/>
    </xf>
    <xf numFmtId="49" fontId="2" fillId="4" borderId="8" xfId="2" applyNumberFormat="1" applyFont="1" applyFill="1" applyBorder="1" applyAlignment="1">
      <alignment horizontal="center" vertical="top"/>
    </xf>
    <xf numFmtId="165" fontId="2" fillId="4" borderId="36" xfId="2" applyNumberFormat="1" applyFont="1" applyFill="1" applyBorder="1" applyAlignment="1">
      <alignment horizontal="center" vertical="top"/>
    </xf>
    <xf numFmtId="165" fontId="2" fillId="4" borderId="18" xfId="2" applyNumberFormat="1" applyFont="1" applyFill="1" applyBorder="1" applyAlignment="1">
      <alignment vertical="top"/>
    </xf>
    <xf numFmtId="164" fontId="2" fillId="12" borderId="29" xfId="2" applyNumberFormat="1" applyFont="1" applyFill="1" applyBorder="1" applyAlignment="1">
      <alignment vertical="top"/>
    </xf>
    <xf numFmtId="49" fontId="3" fillId="8" borderId="17" xfId="0"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0" borderId="7" xfId="0" applyNumberFormat="1" applyFont="1" applyFill="1" applyBorder="1" applyAlignment="1">
      <alignment horizontal="center" vertical="top"/>
    </xf>
    <xf numFmtId="165" fontId="2" fillId="4" borderId="51" xfId="2" applyNumberFormat="1" applyFont="1" applyFill="1" applyBorder="1" applyAlignment="1">
      <alignment horizontal="center" vertical="top"/>
    </xf>
    <xf numFmtId="164" fontId="2" fillId="12" borderId="35" xfId="2" applyNumberFormat="1" applyFont="1" applyFill="1" applyBorder="1" applyAlignment="1">
      <alignment vertical="top"/>
    </xf>
    <xf numFmtId="167" fontId="2" fillId="11" borderId="6" xfId="2" applyNumberFormat="1" applyFont="1" applyFill="1" applyBorder="1" applyAlignment="1">
      <alignment horizontal="center" vertical="top"/>
    </xf>
    <xf numFmtId="3" fontId="2" fillId="4" borderId="18"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0" xfId="0" applyNumberFormat="1" applyFont="1" applyFill="1" applyBorder="1" applyAlignment="1">
      <alignment horizontal="left" vertical="top" wrapText="1"/>
    </xf>
    <xf numFmtId="3" fontId="2" fillId="4" borderId="35" xfId="0" applyNumberFormat="1" applyFont="1" applyFill="1" applyBorder="1" applyAlignment="1">
      <alignment horizontal="center" vertical="top" wrapText="1"/>
    </xf>
    <xf numFmtId="3" fontId="2" fillId="4" borderId="18" xfId="0" applyNumberFormat="1" applyFont="1" applyFill="1" applyBorder="1" applyAlignment="1">
      <alignment vertical="top" wrapText="1"/>
    </xf>
    <xf numFmtId="167" fontId="2" fillId="9" borderId="37" xfId="2"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18" xfId="0" applyNumberFormat="1" applyFont="1" applyFill="1" applyBorder="1" applyAlignment="1">
      <alignment horizontal="left" vertical="top" wrapText="1"/>
    </xf>
    <xf numFmtId="3" fontId="13" fillId="4" borderId="30" xfId="0" applyNumberFormat="1" applyFont="1" applyFill="1" applyBorder="1" applyAlignment="1">
      <alignment horizontal="center" vertical="top" wrapText="1"/>
    </xf>
    <xf numFmtId="3" fontId="2" fillId="4" borderId="2" xfId="0" applyNumberFormat="1" applyFont="1" applyFill="1" applyBorder="1" applyAlignment="1">
      <alignment horizontal="center" vertical="center" wrapText="1"/>
    </xf>
    <xf numFmtId="3" fontId="13"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0" fontId="15" fillId="4" borderId="51" xfId="0" applyFont="1" applyFill="1" applyBorder="1" applyAlignment="1">
      <alignment horizontal="center"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4" fontId="2" fillId="4" borderId="55"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2" fillId="4" borderId="51" xfId="0" applyNumberFormat="1" applyFont="1" applyFill="1" applyBorder="1" applyAlignment="1">
      <alignment vertical="top" wrapText="1"/>
    </xf>
    <xf numFmtId="3" fontId="2" fillId="4" borderId="35"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49" xfId="0" applyNumberFormat="1" applyFont="1" applyFill="1" applyBorder="1" applyAlignment="1">
      <alignment horizontal="left" vertical="top" wrapText="1"/>
    </xf>
    <xf numFmtId="3" fontId="8" fillId="4" borderId="18" xfId="0" applyNumberFormat="1" applyFont="1" applyFill="1" applyBorder="1" applyAlignment="1">
      <alignment horizontal="left" vertical="top" wrapText="1"/>
    </xf>
    <xf numFmtId="0" fontId="15" fillId="4" borderId="18" xfId="0"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4" fontId="2" fillId="4" borderId="38" xfId="0" applyNumberFormat="1" applyFont="1" applyFill="1" applyBorder="1" applyAlignment="1">
      <alignment horizontal="center" vertical="top" wrapText="1"/>
    </xf>
    <xf numFmtId="165" fontId="2" fillId="4" borderId="32" xfId="0" applyNumberFormat="1" applyFont="1" applyFill="1" applyBorder="1" applyAlignment="1">
      <alignment horizontal="center" vertical="top" wrapText="1"/>
    </xf>
    <xf numFmtId="165" fontId="2" fillId="4" borderId="56" xfId="0" applyNumberFormat="1" applyFont="1" applyFill="1" applyBorder="1" applyAlignment="1">
      <alignment horizontal="center" vertical="top" wrapText="1"/>
    </xf>
    <xf numFmtId="165" fontId="2" fillId="4" borderId="66" xfId="0" applyNumberFormat="1" applyFont="1" applyFill="1" applyBorder="1" applyAlignment="1">
      <alignment horizontal="center" vertical="top" wrapText="1"/>
    </xf>
    <xf numFmtId="49" fontId="2" fillId="3" borderId="19" xfId="0" applyNumberFormat="1" applyFont="1" applyFill="1" applyBorder="1" applyAlignment="1">
      <alignment vertical="top" wrapText="1"/>
    </xf>
    <xf numFmtId="49" fontId="2" fillId="3" borderId="56" xfId="0" applyNumberFormat="1" applyFont="1" applyFill="1" applyBorder="1" applyAlignment="1">
      <alignment vertical="top" wrapText="1"/>
    </xf>
    <xf numFmtId="167" fontId="2" fillId="9" borderId="51" xfId="2" applyNumberFormat="1" applyFont="1" applyFill="1" applyBorder="1" applyAlignment="1">
      <alignment horizontal="center" vertical="top" wrapText="1"/>
    </xf>
    <xf numFmtId="167" fontId="2" fillId="9" borderId="5" xfId="2" applyNumberFormat="1" applyFont="1" applyFill="1" applyBorder="1" applyAlignment="1">
      <alignment horizontal="center" vertical="top"/>
    </xf>
    <xf numFmtId="165" fontId="2" fillId="4" borderId="70" xfId="2" applyNumberFormat="1" applyFont="1" applyFill="1" applyBorder="1" applyAlignment="1">
      <alignment horizontal="center" vertical="top"/>
    </xf>
    <xf numFmtId="164" fontId="2" fillId="4" borderId="0" xfId="2" applyNumberFormat="1" applyFont="1" applyFill="1" applyBorder="1" applyAlignment="1">
      <alignment horizontal="center" vertical="top"/>
    </xf>
    <xf numFmtId="167" fontId="2" fillId="9" borderId="74" xfId="2" applyNumberFormat="1" applyFont="1" applyFill="1" applyBorder="1" applyAlignment="1">
      <alignment horizontal="center" vertical="top"/>
    </xf>
    <xf numFmtId="0" fontId="2" fillId="4" borderId="70" xfId="0" applyFont="1" applyFill="1" applyBorder="1" applyAlignment="1">
      <alignment horizontal="center" vertical="top" wrapText="1"/>
    </xf>
    <xf numFmtId="167" fontId="2" fillId="9" borderId="65" xfId="2" applyNumberFormat="1" applyFont="1" applyFill="1" applyBorder="1" applyAlignment="1">
      <alignment horizontal="center" vertical="top"/>
    </xf>
    <xf numFmtId="0" fontId="2" fillId="4" borderId="51" xfId="0"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49" fontId="3" fillId="8" borderId="17" xfId="0" applyNumberFormat="1" applyFont="1" applyFill="1" applyBorder="1" applyAlignment="1">
      <alignment horizontal="center" vertical="top"/>
    </xf>
    <xf numFmtId="0" fontId="2" fillId="4" borderId="55" xfId="2" applyNumberFormat="1" applyFont="1" applyFill="1" applyBorder="1" applyAlignment="1">
      <alignment horizontal="center" vertical="top"/>
    </xf>
    <xf numFmtId="3" fontId="13" fillId="4" borderId="15" xfId="0" applyNumberFormat="1" applyFont="1" applyFill="1" applyBorder="1" applyAlignment="1">
      <alignment horizontal="center" vertical="top" wrapText="1"/>
    </xf>
    <xf numFmtId="167" fontId="2" fillId="9" borderId="26" xfId="2" applyNumberFormat="1" applyFont="1" applyFill="1" applyBorder="1" applyAlignment="1">
      <alignment horizontal="center" vertical="top"/>
    </xf>
    <xf numFmtId="3" fontId="2" fillId="4" borderId="51" xfId="1" applyNumberFormat="1" applyFont="1" applyFill="1" applyBorder="1" applyAlignment="1">
      <alignment horizontal="center" vertical="top"/>
    </xf>
    <xf numFmtId="3" fontId="2" fillId="4" borderId="67" xfId="0" applyNumberFormat="1" applyFont="1" applyFill="1" applyBorder="1" applyAlignment="1">
      <alignment horizontal="center" vertical="top" wrapText="1"/>
    </xf>
    <xf numFmtId="167" fontId="2" fillId="11" borderId="26" xfId="2" applyNumberFormat="1" applyFont="1" applyFill="1" applyBorder="1" applyAlignment="1">
      <alignment horizontal="center" vertical="top" wrapText="1"/>
    </xf>
    <xf numFmtId="167" fontId="2" fillId="11" borderId="51" xfId="2" applyNumberFormat="1" applyFont="1" applyFill="1" applyBorder="1" applyAlignment="1">
      <alignment horizontal="center" vertical="top" wrapText="1"/>
    </xf>
    <xf numFmtId="3" fontId="15" fillId="4" borderId="2" xfId="0" applyNumberFormat="1" applyFont="1" applyFill="1" applyBorder="1" applyAlignment="1">
      <alignment horizontal="center" vertical="top"/>
    </xf>
    <xf numFmtId="0" fontId="6" fillId="0" borderId="86" xfId="0" applyFont="1" applyBorder="1" applyAlignment="1">
      <alignment horizontal="center" vertical="center" wrapText="1"/>
    </xf>
    <xf numFmtId="0" fontId="6" fillId="0" borderId="86" xfId="0" applyFont="1" applyBorder="1" applyAlignment="1">
      <alignment vertical="center" wrapText="1"/>
    </xf>
    <xf numFmtId="0" fontId="6" fillId="15" borderId="86" xfId="0" applyFont="1" applyFill="1" applyBorder="1" applyAlignment="1">
      <alignment horizontal="center" vertical="center" wrapText="1"/>
    </xf>
    <xf numFmtId="0" fontId="6" fillId="15" borderId="86" xfId="0" applyFont="1" applyFill="1" applyBorder="1" applyAlignment="1">
      <alignment vertical="center" wrapText="1"/>
    </xf>
    <xf numFmtId="16" fontId="6" fillId="0" borderId="86" xfId="0" applyNumberFormat="1" applyFont="1" applyBorder="1" applyAlignment="1">
      <alignment horizontal="center" vertical="center" wrapText="1"/>
    </xf>
    <xf numFmtId="0" fontId="21" fillId="0" borderId="86"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86" xfId="0" applyFont="1" applyBorder="1" applyAlignment="1">
      <alignment vertical="center" wrapText="1"/>
    </xf>
    <xf numFmtId="0" fontId="19" fillId="0" borderId="0" xfId="0" applyFont="1" applyAlignment="1">
      <alignment vertical="center"/>
    </xf>
    <xf numFmtId="0" fontId="6" fillId="0" borderId="0" xfId="0" applyFont="1" applyAlignment="1">
      <alignment vertical="center"/>
    </xf>
    <xf numFmtId="0" fontId="0" fillId="0" borderId="0" xfId="0" applyAlignment="1">
      <alignment horizontal="center"/>
    </xf>
    <xf numFmtId="0" fontId="6" fillId="0" borderId="86" xfId="0" applyFont="1" applyBorder="1" applyAlignment="1">
      <alignment horizontal="center" vertical="center"/>
    </xf>
    <xf numFmtId="3" fontId="2" fillId="4" borderId="19" xfId="0" applyNumberFormat="1" applyFont="1" applyFill="1" applyBorder="1" applyAlignment="1">
      <alignment vertical="top" wrapText="1"/>
    </xf>
    <xf numFmtId="49" fontId="2" fillId="4" borderId="19" xfId="0" applyNumberFormat="1" applyFont="1" applyFill="1" applyBorder="1" applyAlignment="1">
      <alignment vertical="top" wrapText="1"/>
    </xf>
    <xf numFmtId="49" fontId="11" fillId="3" borderId="19" xfId="0" applyNumberFormat="1" applyFont="1" applyFill="1" applyBorder="1" applyAlignment="1">
      <alignment vertical="top" wrapText="1"/>
    </xf>
    <xf numFmtId="3" fontId="2" fillId="4" borderId="51" xfId="0" applyNumberFormat="1" applyFont="1" applyFill="1" applyBorder="1" applyAlignment="1">
      <alignment horizontal="center" vertical="top" wrapText="1"/>
    </xf>
    <xf numFmtId="164" fontId="15" fillId="4" borderId="26" xfId="2" applyNumberFormat="1" applyFont="1" applyFill="1" applyBorder="1" applyAlignment="1">
      <alignment horizontal="center" vertical="top"/>
    </xf>
    <xf numFmtId="164" fontId="15" fillId="4" borderId="51" xfId="2" applyNumberFormat="1" applyFont="1" applyFill="1" applyBorder="1" applyAlignment="1">
      <alignment horizontal="center" vertical="top"/>
    </xf>
    <xf numFmtId="164" fontId="15" fillId="12" borderId="27" xfId="2" applyNumberFormat="1" applyFont="1" applyFill="1" applyBorder="1" applyAlignment="1">
      <alignment horizontal="center" vertical="top"/>
    </xf>
    <xf numFmtId="3" fontId="13" fillId="4" borderId="35" xfId="0" applyNumberFormat="1" applyFont="1" applyFill="1" applyBorder="1" applyAlignment="1">
      <alignment horizontal="center" vertical="top" wrapText="1"/>
    </xf>
    <xf numFmtId="164" fontId="2" fillId="4" borderId="33" xfId="0" applyNumberFormat="1" applyFont="1" applyFill="1" applyBorder="1" applyAlignment="1">
      <alignment horizontal="center" vertical="top" wrapText="1"/>
    </xf>
    <xf numFmtId="49" fontId="2" fillId="4" borderId="51" xfId="0" applyNumberFormat="1" applyFont="1" applyFill="1" applyBorder="1" applyAlignment="1">
      <alignment vertical="top" wrapText="1"/>
    </xf>
    <xf numFmtId="49" fontId="2" fillId="4" borderId="18" xfId="0" applyNumberFormat="1" applyFont="1" applyFill="1" applyBorder="1" applyAlignment="1">
      <alignment vertical="top" wrapText="1"/>
    </xf>
    <xf numFmtId="3" fontId="13" fillId="0" borderId="19" xfId="0" applyNumberFormat="1" applyFont="1" applyFill="1" applyBorder="1" applyAlignment="1">
      <alignment horizontal="center" vertical="top" textRotation="90" wrapText="1"/>
    </xf>
    <xf numFmtId="3" fontId="23" fillId="4" borderId="26" xfId="0" applyNumberFormat="1" applyFont="1" applyFill="1" applyBorder="1" applyAlignment="1">
      <alignment horizontal="center" vertical="top" wrapText="1"/>
    </xf>
    <xf numFmtId="3" fontId="2" fillId="4" borderId="18"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3" fontId="13" fillId="4" borderId="51" xfId="0" applyNumberFormat="1" applyFont="1" applyFill="1" applyBorder="1" applyAlignment="1">
      <alignment horizontal="center" vertical="center" wrapText="1"/>
    </xf>
    <xf numFmtId="3" fontId="2" fillId="4" borderId="51" xfId="0" applyNumberFormat="1" applyFont="1" applyFill="1" applyBorder="1" applyAlignment="1">
      <alignment vertical="top" wrapText="1"/>
    </xf>
    <xf numFmtId="49" fontId="2" fillId="4" borderId="1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xf>
    <xf numFmtId="49" fontId="2" fillId="4" borderId="30" xfId="0" applyNumberFormat="1" applyFont="1" applyFill="1" applyBorder="1" applyAlignment="1">
      <alignment horizontal="center" vertical="top"/>
    </xf>
    <xf numFmtId="49" fontId="2" fillId="4" borderId="58" xfId="0" applyNumberFormat="1" applyFont="1" applyFill="1" applyBorder="1" applyAlignment="1">
      <alignment horizontal="center" vertical="top"/>
    </xf>
    <xf numFmtId="3" fontId="2" fillId="4" borderId="29"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0" fontId="2" fillId="4" borderId="33" xfId="0" applyFont="1" applyFill="1" applyBorder="1" applyAlignment="1">
      <alignment horizontal="center" vertical="top" wrapText="1"/>
    </xf>
    <xf numFmtId="0" fontId="2" fillId="4" borderId="53" xfId="0" applyFont="1" applyFill="1" applyBorder="1" applyAlignment="1">
      <alignment horizontal="left" vertical="top" wrapText="1"/>
    </xf>
    <xf numFmtId="3" fontId="2" fillId="4" borderId="18" xfId="0" applyNumberFormat="1" applyFont="1" applyFill="1" applyBorder="1" applyAlignment="1">
      <alignment vertical="top" wrapText="1"/>
    </xf>
    <xf numFmtId="3" fontId="2" fillId="4" borderId="5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13" fillId="4" borderId="18"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 fontId="2" fillId="9" borderId="26" xfId="2" applyNumberFormat="1" applyFont="1" applyFill="1" applyBorder="1" applyAlignment="1">
      <alignment horizontal="center" vertical="top" wrapText="1"/>
    </xf>
    <xf numFmtId="165" fontId="2" fillId="4" borderId="32" xfId="2" applyNumberFormat="1" applyFont="1" applyFill="1" applyBorder="1" applyAlignment="1">
      <alignment horizontal="center" vertical="top"/>
    </xf>
    <xf numFmtId="165" fontId="2" fillId="4" borderId="0" xfId="2" applyNumberFormat="1" applyFont="1" applyFill="1" applyBorder="1" applyAlignment="1">
      <alignment horizontal="center" vertical="top"/>
    </xf>
    <xf numFmtId="0" fontId="2" fillId="4" borderId="32" xfId="2" applyNumberFormat="1" applyFont="1" applyFill="1" applyBorder="1" applyAlignment="1">
      <alignment horizontal="center" vertical="top"/>
    </xf>
    <xf numFmtId="0" fontId="2" fillId="4" borderId="0" xfId="2" applyNumberFormat="1" applyFont="1" applyFill="1" applyBorder="1" applyAlignment="1">
      <alignment horizontal="center" vertical="top"/>
    </xf>
    <xf numFmtId="0" fontId="2" fillId="4" borderId="26" xfId="2" applyNumberFormat="1" applyFont="1" applyFill="1" applyBorder="1" applyAlignment="1">
      <alignment horizontal="center" vertical="top"/>
    </xf>
    <xf numFmtId="0" fontId="2" fillId="4" borderId="32" xfId="2"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164" fontId="2" fillId="12" borderId="26" xfId="2" applyNumberFormat="1" applyFont="1" applyFill="1" applyBorder="1" applyAlignment="1">
      <alignment horizontal="center" vertical="top"/>
    </xf>
    <xf numFmtId="3" fontId="2" fillId="4" borderId="42" xfId="0" applyNumberFormat="1" applyFont="1" applyFill="1" applyBorder="1" applyAlignment="1">
      <alignment vertical="top" wrapText="1"/>
    </xf>
    <xf numFmtId="164" fontId="2" fillId="11" borderId="8" xfId="2" applyNumberFormat="1" applyFont="1" applyFill="1" applyBorder="1" applyAlignment="1">
      <alignment horizontal="center" vertical="top"/>
    </xf>
    <xf numFmtId="1" fontId="2" fillId="9" borderId="51" xfId="2"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3" fontId="2" fillId="4" borderId="51"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3" fontId="2" fillId="0" borderId="6"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3" fontId="2" fillId="0" borderId="42" xfId="0" applyNumberFormat="1" applyFont="1" applyBorder="1" applyAlignment="1">
      <alignment horizontal="center" vertical="top" wrapText="1"/>
    </xf>
    <xf numFmtId="3" fontId="2" fillId="4" borderId="10"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4" borderId="52" xfId="0" applyNumberFormat="1" applyFont="1" applyFill="1" applyBorder="1" applyAlignment="1">
      <alignment horizontal="left" vertical="top" wrapText="1"/>
    </xf>
    <xf numFmtId="3" fontId="2" fillId="4" borderId="53" xfId="0" applyNumberFormat="1" applyFont="1" applyFill="1" applyBorder="1" applyAlignment="1">
      <alignment horizontal="left" vertical="top" wrapText="1"/>
    </xf>
    <xf numFmtId="0" fontId="2" fillId="4" borderId="6" xfId="0" applyFont="1" applyFill="1" applyBorder="1" applyAlignment="1">
      <alignment horizontal="left" vertical="top" wrapText="1"/>
    </xf>
    <xf numFmtId="3" fontId="2" fillId="0" borderId="10" xfId="0" applyNumberFormat="1" applyFont="1" applyBorder="1" applyAlignment="1">
      <alignment horizontal="center" vertical="top" wrapText="1"/>
    </xf>
    <xf numFmtId="3" fontId="2" fillId="4" borderId="42" xfId="0" applyNumberFormat="1" applyFont="1" applyFill="1" applyBorder="1" applyAlignment="1">
      <alignment horizontal="center" vertical="top" wrapText="1"/>
    </xf>
    <xf numFmtId="3" fontId="2" fillId="4" borderId="16" xfId="0" applyNumberFormat="1" applyFont="1" applyFill="1" applyBorder="1" applyAlignment="1">
      <alignment horizontal="left" vertical="top" wrapText="1"/>
    </xf>
    <xf numFmtId="3" fontId="2" fillId="4" borderId="48" xfId="0" applyNumberFormat="1" applyFont="1" applyFill="1" applyBorder="1" applyAlignment="1">
      <alignment horizontal="left" vertical="top" wrapText="1"/>
    </xf>
    <xf numFmtId="3" fontId="2" fillId="0" borderId="10" xfId="0" applyNumberFormat="1" applyFont="1" applyFill="1" applyBorder="1" applyAlignment="1">
      <alignment horizontal="center" vertical="top" wrapText="1"/>
    </xf>
    <xf numFmtId="3" fontId="2" fillId="0" borderId="42" xfId="0" applyNumberFormat="1" applyFont="1" applyFill="1" applyBorder="1" applyAlignment="1">
      <alignment horizontal="center" vertical="top" wrapText="1"/>
    </xf>
    <xf numFmtId="3" fontId="13" fillId="4" borderId="35" xfId="0" applyNumberFormat="1" applyFont="1" applyFill="1" applyBorder="1" applyAlignment="1">
      <alignment horizontal="center" vertical="top" wrapText="1"/>
    </xf>
    <xf numFmtId="3" fontId="13" fillId="4" borderId="29" xfId="0" applyNumberFormat="1" applyFont="1" applyFill="1" applyBorder="1" applyAlignment="1">
      <alignment horizontal="center" vertical="top" wrapText="1"/>
    </xf>
    <xf numFmtId="3" fontId="2" fillId="4" borderId="37" xfId="0" applyNumberFormat="1" applyFont="1" applyFill="1" applyBorder="1" applyAlignment="1">
      <alignment horizontal="left" vertical="top" wrapText="1"/>
    </xf>
    <xf numFmtId="3" fontId="13" fillId="4" borderId="51" xfId="0" applyNumberFormat="1" applyFont="1" applyFill="1" applyBorder="1" applyAlignment="1">
      <alignment horizontal="center" vertical="center" wrapText="1"/>
    </xf>
    <xf numFmtId="3" fontId="2" fillId="4" borderId="18" xfId="0" applyNumberFormat="1" applyFont="1" applyFill="1" applyBorder="1" applyAlignment="1">
      <alignment horizontal="left" vertical="top" wrapText="1"/>
    </xf>
    <xf numFmtId="49" fontId="2" fillId="4" borderId="5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2" fillId="3" borderId="10" xfId="0" applyNumberFormat="1" applyFont="1" applyFill="1" applyBorder="1" applyAlignment="1">
      <alignment horizontal="center" vertical="top" wrapText="1"/>
    </xf>
    <xf numFmtId="3" fontId="2" fillId="4" borderId="13" xfId="0" applyNumberFormat="1" applyFont="1" applyFill="1" applyBorder="1" applyAlignment="1">
      <alignment horizontal="left" vertical="top" wrapText="1"/>
    </xf>
    <xf numFmtId="164" fontId="2" fillId="4" borderId="6" xfId="0" applyNumberFormat="1" applyFont="1" applyFill="1" applyBorder="1" applyAlignment="1">
      <alignment horizontal="center" vertical="top"/>
    </xf>
    <xf numFmtId="164" fontId="2" fillId="4" borderId="5" xfId="0" applyNumberFormat="1" applyFont="1" applyFill="1" applyBorder="1" applyAlignment="1">
      <alignment horizontal="center" vertical="top"/>
    </xf>
    <xf numFmtId="0" fontId="2" fillId="4" borderId="18" xfId="0" applyFont="1" applyFill="1" applyBorder="1" applyAlignment="1">
      <alignment horizontal="left" vertical="top" wrapText="1"/>
    </xf>
    <xf numFmtId="49" fontId="2" fillId="4" borderId="37" xfId="0" applyNumberFormat="1" applyFont="1" applyFill="1" applyBorder="1" applyAlignment="1">
      <alignment horizontal="center" vertical="top" wrapText="1"/>
    </xf>
    <xf numFmtId="3" fontId="3" fillId="5" borderId="39" xfId="0" applyNumberFormat="1" applyFont="1" applyFill="1" applyBorder="1" applyAlignment="1">
      <alignment horizontal="right" vertical="top" wrapText="1"/>
    </xf>
    <xf numFmtId="164" fontId="2" fillId="4" borderId="6"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35" xfId="0" applyNumberFormat="1" applyFont="1" applyFill="1" applyBorder="1" applyAlignment="1">
      <alignment horizontal="center" vertical="top"/>
    </xf>
    <xf numFmtId="164" fontId="2" fillId="4" borderId="29"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164" fontId="2" fillId="4" borderId="8" xfId="0" applyNumberFormat="1" applyFont="1" applyFill="1" applyBorder="1" applyAlignment="1">
      <alignment horizontal="center" vertical="top"/>
    </xf>
    <xf numFmtId="3" fontId="3" fillId="4" borderId="54"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3" fillId="4" borderId="18" xfId="0" applyNumberFormat="1" applyFont="1" applyFill="1" applyBorder="1" applyAlignment="1">
      <alignment horizontal="left" vertical="top" wrapText="1"/>
    </xf>
    <xf numFmtId="164" fontId="2" fillId="4" borderId="13"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3" fontId="2" fillId="4" borderId="0" xfId="0" applyNumberFormat="1" applyFont="1" applyFill="1" applyBorder="1" applyAlignment="1">
      <alignment horizontal="left" vertical="top" wrapText="1"/>
    </xf>
    <xf numFmtId="3" fontId="2" fillId="4" borderId="6" xfId="0" applyNumberFormat="1" applyFont="1" applyFill="1" applyBorder="1" applyAlignment="1">
      <alignment horizontal="center" vertical="top"/>
    </xf>
    <xf numFmtId="3" fontId="2" fillId="4" borderId="42" xfId="0" applyNumberFormat="1" applyFont="1" applyFill="1" applyBorder="1" applyAlignment="1">
      <alignment horizontal="center" vertical="top"/>
    </xf>
    <xf numFmtId="164" fontId="2" fillId="4" borderId="34"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2" fillId="4" borderId="34"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5" xfId="0"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167" fontId="2" fillId="9" borderId="52" xfId="2" applyNumberFormat="1" applyFont="1" applyFill="1" applyBorder="1" applyAlignment="1">
      <alignment horizontal="left" vertical="top" wrapText="1"/>
    </xf>
    <xf numFmtId="167" fontId="2" fillId="9" borderId="53" xfId="2" applyNumberFormat="1" applyFont="1" applyFill="1" applyBorder="1" applyAlignment="1">
      <alignment horizontal="left" vertical="top" wrapText="1"/>
    </xf>
    <xf numFmtId="164" fontId="2" fillId="4" borderId="21"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164" fontId="2" fillId="4" borderId="42" xfId="0" applyNumberFormat="1" applyFont="1" applyFill="1" applyBorder="1" applyAlignment="1">
      <alignment horizontal="center" vertical="top" wrapText="1"/>
    </xf>
    <xf numFmtId="164" fontId="2" fillId="4" borderId="19"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3" fillId="4" borderId="19" xfId="0" applyNumberFormat="1" applyFont="1" applyFill="1" applyBorder="1" applyAlignment="1">
      <alignment horizontal="left" vertical="top" wrapText="1"/>
    </xf>
    <xf numFmtId="3" fontId="2" fillId="0" borderId="38" xfId="0" applyNumberFormat="1" applyFont="1" applyBorder="1" applyAlignment="1">
      <alignment horizontal="center" vertical="center" textRotation="90" wrapText="1"/>
    </xf>
    <xf numFmtId="3" fontId="2" fillId="0" borderId="0" xfId="0" applyNumberFormat="1" applyFont="1" applyBorder="1" applyAlignment="1">
      <alignment horizontal="center" vertical="top" wrapText="1"/>
    </xf>
    <xf numFmtId="3" fontId="2" fillId="4" borderId="55"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3" fontId="13" fillId="4" borderId="18" xfId="0" applyNumberFormat="1" applyFont="1" applyFill="1" applyBorder="1" applyAlignment="1">
      <alignment horizontal="center" vertical="top" wrapText="1"/>
    </xf>
    <xf numFmtId="3" fontId="2" fillId="4" borderId="26" xfId="0" applyNumberFormat="1" applyFont="1" applyFill="1" applyBorder="1" applyAlignment="1">
      <alignment horizontal="left" vertical="top" wrapText="1"/>
    </xf>
    <xf numFmtId="49" fontId="2" fillId="3" borderId="18"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wrapText="1"/>
    </xf>
    <xf numFmtId="3" fontId="2" fillId="0" borderId="38" xfId="0" applyNumberFormat="1" applyFont="1" applyBorder="1" applyAlignment="1">
      <alignment horizontal="right" wrapText="1"/>
    </xf>
    <xf numFmtId="49" fontId="3" fillId="8" borderId="16" xfId="0" applyNumberFormat="1" applyFont="1" applyFill="1" applyBorder="1" applyAlignment="1">
      <alignment horizontal="center" vertical="top"/>
    </xf>
    <xf numFmtId="49" fontId="2" fillId="4" borderId="6" xfId="2" applyNumberFormat="1" applyFont="1" applyFill="1" applyBorder="1" applyAlignment="1">
      <alignment horizontal="center" vertical="top"/>
    </xf>
    <xf numFmtId="49" fontId="2" fillId="4" borderId="5" xfId="2" applyNumberFormat="1" applyFont="1" applyFill="1" applyBorder="1" applyAlignment="1">
      <alignment horizontal="center" vertical="top"/>
    </xf>
    <xf numFmtId="164" fontId="2" fillId="4" borderId="18" xfId="0" applyNumberFormat="1" applyFont="1" applyFill="1" applyBorder="1" applyAlignment="1">
      <alignment horizontal="center" vertical="top" wrapText="1"/>
    </xf>
    <xf numFmtId="164" fontId="2" fillId="12" borderId="6" xfId="2" applyNumberFormat="1" applyFont="1" applyFill="1" applyBorder="1" applyAlignment="1">
      <alignment horizontal="center" vertical="top"/>
    </xf>
    <xf numFmtId="164" fontId="2" fillId="12" borderId="5" xfId="2" applyNumberFormat="1" applyFont="1" applyFill="1" applyBorder="1" applyAlignment="1">
      <alignment horizontal="center" vertical="top"/>
    </xf>
    <xf numFmtId="164" fontId="2" fillId="4" borderId="51" xfId="0" applyNumberFormat="1" applyFont="1" applyFill="1" applyBorder="1" applyAlignment="1">
      <alignment horizontal="center" vertical="top" wrapText="1"/>
    </xf>
    <xf numFmtId="164" fontId="2" fillId="4" borderId="51" xfId="2" applyNumberFormat="1" applyFont="1" applyFill="1" applyBorder="1" applyAlignment="1">
      <alignment horizontal="center" vertical="top"/>
    </xf>
    <xf numFmtId="164" fontId="2" fillId="4" borderId="37" xfId="2" applyNumberFormat="1" applyFont="1" applyFill="1" applyBorder="1" applyAlignment="1">
      <alignment horizontal="center" vertical="top"/>
    </xf>
    <xf numFmtId="164" fontId="2" fillId="12" borderId="35" xfId="2" applyNumberFormat="1" applyFont="1" applyFill="1" applyBorder="1" applyAlignment="1">
      <alignment horizontal="center" vertical="top"/>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6" fillId="0" borderId="0" xfId="0" applyNumberFormat="1" applyFont="1" applyAlignment="1">
      <alignment horizontal="left" vertical="top" wrapText="1"/>
    </xf>
    <xf numFmtId="3" fontId="13" fillId="0" borderId="18" xfId="0" applyNumberFormat="1" applyFont="1" applyFill="1" applyBorder="1" applyAlignment="1">
      <alignment horizontal="center" vertical="top" textRotation="90" wrapText="1"/>
    </xf>
    <xf numFmtId="3" fontId="13" fillId="0" borderId="19" xfId="0" applyNumberFormat="1" applyFont="1" applyFill="1" applyBorder="1" applyAlignment="1">
      <alignment horizontal="center" vertical="top" textRotation="90" wrapText="1"/>
    </xf>
    <xf numFmtId="3" fontId="3" fillId="4" borderId="37" xfId="0" applyNumberFormat="1" applyFont="1" applyFill="1" applyBorder="1" applyAlignment="1">
      <alignment horizontal="left" vertical="top" wrapText="1"/>
    </xf>
    <xf numFmtId="3" fontId="2" fillId="4" borderId="51" xfId="0" applyNumberFormat="1" applyFont="1" applyFill="1" applyBorder="1" applyAlignment="1">
      <alignment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3" fontId="13" fillId="4" borderId="30" xfId="0" applyNumberFormat="1" applyFont="1" applyFill="1" applyBorder="1" applyAlignment="1">
      <alignment horizontal="center" vertical="top" textRotation="90" wrapText="1"/>
    </xf>
    <xf numFmtId="3" fontId="2" fillId="4" borderId="13" xfId="0" applyNumberFormat="1" applyFont="1" applyFill="1" applyBorder="1" applyAlignment="1">
      <alignment horizontal="center" vertical="top" wrapText="1"/>
    </xf>
    <xf numFmtId="3" fontId="4" fillId="4" borderId="13" xfId="0" applyNumberFormat="1" applyFont="1" applyFill="1" applyBorder="1" applyAlignment="1">
      <alignment horizontal="left"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8"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3" fontId="2" fillId="4" borderId="6"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2" fillId="4" borderId="6" xfId="0" applyNumberFormat="1" applyFont="1" applyFill="1" applyBorder="1" applyAlignment="1">
      <alignment horizontal="center" vertical="top" wrapText="1"/>
    </xf>
    <xf numFmtId="3" fontId="2" fillId="4" borderId="8" xfId="0" applyNumberFormat="1" applyFont="1" applyFill="1" applyBorder="1" applyAlignment="1">
      <alignment horizontal="center" vertical="top" wrapText="1"/>
    </xf>
    <xf numFmtId="3" fontId="2" fillId="4" borderId="10" xfId="0" applyNumberFormat="1" applyFont="1" applyFill="1" applyBorder="1" applyAlignment="1">
      <alignment horizontal="center" vertical="top" wrapText="1"/>
    </xf>
    <xf numFmtId="3" fontId="2" fillId="4" borderId="0"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2" fillId="0" borderId="8"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xf>
    <xf numFmtId="3" fontId="2" fillId="4" borderId="13" xfId="0" applyNumberFormat="1" applyFont="1" applyFill="1" applyBorder="1" applyAlignment="1">
      <alignment horizontal="left" vertical="top" wrapText="1"/>
    </xf>
    <xf numFmtId="3" fontId="2" fillId="4" borderId="8" xfId="0" applyNumberFormat="1" applyFont="1" applyFill="1" applyBorder="1" applyAlignment="1">
      <alignment horizontal="left" vertical="top" wrapText="1"/>
    </xf>
    <xf numFmtId="3" fontId="2" fillId="4" borderId="29" xfId="0" applyNumberFormat="1" applyFont="1" applyFill="1" applyBorder="1" applyAlignment="1">
      <alignment horizontal="center" vertical="top" wrapText="1"/>
    </xf>
    <xf numFmtId="3" fontId="2" fillId="4" borderId="5" xfId="0" applyNumberFormat="1" applyFont="1" applyFill="1" applyBorder="1" applyAlignment="1">
      <alignment horizontal="left"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0" borderId="8" xfId="0" applyNumberFormat="1" applyFont="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3" fillId="3" borderId="18"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0" fontId="2" fillId="4" borderId="5" xfId="0" applyFont="1" applyFill="1" applyBorder="1" applyAlignment="1">
      <alignment horizontal="left" vertical="top" wrapText="1"/>
    </xf>
    <xf numFmtId="3" fontId="2" fillId="4" borderId="18" xfId="0" applyNumberFormat="1" applyFont="1" applyFill="1" applyBorder="1" applyAlignment="1">
      <alignment vertical="top" wrapText="1"/>
    </xf>
    <xf numFmtId="3" fontId="2" fillId="4" borderId="37" xfId="0" applyNumberFormat="1" applyFont="1" applyFill="1" applyBorder="1" applyAlignment="1">
      <alignment vertical="top" wrapText="1"/>
    </xf>
    <xf numFmtId="3" fontId="2" fillId="4" borderId="2" xfId="0" applyNumberFormat="1" applyFont="1" applyFill="1" applyBorder="1" applyAlignment="1">
      <alignment horizontal="left" vertical="top" wrapText="1"/>
    </xf>
    <xf numFmtId="3" fontId="13" fillId="0" borderId="18" xfId="0" applyNumberFormat="1" applyFont="1" applyFill="1" applyBorder="1" applyAlignment="1">
      <alignment horizontal="center" vertical="top" textRotation="90" wrapText="1"/>
    </xf>
    <xf numFmtId="3" fontId="6" fillId="0" borderId="0" xfId="0" applyNumberFormat="1" applyFont="1" applyAlignment="1">
      <alignment horizontal="left" vertical="top" wrapText="1"/>
    </xf>
    <xf numFmtId="3" fontId="3" fillId="2" borderId="12" xfId="0" applyNumberFormat="1" applyFont="1" applyFill="1" applyBorder="1" applyAlignment="1">
      <alignment vertical="top" wrapText="1"/>
    </xf>
    <xf numFmtId="3" fontId="3" fillId="2" borderId="46" xfId="0" applyNumberFormat="1" applyFont="1" applyFill="1" applyBorder="1" applyAlignment="1">
      <alignment vertical="top" wrapText="1"/>
    </xf>
    <xf numFmtId="3" fontId="3" fillId="2" borderId="60" xfId="0" applyNumberFormat="1" applyFont="1" applyFill="1" applyBorder="1" applyAlignment="1">
      <alignment vertical="top" wrapText="1"/>
    </xf>
    <xf numFmtId="3" fontId="3" fillId="8" borderId="12" xfId="0" applyNumberFormat="1" applyFont="1" applyFill="1" applyBorder="1" applyAlignment="1">
      <alignment vertical="top" wrapText="1"/>
    </xf>
    <xf numFmtId="3" fontId="3" fillId="8" borderId="46" xfId="0" applyNumberFormat="1" applyFont="1" applyFill="1" applyBorder="1" applyAlignment="1">
      <alignment vertical="top" wrapText="1"/>
    </xf>
    <xf numFmtId="3" fontId="3" fillId="8" borderId="60" xfId="0" applyNumberFormat="1" applyFont="1" applyFill="1" applyBorder="1" applyAlignment="1">
      <alignment vertical="top" wrapText="1"/>
    </xf>
    <xf numFmtId="3" fontId="2" fillId="4" borderId="10" xfId="0" applyNumberFormat="1" applyFont="1" applyFill="1" applyBorder="1" applyAlignment="1">
      <alignment horizontal="left" vertical="top" wrapText="1"/>
    </xf>
    <xf numFmtId="3" fontId="3" fillId="8" borderId="32" xfId="0" applyNumberFormat="1" applyFont="1" applyFill="1" applyBorder="1" applyAlignment="1">
      <alignment vertical="top" wrapText="1"/>
    </xf>
    <xf numFmtId="3" fontId="3" fillId="8" borderId="25" xfId="0" applyNumberFormat="1" applyFont="1" applyFill="1" applyBorder="1" applyAlignment="1">
      <alignment vertical="top" wrapText="1"/>
    </xf>
    <xf numFmtId="3" fontId="3" fillId="2" borderId="39" xfId="0" applyNumberFormat="1" applyFont="1" applyFill="1" applyBorder="1" applyAlignment="1">
      <alignment vertical="top" wrapText="1"/>
    </xf>
    <xf numFmtId="3" fontId="3" fillId="2" borderId="43" xfId="0" applyNumberFormat="1" applyFont="1" applyFill="1" applyBorder="1" applyAlignment="1">
      <alignment vertical="top" wrapText="1"/>
    </xf>
    <xf numFmtId="4" fontId="2" fillId="4" borderId="32" xfId="0" applyNumberFormat="1" applyFont="1" applyFill="1" applyBorder="1" applyAlignment="1">
      <alignment horizontal="center" vertical="top" wrapText="1"/>
    </xf>
    <xf numFmtId="3" fontId="2" fillId="4" borderId="47" xfId="0" applyNumberFormat="1" applyFont="1" applyFill="1" applyBorder="1" applyAlignment="1">
      <alignment vertical="top" wrapText="1"/>
    </xf>
    <xf numFmtId="3" fontId="13" fillId="4" borderId="38"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38" xfId="0" applyNumberFormat="1" applyFont="1" applyFill="1" applyBorder="1" applyAlignment="1">
      <alignment horizontal="center" vertical="top" wrapText="1"/>
    </xf>
    <xf numFmtId="167" fontId="2" fillId="9" borderId="88" xfId="2" applyNumberFormat="1" applyFont="1" applyFill="1" applyBorder="1" applyAlignment="1">
      <alignment vertical="top" wrapText="1"/>
    </xf>
    <xf numFmtId="167" fontId="2" fillId="9" borderId="85" xfId="2" applyNumberFormat="1" applyFont="1" applyFill="1" applyBorder="1" applyAlignment="1">
      <alignment vertical="top" wrapText="1"/>
    </xf>
    <xf numFmtId="167" fontId="2" fillId="9" borderId="2" xfId="2" applyNumberFormat="1" applyFont="1" applyFill="1" applyBorder="1" applyAlignment="1">
      <alignment horizontal="left" vertical="top" wrapText="1"/>
    </xf>
    <xf numFmtId="167" fontId="2" fillId="11" borderId="5" xfId="2" applyNumberFormat="1" applyFont="1" applyFill="1" applyBorder="1" applyAlignment="1">
      <alignment horizontal="left" vertical="top" wrapText="1"/>
    </xf>
    <xf numFmtId="0" fontId="2" fillId="4" borderId="88" xfId="0" applyFont="1" applyFill="1" applyBorder="1" applyAlignment="1">
      <alignment horizontal="center" vertical="top" wrapText="1"/>
    </xf>
    <xf numFmtId="164" fontId="2" fillId="4" borderId="48" xfId="0" applyNumberFormat="1" applyFont="1" applyFill="1" applyBorder="1" applyAlignment="1">
      <alignment horizontal="center" vertical="top" wrapText="1"/>
    </xf>
    <xf numFmtId="0" fontId="2" fillId="4" borderId="80" xfId="0" applyFont="1" applyFill="1" applyBorder="1" applyAlignment="1">
      <alignment horizontal="center" vertical="top" wrapText="1"/>
    </xf>
    <xf numFmtId="167" fontId="2" fillId="9" borderId="29" xfId="2" applyNumberFormat="1" applyFont="1" applyFill="1" applyBorder="1" applyAlignment="1">
      <alignment horizontal="center" vertical="center"/>
    </xf>
    <xf numFmtId="167" fontId="2" fillId="9" borderId="20" xfId="2" applyNumberFormat="1" applyFont="1" applyFill="1" applyBorder="1" applyAlignment="1">
      <alignment vertical="top" wrapText="1"/>
    </xf>
    <xf numFmtId="3" fontId="15" fillId="4" borderId="80" xfId="0" applyNumberFormat="1" applyFont="1" applyFill="1" applyBorder="1" applyAlignment="1">
      <alignment horizontal="center" vertical="top" wrapText="1"/>
    </xf>
    <xf numFmtId="3" fontId="15" fillId="4" borderId="37" xfId="0" applyNumberFormat="1" applyFont="1" applyFill="1" applyBorder="1" applyAlignment="1">
      <alignment horizontal="center" vertical="top" wrapText="1"/>
    </xf>
    <xf numFmtId="3" fontId="2" fillId="0" borderId="67" xfId="0" applyNumberFormat="1" applyFont="1" applyBorder="1" applyAlignment="1">
      <alignment horizontal="center" vertical="top"/>
    </xf>
    <xf numFmtId="3" fontId="17" fillId="0" borderId="0" xfId="0" applyNumberFormat="1" applyFont="1" applyBorder="1" applyAlignment="1">
      <alignment vertical="top" wrapText="1"/>
    </xf>
    <xf numFmtId="164" fontId="17" fillId="0" borderId="0" xfId="0" applyNumberFormat="1" applyFont="1" applyBorder="1" applyAlignment="1">
      <alignment vertical="top" wrapText="1"/>
    </xf>
    <xf numFmtId="3" fontId="17" fillId="4" borderId="5" xfId="0" applyNumberFormat="1" applyFont="1" applyFill="1" applyBorder="1" applyAlignment="1">
      <alignment horizontal="center" vertical="top" wrapText="1"/>
    </xf>
    <xf numFmtId="164" fontId="17" fillId="4" borderId="37"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3" fillId="4" borderId="18" xfId="0" applyNumberFormat="1" applyFont="1" applyFill="1" applyBorder="1" applyAlignment="1">
      <alignment vertical="top" wrapText="1"/>
    </xf>
    <xf numFmtId="165" fontId="2" fillId="4" borderId="0" xfId="0" applyNumberFormat="1" applyFont="1" applyFill="1" applyBorder="1" applyAlignment="1">
      <alignment horizontal="center" vertical="top" wrapText="1"/>
    </xf>
    <xf numFmtId="165" fontId="2" fillId="4" borderId="18" xfId="0" applyNumberFormat="1" applyFont="1" applyFill="1" applyBorder="1" applyAlignment="1">
      <alignment horizontal="center" vertical="top" wrapText="1"/>
    </xf>
    <xf numFmtId="3" fontId="16" fillId="0" borderId="0" xfId="0" applyNumberFormat="1" applyFont="1" applyBorder="1" applyAlignment="1">
      <alignment vertical="top" wrapText="1"/>
    </xf>
    <xf numFmtId="164" fontId="16" fillId="0" borderId="0" xfId="0" applyNumberFormat="1" applyFont="1" applyBorder="1" applyAlignment="1">
      <alignment vertical="top" wrapText="1"/>
    </xf>
    <xf numFmtId="49" fontId="17" fillId="4" borderId="8" xfId="2" applyNumberFormat="1" applyFont="1" applyFill="1" applyBorder="1" applyAlignment="1">
      <alignment horizontal="center" vertical="top"/>
    </xf>
    <xf numFmtId="165" fontId="17" fillId="4" borderId="18" xfId="2" applyNumberFormat="1" applyFont="1" applyFill="1" applyBorder="1" applyAlignment="1">
      <alignment vertical="top"/>
    </xf>
    <xf numFmtId="49" fontId="17" fillId="13" borderId="8" xfId="2" applyNumberFormat="1" applyFont="1" applyFill="1" applyBorder="1" applyAlignment="1">
      <alignment horizontal="center" vertical="top" wrapText="1"/>
    </xf>
    <xf numFmtId="164" fontId="17" fillId="13" borderId="18" xfId="2" applyNumberFormat="1" applyFont="1" applyFill="1" applyBorder="1" applyAlignment="1">
      <alignment horizontal="center" vertical="top" wrapText="1"/>
    </xf>
    <xf numFmtId="3" fontId="17" fillId="4" borderId="18" xfId="0" applyNumberFormat="1" applyFont="1" applyFill="1" applyBorder="1" applyAlignment="1">
      <alignment horizontal="center" vertical="top" wrapText="1"/>
    </xf>
    <xf numFmtId="165" fontId="17" fillId="4" borderId="18" xfId="2" applyNumberFormat="1" applyFont="1" applyFill="1" applyBorder="1" applyAlignment="1">
      <alignment horizontal="center" vertical="top"/>
    </xf>
    <xf numFmtId="167" fontId="2" fillId="11" borderId="36" xfId="2" applyNumberFormat="1" applyFont="1" applyFill="1" applyBorder="1" applyAlignment="1">
      <alignment horizontal="center" vertical="top" wrapText="1"/>
    </xf>
    <xf numFmtId="164" fontId="17" fillId="4" borderId="0" xfId="2" applyNumberFormat="1" applyFont="1" applyFill="1" applyBorder="1" applyAlignment="1">
      <alignment horizontal="center" vertical="top"/>
    </xf>
    <xf numFmtId="164" fontId="24" fillId="4" borderId="18" xfId="2" applyNumberFormat="1" applyFont="1" applyFill="1" applyBorder="1" applyAlignment="1">
      <alignment horizontal="right" vertical="top"/>
    </xf>
    <xf numFmtId="49" fontId="24" fillId="4" borderId="8" xfId="2" applyNumberFormat="1" applyFont="1" applyFill="1" applyBorder="1" applyAlignment="1">
      <alignment horizontal="center" vertical="top"/>
    </xf>
    <xf numFmtId="164" fontId="24" fillId="4" borderId="0" xfId="2" applyNumberFormat="1" applyFont="1" applyFill="1" applyBorder="1" applyAlignment="1">
      <alignment horizontal="right" vertical="top"/>
    </xf>
    <xf numFmtId="3" fontId="17" fillId="4" borderId="0" xfId="0" applyNumberFormat="1" applyFont="1" applyFill="1" applyBorder="1" applyAlignment="1">
      <alignment horizontal="center" vertical="top" wrapText="1"/>
    </xf>
    <xf numFmtId="49" fontId="17" fillId="4" borderId="5" xfId="2" applyNumberFormat="1" applyFont="1" applyFill="1" applyBorder="1" applyAlignment="1">
      <alignment horizontal="center" vertical="top" wrapText="1"/>
    </xf>
    <xf numFmtId="49" fontId="17" fillId="4" borderId="8" xfId="2" applyNumberFormat="1" applyFont="1" applyFill="1" applyBorder="1" applyAlignment="1">
      <alignment horizontal="center" vertical="top" wrapText="1"/>
    </xf>
    <xf numFmtId="3" fontId="24" fillId="4" borderId="8" xfId="0" applyNumberFormat="1" applyFont="1" applyFill="1" applyBorder="1" applyAlignment="1">
      <alignment horizontal="center" vertical="top" wrapText="1"/>
    </xf>
    <xf numFmtId="49" fontId="17" fillId="4" borderId="37" xfId="2" applyNumberFormat="1" applyFont="1" applyFill="1" applyBorder="1" applyAlignment="1">
      <alignment horizontal="center" vertical="top" wrapText="1"/>
    </xf>
    <xf numFmtId="49" fontId="17" fillId="4" borderId="18" xfId="2" applyNumberFormat="1" applyFont="1" applyFill="1" applyBorder="1" applyAlignment="1">
      <alignment horizontal="center" vertical="top" wrapText="1"/>
    </xf>
    <xf numFmtId="164" fontId="24" fillId="4" borderId="18" xfId="0" applyNumberFormat="1" applyFont="1" applyFill="1" applyBorder="1" applyAlignment="1">
      <alignment horizontal="center" vertical="top" wrapText="1"/>
    </xf>
    <xf numFmtId="167" fontId="2" fillId="9" borderId="36" xfId="2" applyNumberFormat="1" applyFont="1" applyFill="1" applyBorder="1" applyAlignment="1">
      <alignment horizontal="center" vertical="top"/>
    </xf>
    <xf numFmtId="3" fontId="2" fillId="4" borderId="18" xfId="1" applyNumberFormat="1" applyFont="1" applyFill="1" applyBorder="1" applyAlignment="1">
      <alignment horizontal="center" vertical="top"/>
    </xf>
    <xf numFmtId="165" fontId="2" fillId="4" borderId="3" xfId="0" applyNumberFormat="1" applyFont="1" applyFill="1" applyBorder="1" applyAlignment="1">
      <alignment horizontal="center" vertical="top" wrapText="1"/>
    </xf>
    <xf numFmtId="3" fontId="17" fillId="0" borderId="8" xfId="0" applyNumberFormat="1" applyFont="1" applyBorder="1" applyAlignment="1">
      <alignment horizontal="center" vertical="top"/>
    </xf>
    <xf numFmtId="164" fontId="17" fillId="0" borderId="18" xfId="0" applyNumberFormat="1" applyFont="1" applyBorder="1" applyAlignment="1">
      <alignment horizontal="center" vertical="top"/>
    </xf>
    <xf numFmtId="164" fontId="17" fillId="0" borderId="7" xfId="0" applyNumberFormat="1" applyFont="1" applyFill="1" applyBorder="1" applyAlignment="1">
      <alignment horizontal="center" vertical="top"/>
    </xf>
    <xf numFmtId="3" fontId="17" fillId="0" borderId="8" xfId="0" applyNumberFormat="1" applyFont="1" applyBorder="1" applyAlignment="1">
      <alignment horizontal="center" vertical="top" wrapText="1"/>
    </xf>
    <xf numFmtId="3" fontId="2" fillId="0" borderId="18" xfId="0" applyNumberFormat="1" applyFont="1" applyBorder="1" applyAlignment="1">
      <alignment horizontal="center" vertical="top"/>
    </xf>
    <xf numFmtId="3" fontId="2" fillId="0" borderId="29" xfId="0" applyNumberFormat="1" applyFont="1" applyBorder="1" applyAlignment="1">
      <alignment horizontal="center" vertical="top"/>
    </xf>
    <xf numFmtId="3" fontId="17" fillId="0" borderId="0" xfId="0" applyNumberFormat="1" applyFont="1" applyBorder="1" applyAlignment="1">
      <alignment vertical="top"/>
    </xf>
    <xf numFmtId="164" fontId="17" fillId="0" borderId="0" xfId="0" applyNumberFormat="1" applyFont="1" applyBorder="1" applyAlignment="1">
      <alignment vertical="top"/>
    </xf>
    <xf numFmtId="3" fontId="2" fillId="0" borderId="9"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165" fontId="2" fillId="0" borderId="50" xfId="0" applyNumberFormat="1" applyFont="1" applyFill="1" applyBorder="1" applyAlignment="1">
      <alignment horizontal="center" vertical="top" wrapText="1"/>
    </xf>
    <xf numFmtId="165" fontId="2" fillId="0" borderId="28" xfId="0" applyNumberFormat="1" applyFont="1" applyFill="1" applyBorder="1" applyAlignment="1">
      <alignment horizontal="center" vertical="top" wrapText="1"/>
    </xf>
    <xf numFmtId="165" fontId="2" fillId="0" borderId="56"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165" fontId="2" fillId="0" borderId="18" xfId="0" applyNumberFormat="1" applyFont="1" applyFill="1" applyBorder="1" applyAlignment="1">
      <alignment horizontal="center" vertical="top" wrapText="1"/>
    </xf>
    <xf numFmtId="3" fontId="17" fillId="0" borderId="0" xfId="0" applyNumberFormat="1" applyFont="1" applyFill="1" applyBorder="1" applyAlignment="1">
      <alignment vertical="top" wrapText="1"/>
    </xf>
    <xf numFmtId="164" fontId="17" fillId="0" borderId="0" xfId="0" applyNumberFormat="1" applyFont="1" applyFill="1" applyBorder="1" applyAlignment="1">
      <alignment vertical="top" wrapText="1"/>
    </xf>
    <xf numFmtId="3" fontId="17" fillId="4" borderId="8" xfId="0" applyNumberFormat="1" applyFont="1" applyFill="1" applyBorder="1" applyAlignment="1">
      <alignment horizontal="center" vertical="top"/>
    </xf>
    <xf numFmtId="165" fontId="2" fillId="0" borderId="0" xfId="0" applyNumberFormat="1" applyFont="1" applyBorder="1" applyAlignment="1">
      <alignment vertical="top" wrapText="1"/>
    </xf>
    <xf numFmtId="165" fontId="17" fillId="0" borderId="0" xfId="0" applyNumberFormat="1" applyFont="1" applyBorder="1" applyAlignment="1">
      <alignment vertical="top" wrapText="1"/>
    </xf>
    <xf numFmtId="0" fontId="17" fillId="0" borderId="0" xfId="0" applyFont="1" applyBorder="1" applyAlignment="1">
      <alignment vertical="top" wrapText="1"/>
    </xf>
    <xf numFmtId="0" fontId="17" fillId="4" borderId="5" xfId="0" applyFont="1" applyFill="1" applyBorder="1" applyAlignment="1">
      <alignment horizontal="center" vertical="top" wrapText="1"/>
    </xf>
    <xf numFmtId="0" fontId="17" fillId="4" borderId="8" xfId="0" applyFont="1" applyFill="1" applyBorder="1" applyAlignment="1">
      <alignment horizontal="center" vertical="top" wrapText="1"/>
    </xf>
    <xf numFmtId="164" fontId="17" fillId="4" borderId="37" xfId="1" applyNumberFormat="1" applyFont="1" applyFill="1" applyBorder="1" applyAlignment="1">
      <alignment horizontal="center" vertical="top" wrapText="1"/>
    </xf>
    <xf numFmtId="164" fontId="17" fillId="4" borderId="18" xfId="1" applyNumberFormat="1" applyFont="1" applyFill="1" applyBorder="1" applyAlignment="1">
      <alignment horizontal="center" vertical="top" wrapText="1"/>
    </xf>
    <xf numFmtId="3" fontId="2" fillId="4" borderId="36" xfId="0" applyNumberFormat="1" applyFont="1" applyFill="1" applyBorder="1" applyAlignment="1">
      <alignment horizontal="left" vertical="top" wrapText="1"/>
    </xf>
    <xf numFmtId="3" fontId="15" fillId="0" borderId="0" xfId="0" applyNumberFormat="1" applyFont="1" applyBorder="1" applyAlignment="1">
      <alignment vertical="top" wrapText="1"/>
    </xf>
    <xf numFmtId="165" fontId="15" fillId="0" borderId="0" xfId="0" applyNumberFormat="1" applyFont="1" applyBorder="1" applyAlignment="1">
      <alignment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167" fontId="2" fillId="9" borderId="5" xfId="2" applyNumberFormat="1" applyFont="1" applyFill="1" applyBorder="1" applyAlignment="1">
      <alignment horizontal="left" vertical="top" wrapText="1"/>
    </xf>
    <xf numFmtId="3" fontId="2" fillId="4" borderId="5" xfId="0" applyNumberFormat="1" applyFont="1" applyFill="1" applyBorder="1" applyAlignment="1">
      <alignment horizontal="center" vertical="top" wrapText="1"/>
    </xf>
    <xf numFmtId="3" fontId="2" fillId="4" borderId="5" xfId="0" applyNumberFormat="1" applyFont="1" applyFill="1" applyBorder="1" applyAlignment="1">
      <alignment horizontal="left" vertical="top" wrapText="1"/>
    </xf>
    <xf numFmtId="3" fontId="2" fillId="4" borderId="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2" fillId="0" borderId="67" xfId="0" applyNumberFormat="1" applyFont="1" applyBorder="1" applyAlignment="1">
      <alignment horizontal="center" vertical="top" wrapText="1"/>
    </xf>
    <xf numFmtId="3" fontId="3" fillId="8" borderId="32" xfId="0" applyNumberFormat="1" applyFont="1" applyFill="1" applyBorder="1" applyAlignment="1">
      <alignment horizontal="left" vertical="top" wrapText="1"/>
    </xf>
    <xf numFmtId="3" fontId="17" fillId="4" borderId="8"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3" fillId="2" borderId="46" xfId="0" applyNumberFormat="1" applyFont="1" applyFill="1" applyBorder="1" applyAlignment="1">
      <alignment horizontal="left" vertical="top" wrapText="1"/>
    </xf>
    <xf numFmtId="49" fontId="17" fillId="4" borderId="8" xfId="2"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49" fontId="17" fillId="4" borderId="18" xfId="2" applyNumberFormat="1" applyFont="1" applyFill="1" applyBorder="1" applyAlignment="1">
      <alignment horizontal="center" vertical="top"/>
    </xf>
    <xf numFmtId="3" fontId="6" fillId="0" borderId="0" xfId="0" applyNumberFormat="1" applyFont="1" applyAlignment="1">
      <alignment horizontal="left" vertical="top" wrapText="1"/>
    </xf>
    <xf numFmtId="164" fontId="17" fillId="12" borderId="18" xfId="2" applyNumberFormat="1" applyFont="1" applyFill="1" applyBorder="1" applyAlignment="1">
      <alignment horizontal="center" vertical="top"/>
    </xf>
    <xf numFmtId="49" fontId="2" fillId="0" borderId="0"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wrapText="1"/>
    </xf>
    <xf numFmtId="3" fontId="15" fillId="4" borderId="8" xfId="0" applyNumberFormat="1" applyFont="1" applyFill="1" applyBorder="1" applyAlignment="1">
      <alignment horizontal="center" vertical="top" wrapText="1"/>
    </xf>
    <xf numFmtId="164" fontId="15" fillId="4" borderId="18" xfId="0" applyNumberFormat="1" applyFont="1" applyFill="1" applyBorder="1" applyAlignment="1">
      <alignment horizontal="center" vertical="top" wrapText="1"/>
    </xf>
    <xf numFmtId="49" fontId="15" fillId="4" borderId="8" xfId="2" applyNumberFormat="1" applyFont="1" applyFill="1" applyBorder="1" applyAlignment="1">
      <alignment horizontal="center" vertical="top"/>
    </xf>
    <xf numFmtId="164" fontId="15" fillId="12" borderId="18" xfId="2" applyNumberFormat="1" applyFont="1" applyFill="1" applyBorder="1" applyAlignment="1">
      <alignment horizontal="center" vertical="top"/>
    </xf>
    <xf numFmtId="165" fontId="15" fillId="4" borderId="18" xfId="2" applyNumberFormat="1" applyFont="1" applyFill="1" applyBorder="1" applyAlignment="1">
      <alignment vertical="top"/>
    </xf>
    <xf numFmtId="164" fontId="15" fillId="4" borderId="0" xfId="0" applyNumberFormat="1" applyFont="1" applyFill="1" applyBorder="1" applyAlignment="1">
      <alignment horizontal="center" vertical="top" wrapText="1"/>
    </xf>
    <xf numFmtId="164" fontId="15" fillId="4" borderId="7" xfId="0" applyNumberFormat="1" applyFont="1" applyFill="1" applyBorder="1" applyAlignment="1">
      <alignment horizontal="center" vertical="top" wrapText="1"/>
    </xf>
    <xf numFmtId="164" fontId="3" fillId="2" borderId="46" xfId="0" applyNumberFormat="1" applyFont="1" applyFill="1" applyBorder="1" applyAlignment="1">
      <alignment horizontal="center" vertical="top" wrapText="1"/>
    </xf>
    <xf numFmtId="164" fontId="3" fillId="8" borderId="46" xfId="0" applyNumberFormat="1" applyFont="1" applyFill="1" applyBorder="1" applyAlignment="1">
      <alignment horizontal="center" vertical="top" wrapText="1"/>
    </xf>
    <xf numFmtId="164" fontId="3" fillId="2" borderId="38" xfId="0" applyNumberFormat="1" applyFont="1" applyFill="1" applyBorder="1" applyAlignment="1">
      <alignment horizontal="center" vertical="top" wrapText="1"/>
    </xf>
    <xf numFmtId="164" fontId="24" fillId="4" borderId="7"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center"/>
    </xf>
    <xf numFmtId="164" fontId="17" fillId="4" borderId="7" xfId="0" applyNumberFormat="1" applyFont="1" applyFill="1" applyBorder="1" applyAlignment="1">
      <alignment horizontal="center" vertical="center" wrapText="1"/>
    </xf>
    <xf numFmtId="165" fontId="2" fillId="4" borderId="7" xfId="0" applyNumberFormat="1" applyFont="1" applyFill="1" applyBorder="1" applyAlignment="1">
      <alignment horizontal="center" vertical="top" wrapText="1"/>
    </xf>
    <xf numFmtId="164" fontId="8" fillId="4" borderId="7" xfId="0" applyNumberFormat="1" applyFont="1" applyFill="1" applyBorder="1" applyAlignment="1">
      <alignment horizontal="center" vertical="top" wrapText="1"/>
    </xf>
    <xf numFmtId="164" fontId="17" fillId="12" borderId="7" xfId="2" applyNumberFormat="1" applyFont="1" applyFill="1" applyBorder="1" applyAlignment="1">
      <alignment horizontal="center" vertical="top"/>
    </xf>
    <xf numFmtId="164" fontId="17" fillId="4" borderId="7" xfId="2" applyNumberFormat="1" applyFont="1" applyFill="1" applyBorder="1" applyAlignment="1">
      <alignment horizontal="center" vertical="top"/>
    </xf>
    <xf numFmtId="164" fontId="17" fillId="11" borderId="7" xfId="2" applyNumberFormat="1" applyFont="1" applyFill="1" applyBorder="1" applyAlignment="1">
      <alignment horizontal="center" vertical="top"/>
    </xf>
    <xf numFmtId="164" fontId="15" fillId="12" borderId="7" xfId="2" applyNumberFormat="1" applyFont="1" applyFill="1" applyBorder="1" applyAlignment="1">
      <alignment horizontal="center" vertical="top"/>
    </xf>
    <xf numFmtId="164" fontId="15" fillId="12" borderId="7" xfId="2" applyNumberFormat="1" applyFont="1" applyFill="1" applyBorder="1" applyAlignment="1">
      <alignment vertical="top"/>
    </xf>
    <xf numFmtId="164" fontId="17" fillId="12" borderId="7" xfId="2" applyNumberFormat="1" applyFont="1" applyFill="1" applyBorder="1" applyAlignment="1">
      <alignment vertical="top"/>
    </xf>
    <xf numFmtId="164" fontId="2" fillId="0" borderId="7" xfId="0" applyNumberFormat="1" applyFont="1" applyFill="1" applyBorder="1" applyAlignment="1">
      <alignment horizontal="center" vertical="top" wrapText="1"/>
    </xf>
    <xf numFmtId="164" fontId="24" fillId="11" borderId="7" xfId="2" applyNumberFormat="1" applyFont="1" applyFill="1" applyBorder="1" applyAlignment="1">
      <alignment horizontal="center" vertical="top"/>
    </xf>
    <xf numFmtId="165" fontId="2" fillId="0" borderId="23" xfId="0" applyNumberFormat="1" applyFont="1" applyFill="1" applyBorder="1" applyAlignment="1">
      <alignment horizontal="center" vertical="top" wrapText="1"/>
    </xf>
    <xf numFmtId="164" fontId="17" fillId="0" borderId="7" xfId="0" applyNumberFormat="1" applyFont="1" applyFill="1" applyBorder="1" applyAlignment="1">
      <alignment horizontal="center" vertical="top" wrapText="1"/>
    </xf>
    <xf numFmtId="165" fontId="2" fillId="3" borderId="7" xfId="0" applyNumberFormat="1" applyFont="1" applyFill="1" applyBorder="1" applyAlignment="1">
      <alignment horizontal="center" vertical="top" wrapText="1"/>
    </xf>
    <xf numFmtId="164" fontId="17" fillId="4" borderId="7" xfId="1" applyNumberFormat="1" applyFont="1" applyFill="1" applyBorder="1" applyAlignment="1">
      <alignment horizontal="center" vertical="top" wrapText="1"/>
    </xf>
    <xf numFmtId="164" fontId="3" fillId="5" borderId="89" xfId="0" applyNumberFormat="1" applyFont="1" applyFill="1" applyBorder="1" applyAlignment="1">
      <alignment horizontal="center" vertical="top" wrapText="1"/>
    </xf>
    <xf numFmtId="164" fontId="3" fillId="5" borderId="63" xfId="0" applyNumberFormat="1" applyFont="1" applyFill="1" applyBorder="1" applyAlignment="1">
      <alignment horizontal="center" vertical="top" wrapText="1"/>
    </xf>
    <xf numFmtId="164" fontId="17" fillId="4" borderId="8" xfId="0" applyNumberFormat="1" applyFont="1" applyFill="1" applyBorder="1" applyAlignment="1">
      <alignment horizontal="center" vertical="top" wrapText="1"/>
    </xf>
    <xf numFmtId="164" fontId="17" fillId="4" borderId="5" xfId="0" applyNumberFormat="1" applyFont="1" applyFill="1" applyBorder="1" applyAlignment="1">
      <alignment horizontal="center" vertical="top" wrapText="1"/>
    </xf>
    <xf numFmtId="165" fontId="2" fillId="4" borderId="9" xfId="0" applyNumberFormat="1" applyFont="1" applyFill="1" applyBorder="1" applyAlignment="1">
      <alignment horizontal="center" vertical="top" wrapText="1"/>
    </xf>
    <xf numFmtId="165" fontId="2" fillId="4" borderId="2" xfId="0" applyNumberFormat="1" applyFont="1" applyFill="1" applyBorder="1" applyAlignment="1">
      <alignment horizontal="center" vertical="top" wrapText="1"/>
    </xf>
    <xf numFmtId="165" fontId="2" fillId="4" borderId="8" xfId="0" applyNumberFormat="1" applyFont="1" applyFill="1" applyBorder="1" applyAlignment="1">
      <alignment horizontal="center" vertical="top" wrapText="1"/>
    </xf>
    <xf numFmtId="164" fontId="17" fillId="13" borderId="8" xfId="2" applyNumberFormat="1" applyFont="1" applyFill="1" applyBorder="1" applyAlignment="1">
      <alignment horizontal="center" vertical="top" wrapText="1"/>
    </xf>
    <xf numFmtId="0" fontId="17" fillId="4" borderId="8" xfId="2" applyNumberFormat="1" applyFont="1" applyFill="1" applyBorder="1" applyAlignment="1">
      <alignment horizontal="center" vertical="top"/>
    </xf>
    <xf numFmtId="165" fontId="17" fillId="4" borderId="8" xfId="2" applyNumberFormat="1" applyFont="1" applyFill="1" applyBorder="1" applyAlignment="1">
      <alignment horizontal="center" vertical="top"/>
    </xf>
    <xf numFmtId="164" fontId="17" fillId="12" borderId="8" xfId="2" applyNumberFormat="1" applyFont="1" applyFill="1" applyBorder="1" applyAlignment="1">
      <alignment horizontal="center" vertical="top"/>
    </xf>
    <xf numFmtId="164" fontId="17" fillId="4" borderId="8" xfId="2" applyNumberFormat="1" applyFont="1" applyFill="1" applyBorder="1" applyAlignment="1">
      <alignment horizontal="center" vertical="top"/>
    </xf>
    <xf numFmtId="164" fontId="24" fillId="4" borderId="8" xfId="2" applyNumberFormat="1" applyFont="1" applyFill="1" applyBorder="1" applyAlignment="1">
      <alignment horizontal="right" vertical="top"/>
    </xf>
    <xf numFmtId="164" fontId="24" fillId="4" borderId="8" xfId="0" applyNumberFormat="1" applyFont="1" applyFill="1" applyBorder="1" applyAlignment="1">
      <alignment horizontal="center" vertical="top" wrapText="1"/>
    </xf>
    <xf numFmtId="0" fontId="17" fillId="4" borderId="8" xfId="2" applyNumberFormat="1" applyFont="1" applyFill="1" applyBorder="1" applyAlignment="1">
      <alignment horizontal="center" vertical="top" wrapText="1"/>
    </xf>
    <xf numFmtId="0" fontId="17" fillId="4" borderId="5" xfId="2" applyNumberFormat="1" applyFont="1" applyFill="1" applyBorder="1" applyAlignment="1">
      <alignment horizontal="center" vertical="top" wrapText="1"/>
    </xf>
    <xf numFmtId="165" fontId="2" fillId="0" borderId="10" xfId="0" applyNumberFormat="1" applyFont="1" applyBorder="1" applyAlignment="1">
      <alignment horizontal="center" vertical="top" wrapText="1"/>
    </xf>
    <xf numFmtId="164" fontId="2" fillId="0" borderId="8" xfId="0" applyNumberFormat="1" applyFont="1" applyBorder="1" applyAlignment="1">
      <alignment horizontal="center" vertical="top" wrapText="1"/>
    </xf>
    <xf numFmtId="164" fontId="17" fillId="0" borderId="8" xfId="0" applyNumberFormat="1" applyFont="1" applyBorder="1" applyAlignment="1">
      <alignment horizontal="center" vertical="top"/>
    </xf>
    <xf numFmtId="165" fontId="2" fillId="0" borderId="9" xfId="0" applyNumberFormat="1"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165" fontId="2" fillId="0" borderId="8" xfId="0" applyNumberFormat="1" applyFont="1" applyFill="1" applyBorder="1" applyAlignment="1">
      <alignment horizontal="center" vertical="top" wrapText="1"/>
    </xf>
    <xf numFmtId="164" fontId="17" fillId="4" borderId="8" xfId="0" applyNumberFormat="1" applyFont="1" applyFill="1" applyBorder="1" applyAlignment="1">
      <alignment horizontal="center" vertical="top"/>
    </xf>
    <xf numFmtId="164" fontId="2" fillId="0" borderId="10" xfId="0" applyNumberFormat="1" applyFont="1" applyBorder="1" applyAlignment="1">
      <alignment horizontal="center" vertical="top"/>
    </xf>
    <xf numFmtId="164" fontId="17" fillId="4" borderId="8" xfId="1" applyNumberFormat="1" applyFont="1" applyFill="1" applyBorder="1" applyAlignment="1">
      <alignment horizontal="center" vertical="top" wrapText="1"/>
    </xf>
    <xf numFmtId="164" fontId="17" fillId="4" borderId="5" xfId="1" applyNumberFormat="1" applyFont="1" applyFill="1" applyBorder="1" applyAlignment="1">
      <alignment horizontal="center" vertical="top" wrapText="1"/>
    </xf>
    <xf numFmtId="165" fontId="2" fillId="4" borderId="49" xfId="0" applyNumberFormat="1" applyFont="1" applyFill="1" applyBorder="1" applyAlignment="1">
      <alignment horizontal="center" vertical="top" wrapText="1"/>
    </xf>
    <xf numFmtId="164" fontId="17" fillId="4" borderId="49" xfId="0" applyNumberFormat="1" applyFont="1" applyFill="1" applyBorder="1" applyAlignment="1">
      <alignment horizontal="center" vertical="top" wrapText="1"/>
    </xf>
    <xf numFmtId="3" fontId="8" fillId="4" borderId="0" xfId="0" applyNumberFormat="1" applyFont="1" applyFill="1" applyBorder="1" applyAlignment="1">
      <alignment horizontal="center" vertical="top" wrapText="1"/>
    </xf>
    <xf numFmtId="49" fontId="17" fillId="4" borderId="0" xfId="2" applyNumberFormat="1" applyFont="1" applyFill="1" applyBorder="1" applyAlignment="1">
      <alignment horizontal="center" vertical="top"/>
    </xf>
    <xf numFmtId="164" fontId="17" fillId="13" borderId="0" xfId="2" applyNumberFormat="1" applyFont="1" applyFill="1" applyBorder="1" applyAlignment="1">
      <alignment horizontal="center" vertical="top" wrapText="1"/>
    </xf>
    <xf numFmtId="164" fontId="15" fillId="12" borderId="0" xfId="2" applyNumberFormat="1" applyFont="1" applyFill="1" applyBorder="1" applyAlignment="1">
      <alignment horizontal="center" vertical="top"/>
    </xf>
    <xf numFmtId="165" fontId="15" fillId="4" borderId="0" xfId="2" applyNumberFormat="1" applyFont="1" applyFill="1" applyBorder="1" applyAlignment="1">
      <alignment vertical="top"/>
    </xf>
    <xf numFmtId="165" fontId="17" fillId="4" borderId="0" xfId="2" applyNumberFormat="1" applyFont="1" applyFill="1" applyBorder="1" applyAlignment="1">
      <alignment horizontal="center" vertical="top"/>
    </xf>
    <xf numFmtId="165" fontId="17" fillId="4" borderId="0" xfId="2" applyNumberFormat="1" applyFont="1" applyFill="1" applyBorder="1" applyAlignment="1">
      <alignment vertical="top"/>
    </xf>
    <xf numFmtId="164" fontId="17" fillId="12" borderId="0" xfId="2" applyNumberFormat="1" applyFont="1" applyFill="1" applyBorder="1" applyAlignment="1">
      <alignment horizontal="center" vertical="top"/>
    </xf>
    <xf numFmtId="164" fontId="24" fillId="4" borderId="0" xfId="0" applyNumberFormat="1" applyFont="1" applyFill="1" applyBorder="1" applyAlignment="1">
      <alignment horizontal="center" vertical="top" wrapText="1"/>
    </xf>
    <xf numFmtId="49" fontId="17" fillId="4" borderId="0" xfId="2" applyNumberFormat="1" applyFont="1" applyFill="1" applyBorder="1" applyAlignment="1">
      <alignment horizontal="center" vertical="top" wrapText="1"/>
    </xf>
    <xf numFmtId="49" fontId="17" fillId="4" borderId="49" xfId="2" applyNumberFormat="1" applyFont="1" applyFill="1" applyBorder="1" applyAlignment="1">
      <alignment horizontal="center" vertical="top" wrapText="1"/>
    </xf>
    <xf numFmtId="165" fontId="2" fillId="0" borderId="49" xfId="0" applyNumberFormat="1" applyFont="1" applyFill="1" applyBorder="1" applyAlignment="1">
      <alignment horizontal="center" vertical="top" wrapText="1"/>
    </xf>
    <xf numFmtId="164" fontId="2" fillId="0" borderId="66" xfId="0" applyNumberFormat="1" applyFont="1" applyFill="1" applyBorder="1" applyAlignment="1">
      <alignment horizontal="center" vertical="top" wrapText="1"/>
    </xf>
    <xf numFmtId="164" fontId="3" fillId="7" borderId="66" xfId="0" applyNumberFormat="1" applyFont="1" applyFill="1" applyBorder="1" applyAlignment="1">
      <alignment horizontal="center" vertical="top" wrapText="1"/>
    </xf>
    <xf numFmtId="164" fontId="2" fillId="0" borderId="67" xfId="0" applyNumberFormat="1" applyFont="1" applyBorder="1" applyAlignment="1">
      <alignment horizontal="center" vertical="top" wrapText="1"/>
    </xf>
    <xf numFmtId="164" fontId="17" fillId="4" borderId="15" xfId="0" applyNumberFormat="1" applyFont="1" applyFill="1" applyBorder="1" applyAlignment="1">
      <alignment horizontal="center" vertical="top" wrapText="1"/>
    </xf>
    <xf numFmtId="3" fontId="3" fillId="0" borderId="12" xfId="0" applyNumberFormat="1" applyFont="1" applyBorder="1" applyAlignment="1">
      <alignment horizontal="center" vertical="center" textRotation="90" wrapText="1"/>
    </xf>
    <xf numFmtId="165" fontId="3" fillId="0" borderId="16" xfId="0" applyNumberFormat="1" applyFont="1" applyBorder="1" applyAlignment="1">
      <alignment horizontal="center" vertical="center" textRotation="90" wrapText="1"/>
    </xf>
    <xf numFmtId="0" fontId="13" fillId="0" borderId="81" xfId="0" applyFont="1" applyBorder="1" applyAlignment="1">
      <alignment horizontal="center" vertical="center" textRotation="90" wrapText="1"/>
    </xf>
    <xf numFmtId="164" fontId="2" fillId="4" borderId="15" xfId="0" applyNumberFormat="1" applyFont="1" applyFill="1" applyBorder="1" applyAlignment="1">
      <alignment horizontal="center" vertical="top"/>
    </xf>
    <xf numFmtId="164" fontId="2" fillId="4" borderId="0"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3" fillId="5" borderId="41" xfId="0" applyNumberFormat="1" applyFont="1" applyFill="1" applyBorder="1" applyAlignment="1">
      <alignment horizontal="center" vertical="top"/>
    </xf>
    <xf numFmtId="164" fontId="2" fillId="4" borderId="7" xfId="0" applyNumberFormat="1" applyFont="1" applyFill="1" applyBorder="1" applyAlignment="1">
      <alignment horizontal="center" vertical="top"/>
    </xf>
    <xf numFmtId="164" fontId="2" fillId="4" borderId="18" xfId="0" applyNumberFormat="1" applyFont="1" applyFill="1" applyBorder="1" applyAlignment="1">
      <alignment horizontal="center" vertical="top"/>
    </xf>
    <xf numFmtId="164" fontId="2" fillId="4" borderId="37" xfId="0" applyNumberFormat="1" applyFont="1" applyFill="1" applyBorder="1" applyAlignment="1">
      <alignment horizontal="center" vertical="top"/>
    </xf>
    <xf numFmtId="164" fontId="2" fillId="4" borderId="18" xfId="0" applyNumberFormat="1" applyFont="1" applyFill="1" applyBorder="1" applyAlignment="1">
      <alignment horizontal="center" vertical="top" wrapText="1"/>
    </xf>
    <xf numFmtId="164" fontId="2" fillId="4" borderId="28" xfId="0" applyNumberFormat="1" applyFont="1" applyFill="1" applyBorder="1" applyAlignment="1">
      <alignment horizontal="center" vertical="top"/>
    </xf>
    <xf numFmtId="164" fontId="3" fillId="5" borderId="43" xfId="0" applyNumberFormat="1" applyFont="1" applyFill="1" applyBorder="1" applyAlignment="1">
      <alignment horizontal="center" vertical="top"/>
    </xf>
    <xf numFmtId="164" fontId="2" fillId="4" borderId="13" xfId="0" applyNumberFormat="1" applyFont="1" applyFill="1" applyBorder="1" applyAlignment="1">
      <alignment horizontal="center" vertical="top"/>
    </xf>
    <xf numFmtId="164" fontId="3" fillId="5" borderId="4" xfId="0" applyNumberFormat="1" applyFont="1" applyFill="1" applyBorder="1" applyAlignment="1">
      <alignment horizontal="center" vertical="top"/>
    </xf>
    <xf numFmtId="164" fontId="3" fillId="5" borderId="39" xfId="0" applyNumberFormat="1" applyFont="1" applyFill="1" applyBorder="1" applyAlignment="1">
      <alignment horizontal="center" vertical="top"/>
    </xf>
    <xf numFmtId="164" fontId="2" fillId="4" borderId="61" xfId="0" applyNumberFormat="1" applyFont="1" applyFill="1" applyBorder="1" applyAlignment="1">
      <alignment horizontal="center" vertical="top"/>
    </xf>
    <xf numFmtId="3" fontId="2" fillId="4" borderId="18" xfId="0" applyNumberFormat="1" applyFont="1" applyFill="1" applyBorder="1" applyAlignment="1">
      <alignment horizontal="center" vertical="top" wrapText="1"/>
    </xf>
    <xf numFmtId="0" fontId="13" fillId="0" borderId="11" xfId="0" applyFont="1" applyBorder="1" applyAlignment="1">
      <alignment horizontal="center" vertical="center" textRotation="90" wrapText="1"/>
    </xf>
    <xf numFmtId="0" fontId="13" fillId="0" borderId="60" xfId="0" applyFont="1" applyBorder="1" applyAlignment="1">
      <alignment horizontal="center" vertical="center" textRotation="90" wrapText="1"/>
    </xf>
    <xf numFmtId="164" fontId="2" fillId="5" borderId="56" xfId="0" applyNumberFormat="1" applyFont="1" applyFill="1" applyBorder="1" applyAlignment="1">
      <alignment horizontal="center" vertical="top" wrapText="1"/>
    </xf>
    <xf numFmtId="164" fontId="2" fillId="0" borderId="56" xfId="0" applyNumberFormat="1" applyFont="1" applyBorder="1" applyAlignment="1">
      <alignment horizontal="center" vertical="top" wrapText="1"/>
    </xf>
    <xf numFmtId="164" fontId="2" fillId="0" borderId="18" xfId="0" applyNumberFormat="1" applyFont="1" applyFill="1" applyBorder="1" applyAlignment="1">
      <alignment horizontal="center" vertical="top"/>
    </xf>
    <xf numFmtId="164" fontId="2" fillId="0" borderId="0" xfId="0" applyNumberFormat="1" applyFont="1" applyFill="1" applyBorder="1" applyAlignment="1">
      <alignment horizontal="center" vertical="top"/>
    </xf>
    <xf numFmtId="165" fontId="2" fillId="4" borderId="56" xfId="0" applyNumberFormat="1" applyFont="1" applyFill="1" applyBorder="1" applyAlignment="1">
      <alignment horizontal="center" vertical="top" wrapText="1"/>
    </xf>
    <xf numFmtId="164" fontId="2" fillId="4" borderId="56" xfId="0" applyNumberFormat="1" applyFont="1" applyFill="1" applyBorder="1" applyAlignment="1">
      <alignment horizontal="center" vertical="top"/>
    </xf>
    <xf numFmtId="164" fontId="2" fillId="4" borderId="17" xfId="0" applyNumberFormat="1" applyFont="1" applyFill="1" applyBorder="1" applyAlignment="1">
      <alignment horizontal="center" vertical="top"/>
    </xf>
    <xf numFmtId="164" fontId="2" fillId="5" borderId="55" xfId="0" applyNumberFormat="1" applyFont="1" applyFill="1" applyBorder="1" applyAlignment="1">
      <alignment horizontal="center" vertical="top" wrapText="1"/>
    </xf>
    <xf numFmtId="164" fontId="2" fillId="5" borderId="66" xfId="0" applyNumberFormat="1" applyFont="1" applyFill="1" applyBorder="1" applyAlignment="1">
      <alignment horizontal="center" vertical="top" wrapText="1"/>
    </xf>
    <xf numFmtId="3" fontId="15" fillId="4" borderId="18" xfId="0" applyNumberFormat="1" applyFont="1" applyFill="1" applyBorder="1" applyAlignment="1">
      <alignment horizontal="center" vertical="top" wrapText="1"/>
    </xf>
    <xf numFmtId="164" fontId="2" fillId="4" borderId="13"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xf>
    <xf numFmtId="164" fontId="17" fillId="4" borderId="18" xfId="0" applyNumberFormat="1" applyFont="1" applyFill="1" applyBorder="1" applyAlignment="1">
      <alignment horizontal="center" vertical="top"/>
    </xf>
    <xf numFmtId="164" fontId="17" fillId="4" borderId="3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7" xfId="0" applyNumberFormat="1" applyFont="1" applyFill="1" applyBorder="1" applyAlignment="1">
      <alignment horizontal="center" vertical="top"/>
    </xf>
    <xf numFmtId="164" fontId="17" fillId="4" borderId="17" xfId="0" applyNumberFormat="1" applyFont="1" applyFill="1" applyBorder="1" applyAlignment="1">
      <alignment horizontal="center" vertical="top"/>
    </xf>
    <xf numFmtId="164" fontId="17" fillId="0" borderId="18" xfId="0" applyNumberFormat="1" applyFont="1" applyFill="1" applyBorder="1" applyAlignment="1">
      <alignment horizontal="center" vertical="top"/>
    </xf>
    <xf numFmtId="164" fontId="17" fillId="0" borderId="0" xfId="0" applyNumberFormat="1" applyFont="1" applyFill="1" applyBorder="1" applyAlignment="1">
      <alignment horizontal="center" vertical="top"/>
    </xf>
    <xf numFmtId="164" fontId="17" fillId="4" borderId="8"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4" borderId="0"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center"/>
    </xf>
    <xf numFmtId="164" fontId="17" fillId="4" borderId="15" xfId="0" applyNumberFormat="1" applyFont="1" applyFill="1" applyBorder="1" applyAlignment="1">
      <alignment horizontal="center" vertical="top"/>
    </xf>
    <xf numFmtId="164" fontId="17" fillId="4" borderId="7" xfId="0" applyNumberFormat="1" applyFont="1" applyFill="1" applyBorder="1" applyAlignment="1">
      <alignment horizontal="center" vertical="top" wrapText="1"/>
    </xf>
    <xf numFmtId="164" fontId="2" fillId="0" borderId="66" xfId="0" applyNumberFormat="1" applyFont="1" applyBorder="1" applyAlignment="1">
      <alignment horizontal="center" vertical="top" wrapText="1"/>
    </xf>
    <xf numFmtId="164" fontId="2" fillId="4" borderId="53" xfId="0" applyNumberFormat="1" applyFont="1" applyFill="1" applyBorder="1" applyAlignment="1">
      <alignment horizontal="center" vertical="top"/>
    </xf>
    <xf numFmtId="164" fontId="2" fillId="4" borderId="16" xfId="0" applyNumberFormat="1" applyFont="1" applyFill="1" applyBorder="1" applyAlignment="1">
      <alignment horizontal="center" vertical="top"/>
    </xf>
    <xf numFmtId="3" fontId="26" fillId="4" borderId="35" xfId="0" applyNumberFormat="1" applyFont="1" applyFill="1" applyBorder="1" applyAlignment="1">
      <alignment horizontal="center" vertical="top" wrapText="1"/>
    </xf>
    <xf numFmtId="3" fontId="26" fillId="4" borderId="51" xfId="0" applyNumberFormat="1" applyFont="1" applyFill="1" applyBorder="1" applyAlignment="1">
      <alignment horizontal="center" vertical="top" wrapText="1"/>
    </xf>
    <xf numFmtId="167" fontId="26" fillId="9" borderId="51" xfId="2" applyNumberFormat="1" applyFont="1" applyFill="1" applyBorder="1" applyAlignment="1">
      <alignment horizontal="center" vertical="top" wrapText="1"/>
    </xf>
    <xf numFmtId="3" fontId="15" fillId="4" borderId="67" xfId="0" applyNumberFormat="1" applyFont="1" applyFill="1" applyBorder="1" applyAlignment="1">
      <alignment horizontal="center" vertical="top" wrapText="1"/>
    </xf>
    <xf numFmtId="3" fontId="15" fillId="4" borderId="9" xfId="0" applyNumberFormat="1" applyFont="1" applyFill="1" applyBorder="1" applyAlignment="1">
      <alignment horizontal="center" vertical="top" wrapText="1"/>
    </xf>
    <xf numFmtId="165" fontId="25" fillId="7" borderId="28" xfId="0" applyNumberFormat="1" applyFont="1" applyFill="1" applyBorder="1" applyAlignment="1">
      <alignment horizontal="center" vertical="top" wrapText="1"/>
    </xf>
    <xf numFmtId="165" fontId="25" fillId="5" borderId="37" xfId="0" applyNumberFormat="1" applyFont="1" applyFill="1" applyBorder="1" applyAlignment="1">
      <alignment horizontal="center" vertical="top" wrapText="1"/>
    </xf>
    <xf numFmtId="164" fontId="15" fillId="0" borderId="56" xfId="0" applyNumberFormat="1" applyFont="1" applyFill="1" applyBorder="1" applyAlignment="1">
      <alignment horizontal="center" vertical="top" wrapText="1"/>
    </xf>
    <xf numFmtId="164" fontId="25" fillId="5" borderId="4" xfId="0" applyNumberFormat="1" applyFont="1" applyFill="1" applyBorder="1" applyAlignment="1">
      <alignment horizontal="center" vertical="top" wrapText="1"/>
    </xf>
    <xf numFmtId="165" fontId="25" fillId="7" borderId="71" xfId="0" applyNumberFormat="1" applyFont="1" applyFill="1" applyBorder="1" applyAlignment="1">
      <alignment horizontal="center" vertical="top" wrapText="1"/>
    </xf>
    <xf numFmtId="165" fontId="25" fillId="5" borderId="67" xfId="0" applyNumberFormat="1" applyFont="1" applyFill="1" applyBorder="1" applyAlignment="1">
      <alignment horizontal="center" vertical="top" wrapText="1"/>
    </xf>
    <xf numFmtId="164" fontId="15" fillId="0" borderId="66" xfId="0" applyNumberFormat="1" applyFont="1" applyFill="1" applyBorder="1" applyAlignment="1">
      <alignment horizontal="center" vertical="top" wrapText="1"/>
    </xf>
    <xf numFmtId="164" fontId="25" fillId="5" borderId="73" xfId="0" applyNumberFormat="1" applyFont="1" applyFill="1" applyBorder="1" applyAlignment="1">
      <alignment horizontal="center" vertical="top" wrapText="1"/>
    </xf>
    <xf numFmtId="164" fontId="25" fillId="5" borderId="39" xfId="0" applyNumberFormat="1" applyFont="1" applyFill="1" applyBorder="1" applyAlignment="1">
      <alignment horizontal="center" vertical="top" wrapText="1"/>
    </xf>
    <xf numFmtId="165" fontId="2" fillId="4" borderId="53" xfId="0" applyNumberFormat="1" applyFont="1" applyFill="1" applyBorder="1" applyAlignment="1">
      <alignment horizontal="center" vertical="top" wrapText="1"/>
    </xf>
    <xf numFmtId="165" fontId="2" fillId="4" borderId="55" xfId="0" applyNumberFormat="1" applyFont="1" applyFill="1" applyBorder="1" applyAlignment="1">
      <alignment horizontal="center" vertical="top" wrapText="1"/>
    </xf>
    <xf numFmtId="164" fontId="17" fillId="4" borderId="17" xfId="0" applyNumberFormat="1" applyFont="1" applyFill="1" applyBorder="1" applyAlignment="1">
      <alignment horizontal="center" vertical="top" wrapText="1"/>
    </xf>
    <xf numFmtId="164" fontId="17" fillId="4" borderId="53"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wrapText="1"/>
    </xf>
    <xf numFmtId="164" fontId="2" fillId="4" borderId="17" xfId="0" applyNumberFormat="1" applyFont="1" applyFill="1" applyBorder="1" applyAlignment="1">
      <alignment horizontal="center" vertical="top" wrapText="1"/>
    </xf>
    <xf numFmtId="164" fontId="2" fillId="4" borderId="16" xfId="0" applyNumberFormat="1" applyFont="1" applyFill="1" applyBorder="1" applyAlignment="1">
      <alignment horizontal="center" vertical="top" wrapText="1"/>
    </xf>
    <xf numFmtId="164" fontId="2" fillId="0" borderId="16" xfId="0" applyNumberFormat="1" applyFont="1" applyFill="1" applyBorder="1" applyAlignment="1">
      <alignment horizontal="center" vertical="top" wrapText="1"/>
    </xf>
    <xf numFmtId="165" fontId="2" fillId="4" borderId="25" xfId="0" applyNumberFormat="1" applyFont="1" applyFill="1" applyBorder="1" applyAlignment="1">
      <alignment horizontal="center" vertical="top" wrapText="1"/>
    </xf>
    <xf numFmtId="165" fontId="2" fillId="4" borderId="25" xfId="0" applyNumberFormat="1" applyFont="1" applyFill="1" applyBorder="1" applyAlignment="1">
      <alignment horizontal="center" vertical="top"/>
    </xf>
    <xf numFmtId="165" fontId="2" fillId="4" borderId="56" xfId="0" applyNumberFormat="1" applyFont="1" applyFill="1" applyBorder="1" applyAlignment="1">
      <alignment horizontal="center" vertical="top"/>
    </xf>
    <xf numFmtId="164" fontId="17" fillId="4" borderId="18" xfId="0" applyNumberFormat="1" applyFont="1" applyFill="1" applyBorder="1" applyAlignment="1">
      <alignment horizontal="center" vertical="center" wrapText="1"/>
    </xf>
    <xf numFmtId="165" fontId="15" fillId="4" borderId="62" xfId="0" applyNumberFormat="1" applyFont="1" applyFill="1" applyBorder="1" applyAlignment="1">
      <alignment horizontal="center" vertical="top" wrapText="1"/>
    </xf>
    <xf numFmtId="165" fontId="2" fillId="4" borderId="17" xfId="0" applyNumberFormat="1" applyFont="1" applyFill="1" applyBorder="1" applyAlignment="1">
      <alignment horizontal="center" vertical="top" wrapText="1"/>
    </xf>
    <xf numFmtId="164" fontId="17" fillId="13" borderId="17" xfId="2" applyNumberFormat="1" applyFont="1" applyFill="1" applyBorder="1" applyAlignment="1">
      <alignment horizontal="center" vertical="top" wrapText="1"/>
    </xf>
    <xf numFmtId="164" fontId="15" fillId="4" borderId="17" xfId="0" applyNumberFormat="1" applyFont="1" applyFill="1" applyBorder="1" applyAlignment="1">
      <alignment horizontal="center" vertical="top" wrapText="1"/>
    </xf>
    <xf numFmtId="49" fontId="17" fillId="4" borderId="17" xfId="2" applyNumberFormat="1" applyFont="1" applyFill="1" applyBorder="1" applyAlignment="1">
      <alignment horizontal="center" vertical="top"/>
    </xf>
    <xf numFmtId="164" fontId="15" fillId="12" borderId="17" xfId="2" applyNumberFormat="1" applyFont="1" applyFill="1" applyBorder="1" applyAlignment="1">
      <alignment horizontal="center" vertical="top"/>
    </xf>
    <xf numFmtId="165" fontId="15" fillId="4" borderId="17" xfId="2" applyNumberFormat="1" applyFont="1" applyFill="1" applyBorder="1" applyAlignment="1">
      <alignment vertical="top"/>
    </xf>
    <xf numFmtId="165" fontId="17" fillId="4" borderId="17" xfId="2" applyNumberFormat="1" applyFont="1" applyFill="1" applyBorder="1" applyAlignment="1">
      <alignment horizontal="center" vertical="top"/>
    </xf>
    <xf numFmtId="165" fontId="17" fillId="4" borderId="17" xfId="2" applyNumberFormat="1" applyFont="1" applyFill="1" applyBorder="1" applyAlignment="1">
      <alignment vertical="top"/>
    </xf>
    <xf numFmtId="164" fontId="17" fillId="4" borderId="17" xfId="2" applyNumberFormat="1" applyFont="1" applyFill="1" applyBorder="1" applyAlignment="1">
      <alignment horizontal="center" vertical="top"/>
    </xf>
    <xf numFmtId="164" fontId="17" fillId="12" borderId="17" xfId="2" applyNumberFormat="1" applyFont="1" applyFill="1" applyBorder="1" applyAlignment="1">
      <alignment horizontal="center" vertical="top"/>
    </xf>
    <xf numFmtId="49" fontId="2" fillId="4" borderId="17" xfId="2" applyNumberFormat="1" applyFont="1" applyFill="1" applyBorder="1" applyAlignment="1">
      <alignment horizontal="center" vertical="top"/>
    </xf>
    <xf numFmtId="164" fontId="24" fillId="4" borderId="17" xfId="2" applyNumberFormat="1" applyFont="1" applyFill="1" applyBorder="1" applyAlignment="1">
      <alignment horizontal="right" vertical="top"/>
    </xf>
    <xf numFmtId="164" fontId="24" fillId="4" borderId="17" xfId="0" applyNumberFormat="1" applyFont="1" applyFill="1" applyBorder="1" applyAlignment="1">
      <alignment horizontal="center" vertical="top" wrapText="1"/>
    </xf>
    <xf numFmtId="3" fontId="17" fillId="4" borderId="17" xfId="0" applyNumberFormat="1" applyFont="1" applyFill="1" applyBorder="1" applyAlignment="1">
      <alignment horizontal="center" vertical="top" wrapText="1"/>
    </xf>
    <xf numFmtId="49" fontId="17" fillId="4" borderId="17" xfId="2" applyNumberFormat="1" applyFont="1" applyFill="1" applyBorder="1" applyAlignment="1">
      <alignment horizontal="center" vertical="top" wrapText="1"/>
    </xf>
    <xf numFmtId="49" fontId="17" fillId="4" borderId="53" xfId="2" applyNumberFormat="1" applyFont="1" applyFill="1" applyBorder="1" applyAlignment="1">
      <alignment horizontal="center" vertical="top" wrapText="1"/>
    </xf>
    <xf numFmtId="165" fontId="2" fillId="4" borderId="16" xfId="0" applyNumberFormat="1" applyFont="1" applyFill="1" applyBorder="1" applyAlignment="1">
      <alignment horizontal="center" vertical="top" wrapText="1"/>
    </xf>
    <xf numFmtId="165" fontId="15" fillId="4" borderId="28" xfId="0" applyNumberFormat="1" applyFont="1" applyFill="1" applyBorder="1" applyAlignment="1">
      <alignment horizontal="center" vertical="top" wrapText="1"/>
    </xf>
    <xf numFmtId="165" fontId="15" fillId="4" borderId="61" xfId="0" applyNumberFormat="1" applyFont="1" applyFill="1" applyBorder="1" applyAlignment="1">
      <alignment horizontal="center" vertical="top" wrapText="1"/>
    </xf>
    <xf numFmtId="164" fontId="25" fillId="5" borderId="89" xfId="0" applyNumberFormat="1" applyFont="1" applyFill="1" applyBorder="1" applyAlignment="1">
      <alignment horizontal="center" vertical="top" wrapText="1"/>
    </xf>
    <xf numFmtId="0" fontId="2" fillId="4" borderId="25" xfId="0" applyFont="1" applyFill="1" applyBorder="1" applyAlignment="1">
      <alignment horizontal="center" vertical="top" wrapText="1"/>
    </xf>
    <xf numFmtId="164" fontId="17" fillId="12" borderId="15" xfId="2" applyNumberFormat="1" applyFont="1" applyFill="1" applyBorder="1" applyAlignment="1">
      <alignment horizontal="center" vertical="top"/>
    </xf>
    <xf numFmtId="164" fontId="8" fillId="4" borderId="18" xfId="0" applyNumberFormat="1" applyFont="1" applyFill="1" applyBorder="1" applyAlignment="1">
      <alignment horizontal="center" vertical="top" wrapText="1"/>
    </xf>
    <xf numFmtId="164" fontId="17" fillId="11" borderId="18" xfId="2" applyNumberFormat="1" applyFont="1" applyFill="1" applyBorder="1" applyAlignment="1">
      <alignment horizontal="center" vertical="top"/>
    </xf>
    <xf numFmtId="164" fontId="15" fillId="12" borderId="18" xfId="2" applyNumberFormat="1" applyFont="1" applyFill="1" applyBorder="1" applyAlignment="1">
      <alignment vertical="top"/>
    </xf>
    <xf numFmtId="164" fontId="17" fillId="12" borderId="18" xfId="2" applyNumberFormat="1" applyFont="1" applyFill="1" applyBorder="1" applyAlignment="1">
      <alignment vertical="top"/>
    </xf>
    <xf numFmtId="164" fontId="2" fillId="0" borderId="18" xfId="0" applyNumberFormat="1" applyFont="1" applyFill="1" applyBorder="1" applyAlignment="1">
      <alignment horizontal="center" vertical="top" wrapText="1"/>
    </xf>
    <xf numFmtId="164" fontId="24" fillId="11" borderId="18" xfId="2" applyNumberFormat="1" applyFont="1" applyFill="1" applyBorder="1" applyAlignment="1">
      <alignment horizontal="center" vertical="top"/>
    </xf>
    <xf numFmtId="164" fontId="17" fillId="12" borderId="37" xfId="2" applyNumberFormat="1" applyFont="1" applyFill="1" applyBorder="1" applyAlignment="1">
      <alignment horizontal="center" vertical="top"/>
    </xf>
    <xf numFmtId="165" fontId="2" fillId="0" borderId="13" xfId="0" applyNumberFormat="1" applyFont="1" applyFill="1" applyBorder="1" applyAlignment="1">
      <alignment horizontal="center" vertical="top" wrapText="1"/>
    </xf>
    <xf numFmtId="0" fontId="2" fillId="4" borderId="55" xfId="0" applyFont="1" applyFill="1" applyBorder="1" applyAlignment="1">
      <alignment horizontal="center" vertical="top" wrapText="1"/>
    </xf>
    <xf numFmtId="164" fontId="17" fillId="0" borderId="18" xfId="0" applyNumberFormat="1" applyFont="1" applyFill="1" applyBorder="1" applyAlignment="1">
      <alignment horizontal="center" vertical="top" wrapText="1"/>
    </xf>
    <xf numFmtId="164" fontId="2" fillId="0" borderId="50" xfId="0" applyNumberFormat="1" applyFont="1" applyFill="1" applyBorder="1" applyAlignment="1">
      <alignment horizontal="center" vertical="top"/>
    </xf>
    <xf numFmtId="164" fontId="2" fillId="0" borderId="28" xfId="0" applyNumberFormat="1" applyFont="1" applyFill="1" applyBorder="1" applyAlignment="1">
      <alignment horizontal="center" vertical="top"/>
    </xf>
    <xf numFmtId="165" fontId="2" fillId="0" borderId="3" xfId="0" applyNumberFormat="1" applyFont="1" applyFill="1" applyBorder="1" applyAlignment="1">
      <alignment horizontal="center" vertical="top" wrapText="1"/>
    </xf>
    <xf numFmtId="164" fontId="17" fillId="0" borderId="0" xfId="0" applyNumberFormat="1" applyFont="1" applyFill="1" applyBorder="1" applyAlignment="1">
      <alignment horizontal="center" vertical="top" wrapText="1"/>
    </xf>
    <xf numFmtId="165" fontId="2" fillId="0" borderId="16" xfId="0" applyNumberFormat="1" applyFont="1" applyBorder="1" applyAlignment="1">
      <alignment horizontal="center" vertical="top" wrapText="1"/>
    </xf>
    <xf numFmtId="165" fontId="2" fillId="0" borderId="23" xfId="0" applyNumberFormat="1" applyFont="1" applyBorder="1" applyAlignment="1">
      <alignment horizontal="center" vertical="top" wrapText="1"/>
    </xf>
    <xf numFmtId="164" fontId="2" fillId="0" borderId="17"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17" fillId="0" borderId="17" xfId="0" applyNumberFormat="1" applyFont="1" applyBorder="1" applyAlignment="1">
      <alignment horizontal="center" vertical="top"/>
    </xf>
    <xf numFmtId="164" fontId="17" fillId="0" borderId="7" xfId="0" applyNumberFormat="1" applyFont="1" applyBorder="1" applyAlignment="1">
      <alignment horizontal="center" vertical="top"/>
    </xf>
    <xf numFmtId="165" fontId="2" fillId="0" borderId="62" xfId="0" applyNumberFormat="1" applyFont="1" applyFill="1" applyBorder="1" applyAlignment="1">
      <alignment horizontal="center" vertical="top" wrapText="1"/>
    </xf>
    <xf numFmtId="165" fontId="2" fillId="0" borderId="55" xfId="0" applyNumberFormat="1" applyFont="1" applyFill="1" applyBorder="1" applyAlignment="1">
      <alignment horizontal="center" vertical="top" wrapText="1"/>
    </xf>
    <xf numFmtId="165" fontId="2" fillId="0" borderId="17" xfId="0" applyNumberFormat="1" applyFont="1" applyFill="1" applyBorder="1" applyAlignment="1">
      <alignment horizontal="center" vertical="top" wrapText="1"/>
    </xf>
    <xf numFmtId="164" fontId="2" fillId="0" borderId="16" xfId="0" applyNumberFormat="1" applyFont="1" applyBorder="1" applyAlignment="1">
      <alignment horizontal="center" vertical="top"/>
    </xf>
    <xf numFmtId="164" fontId="15" fillId="4" borderId="62" xfId="0" applyNumberFormat="1" applyFont="1" applyFill="1" applyBorder="1" applyAlignment="1">
      <alignment horizontal="center" vertical="top" wrapText="1"/>
    </xf>
    <xf numFmtId="164" fontId="17" fillId="4" borderId="17" xfId="1" applyNumberFormat="1" applyFont="1" applyFill="1" applyBorder="1" applyAlignment="1">
      <alignment horizontal="center" vertical="top" wrapText="1"/>
    </xf>
    <xf numFmtId="164" fontId="17" fillId="4" borderId="53" xfId="1" applyNumberFormat="1" applyFont="1" applyFill="1" applyBorder="1" applyAlignment="1">
      <alignment horizontal="center" vertical="top" wrapText="1"/>
    </xf>
    <xf numFmtId="164" fontId="15" fillId="4" borderId="28" xfId="0" applyNumberFormat="1" applyFont="1" applyFill="1" applyBorder="1" applyAlignment="1">
      <alignment horizontal="center" vertical="top" wrapText="1"/>
    </xf>
    <xf numFmtId="164" fontId="25" fillId="2" borderId="11" xfId="0" applyNumberFormat="1" applyFont="1" applyFill="1" applyBorder="1" applyAlignment="1">
      <alignment horizontal="center" vertical="top" wrapText="1"/>
    </xf>
    <xf numFmtId="164" fontId="25" fillId="8" borderId="19" xfId="0" applyNumberFormat="1" applyFont="1" applyFill="1" applyBorder="1" applyAlignment="1">
      <alignment horizontal="center" vertical="top" wrapText="1"/>
    </xf>
    <xf numFmtId="164" fontId="25" fillId="7" borderId="19" xfId="0" applyNumberFormat="1" applyFont="1" applyFill="1" applyBorder="1" applyAlignment="1">
      <alignment horizontal="center" vertical="top" wrapText="1"/>
    </xf>
    <xf numFmtId="164" fontId="15" fillId="4" borderId="61" xfId="0" applyNumberFormat="1" applyFont="1" applyFill="1" applyBorder="1" applyAlignment="1">
      <alignment horizontal="center" vertical="top" wrapText="1"/>
    </xf>
    <xf numFmtId="164" fontId="17" fillId="4" borderId="15" xfId="1" applyNumberFormat="1" applyFont="1" applyFill="1" applyBorder="1" applyAlignment="1">
      <alignment horizontal="center" vertical="top" wrapText="1"/>
    </xf>
    <xf numFmtId="164" fontId="25" fillId="2" borderId="24" xfId="0" applyNumberFormat="1" applyFont="1" applyFill="1" applyBorder="1" applyAlignment="1">
      <alignment horizontal="center" vertical="top" wrapText="1"/>
    </xf>
    <xf numFmtId="164" fontId="25" fillId="8" borderId="63" xfId="0" applyNumberFormat="1" applyFont="1" applyFill="1" applyBorder="1" applyAlignment="1">
      <alignment horizontal="center" vertical="top" wrapText="1"/>
    </xf>
    <xf numFmtId="164" fontId="25" fillId="7" borderId="63" xfId="0" applyNumberFormat="1" applyFont="1" applyFill="1" applyBorder="1" applyAlignment="1">
      <alignment horizontal="center" vertical="top" wrapText="1"/>
    </xf>
    <xf numFmtId="165" fontId="2" fillId="3" borderId="61" xfId="0" applyNumberFormat="1" applyFont="1" applyFill="1" applyBorder="1" applyAlignment="1">
      <alignment horizontal="center" vertical="top" wrapText="1"/>
    </xf>
    <xf numFmtId="165" fontId="2" fillId="3" borderId="15" xfId="0" applyNumberFormat="1" applyFont="1" applyFill="1" applyBorder="1" applyAlignment="1">
      <alignment horizontal="center" vertical="top" wrapText="1"/>
    </xf>
    <xf numFmtId="164" fontId="25" fillId="5" borderId="43" xfId="0" applyNumberFormat="1" applyFont="1" applyFill="1" applyBorder="1" applyAlignment="1">
      <alignment horizontal="center" vertical="top" wrapText="1"/>
    </xf>
    <xf numFmtId="164" fontId="25" fillId="2" borderId="60" xfId="0" applyNumberFormat="1" applyFont="1" applyFill="1" applyBorder="1" applyAlignment="1">
      <alignment horizontal="center" vertical="top" wrapText="1"/>
    </xf>
    <xf numFmtId="164" fontId="25" fillId="8" borderId="59" xfId="0" applyNumberFormat="1" applyFont="1" applyFill="1" applyBorder="1" applyAlignment="1">
      <alignment horizontal="center" vertical="top" wrapText="1"/>
    </xf>
    <xf numFmtId="164" fontId="25" fillId="7" borderId="59" xfId="0" applyNumberFormat="1" applyFont="1" applyFill="1" applyBorder="1" applyAlignment="1">
      <alignment horizontal="center" vertical="top" wrapText="1"/>
    </xf>
    <xf numFmtId="165" fontId="2" fillId="3" borderId="28" xfId="0" applyNumberFormat="1" applyFont="1" applyFill="1" applyBorder="1" applyAlignment="1">
      <alignment horizontal="center" vertical="top" wrapText="1"/>
    </xf>
    <xf numFmtId="165" fontId="2" fillId="3" borderId="37" xfId="0" applyNumberFormat="1" applyFont="1" applyFill="1" applyBorder="1" applyAlignment="1">
      <alignment horizontal="center" vertical="top" wrapText="1"/>
    </xf>
    <xf numFmtId="165" fontId="2" fillId="3" borderId="18" xfId="0" applyNumberFormat="1" applyFont="1" applyFill="1" applyBorder="1" applyAlignment="1">
      <alignment horizontal="center" vertical="top" wrapText="1"/>
    </xf>
    <xf numFmtId="164" fontId="2" fillId="4" borderId="62" xfId="0" applyNumberFormat="1" applyFont="1" applyFill="1" applyBorder="1" applyAlignment="1">
      <alignment horizontal="center" vertical="top"/>
    </xf>
    <xf numFmtId="164" fontId="2" fillId="4" borderId="55" xfId="0" applyNumberFormat="1" applyFont="1" applyFill="1" applyBorder="1" applyAlignment="1">
      <alignment horizontal="center" vertical="top"/>
    </xf>
    <xf numFmtId="165" fontId="2" fillId="4" borderId="55" xfId="0" applyNumberFormat="1" applyFont="1" applyFill="1" applyBorder="1" applyAlignment="1">
      <alignment horizontal="center" vertical="top"/>
    </xf>
    <xf numFmtId="164" fontId="17" fillId="4" borderId="17" xfId="0" applyNumberFormat="1" applyFont="1" applyFill="1" applyBorder="1" applyAlignment="1">
      <alignment horizontal="center" vertical="center"/>
    </xf>
    <xf numFmtId="164" fontId="17" fillId="4" borderId="17" xfId="0" applyNumberFormat="1" applyFont="1" applyFill="1" applyBorder="1" applyAlignment="1">
      <alignment horizontal="center" vertical="center" wrapText="1"/>
    </xf>
    <xf numFmtId="165" fontId="15" fillId="4" borderId="50" xfId="0" applyNumberFormat="1" applyFont="1" applyFill="1" applyBorder="1" applyAlignment="1">
      <alignment horizontal="center" vertical="top" wrapText="1"/>
    </xf>
    <xf numFmtId="164" fontId="8" fillId="4" borderId="17" xfId="0" applyNumberFormat="1" applyFont="1" applyFill="1" applyBorder="1" applyAlignment="1">
      <alignment horizontal="center" vertical="top" wrapText="1"/>
    </xf>
    <xf numFmtId="164" fontId="17" fillId="11" borderId="17" xfId="2" applyNumberFormat="1" applyFont="1" applyFill="1" applyBorder="1" applyAlignment="1">
      <alignment horizontal="center" vertical="top"/>
    </xf>
    <xf numFmtId="164" fontId="15" fillId="12" borderId="17" xfId="2" applyNumberFormat="1" applyFont="1" applyFill="1" applyBorder="1" applyAlignment="1">
      <alignment vertical="top"/>
    </xf>
    <xf numFmtId="164" fontId="17" fillId="12" borderId="17" xfId="2" applyNumberFormat="1" applyFont="1" applyFill="1" applyBorder="1" applyAlignment="1">
      <alignment vertical="top"/>
    </xf>
    <xf numFmtId="164" fontId="2" fillId="0" borderId="17" xfId="0" applyNumberFormat="1" applyFont="1" applyFill="1" applyBorder="1" applyAlignment="1">
      <alignment horizontal="center" vertical="top" wrapText="1"/>
    </xf>
    <xf numFmtId="164" fontId="24" fillId="11" borderId="17" xfId="2" applyNumberFormat="1" applyFont="1" applyFill="1" applyBorder="1" applyAlignment="1">
      <alignment horizontal="center" vertical="top"/>
    </xf>
    <xf numFmtId="164" fontId="17" fillId="12" borderId="53" xfId="2" applyNumberFormat="1" applyFont="1" applyFill="1" applyBorder="1" applyAlignment="1">
      <alignment horizontal="center" vertical="top"/>
    </xf>
    <xf numFmtId="165" fontId="2" fillId="0" borderId="16" xfId="0" applyNumberFormat="1" applyFont="1" applyFill="1" applyBorder="1" applyAlignment="1">
      <alignment horizontal="center" vertical="top" wrapText="1"/>
    </xf>
    <xf numFmtId="164" fontId="17" fillId="4" borderId="53" xfId="0" applyNumberFormat="1" applyFont="1" applyFill="1" applyBorder="1" applyAlignment="1">
      <alignment horizontal="center" vertical="top"/>
    </xf>
    <xf numFmtId="164" fontId="25" fillId="2" borderId="46" xfId="0" applyNumberFormat="1" applyFont="1" applyFill="1" applyBorder="1" applyAlignment="1">
      <alignment horizontal="center" vertical="top" wrapText="1"/>
    </xf>
    <xf numFmtId="165" fontId="2" fillId="3" borderId="62" xfId="0" applyNumberFormat="1" applyFont="1" applyFill="1" applyBorder="1" applyAlignment="1">
      <alignment horizontal="center" vertical="top" wrapText="1"/>
    </xf>
    <xf numFmtId="165" fontId="2" fillId="3" borderId="53" xfId="0" applyNumberFormat="1" applyFont="1" applyFill="1" applyBorder="1" applyAlignment="1">
      <alignment horizontal="center" vertical="top" wrapText="1"/>
    </xf>
    <xf numFmtId="165" fontId="2" fillId="3" borderId="17" xfId="0" applyNumberFormat="1" applyFont="1" applyFill="1" applyBorder="1" applyAlignment="1">
      <alignment horizontal="center" vertical="top" wrapText="1"/>
    </xf>
    <xf numFmtId="164" fontId="17" fillId="12" borderId="18" xfId="2" applyNumberFormat="1" applyFont="1" applyFill="1" applyBorder="1" applyAlignment="1">
      <alignment horizontal="center" vertical="top"/>
    </xf>
    <xf numFmtId="164" fontId="17" fillId="4" borderId="18" xfId="0"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49" fontId="17" fillId="4" borderId="18" xfId="2" applyNumberFormat="1" applyFont="1" applyFill="1" applyBorder="1" applyAlignment="1">
      <alignment horizontal="center" vertical="top"/>
    </xf>
    <xf numFmtId="164" fontId="2" fillId="4" borderId="13"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wrapText="1"/>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4" fontId="2" fillId="4" borderId="53"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6" xfId="0" applyNumberFormat="1" applyFont="1" applyFill="1" applyBorder="1" applyAlignment="1">
      <alignment horizontal="left" vertical="top" wrapText="1"/>
    </xf>
    <xf numFmtId="3" fontId="2" fillId="4" borderId="5" xfId="0" applyNumberFormat="1" applyFont="1" applyFill="1" applyBorder="1" applyAlignment="1">
      <alignment horizontal="left" vertical="top" wrapText="1"/>
    </xf>
    <xf numFmtId="3" fontId="2" fillId="4" borderId="34"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3" fontId="2" fillId="4" borderId="13"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3" fillId="4" borderId="13"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3" fillId="4" borderId="18" xfId="0" applyNumberFormat="1" applyFont="1" applyFill="1" applyBorder="1" applyAlignment="1">
      <alignment horizontal="left" vertical="top" wrapText="1"/>
    </xf>
    <xf numFmtId="164" fontId="17" fillId="4" borderId="7" xfId="0" applyNumberFormat="1" applyFont="1" applyFill="1" applyBorder="1" applyAlignment="1">
      <alignment horizontal="center" vertical="top"/>
    </xf>
    <xf numFmtId="3" fontId="2" fillId="4" borderId="51"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164" fontId="17" fillId="4" borderId="7" xfId="0" applyNumberFormat="1" applyFont="1" applyFill="1" applyBorder="1" applyAlignment="1">
      <alignment horizontal="center" vertical="top" wrapText="1"/>
    </xf>
    <xf numFmtId="3" fontId="17" fillId="4" borderId="8" xfId="0" applyNumberFormat="1" applyFont="1" applyFill="1" applyBorder="1" applyAlignment="1">
      <alignment horizontal="center"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49" fontId="17" fillId="4" borderId="8" xfId="2" applyNumberFormat="1" applyFont="1" applyFill="1" applyBorder="1" applyAlignment="1">
      <alignment horizontal="center" vertical="top"/>
    </xf>
    <xf numFmtId="3" fontId="2" fillId="4" borderId="10" xfId="0" applyNumberFormat="1" applyFont="1" applyFill="1" applyBorder="1" applyAlignment="1">
      <alignment horizontal="left" vertical="top" wrapText="1"/>
    </xf>
    <xf numFmtId="3" fontId="2" fillId="4" borderId="10"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49" fontId="3" fillId="2" borderId="13"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3" fontId="2" fillId="4" borderId="8"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3" borderId="18" xfId="0" applyNumberFormat="1" applyFont="1" applyFill="1" applyBorder="1" applyAlignment="1">
      <alignment horizontal="left" vertical="top" wrapText="1"/>
    </xf>
    <xf numFmtId="0" fontId="2" fillId="4" borderId="18" xfId="0" applyFont="1" applyFill="1" applyBorder="1" applyAlignment="1">
      <alignment horizontal="left" vertical="top" wrapText="1"/>
    </xf>
    <xf numFmtId="49" fontId="24" fillId="4" borderId="8" xfId="2" applyNumberFormat="1" applyFont="1" applyFill="1" applyBorder="1" applyAlignment="1">
      <alignment horizontal="center" vertical="top"/>
    </xf>
    <xf numFmtId="3" fontId="2" fillId="4" borderId="0" xfId="0" applyNumberFormat="1" applyFont="1" applyFill="1" applyBorder="1" applyAlignment="1">
      <alignment horizontal="left" vertical="top" wrapText="1"/>
    </xf>
    <xf numFmtId="167" fontId="2" fillId="9" borderId="8" xfId="2" applyNumberFormat="1" applyFont="1" applyFill="1" applyBorder="1" applyAlignment="1">
      <alignment horizontal="left" vertical="top" wrapText="1"/>
    </xf>
    <xf numFmtId="3" fontId="2" fillId="4" borderId="36" xfId="0" applyNumberFormat="1" applyFont="1" applyFill="1" applyBorder="1" applyAlignment="1">
      <alignment horizontal="center" vertical="top" wrapText="1"/>
    </xf>
    <xf numFmtId="3" fontId="2" fillId="4"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3" fontId="2" fillId="0" borderId="0" xfId="0" applyNumberFormat="1" applyFont="1" applyBorder="1" applyAlignment="1">
      <alignment horizontal="center" vertical="top" wrapText="1"/>
    </xf>
    <xf numFmtId="3" fontId="13" fillId="4" borderId="54" xfId="0" applyNumberFormat="1" applyFont="1" applyFill="1" applyBorder="1" applyAlignment="1">
      <alignment horizontal="center" vertical="top" wrapText="1"/>
    </xf>
    <xf numFmtId="3" fontId="13" fillId="4" borderId="58" xfId="0" applyNumberFormat="1" applyFont="1" applyFill="1" applyBorder="1" applyAlignment="1">
      <alignment horizontal="center" vertical="top" wrapText="1"/>
    </xf>
    <xf numFmtId="3" fontId="2" fillId="0" borderId="38" xfId="0" applyNumberFormat="1" applyFont="1" applyBorder="1" applyAlignment="1">
      <alignment horizontal="right" wrapText="1"/>
    </xf>
    <xf numFmtId="3" fontId="2" fillId="4" borderId="35" xfId="0" applyNumberFormat="1" applyFont="1" applyFill="1" applyBorder="1" applyAlignment="1">
      <alignment horizontal="center" vertical="top" wrapText="1"/>
    </xf>
    <xf numFmtId="3" fontId="4" fillId="4" borderId="18" xfId="0" applyNumberFormat="1" applyFont="1" applyFill="1" applyBorder="1" applyAlignment="1">
      <alignment horizontal="left" vertical="top" wrapText="1"/>
    </xf>
    <xf numFmtId="164" fontId="17" fillId="0" borderId="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6" fillId="0" borderId="0" xfId="0" applyNumberFormat="1" applyFont="1" applyAlignment="1">
      <alignment horizontal="left" vertical="top" wrapText="1"/>
    </xf>
    <xf numFmtId="167"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49" fontId="2" fillId="0" borderId="0"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8" xfId="0" applyNumberFormat="1" applyFont="1" applyBorder="1" applyAlignment="1">
      <alignment horizontal="center" vertical="top" wrapText="1"/>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3" fontId="2" fillId="0" borderId="10" xfId="0" applyNumberFormat="1" applyFont="1" applyFill="1" applyBorder="1" applyAlignment="1">
      <alignment horizontal="center" vertical="top" wrapText="1"/>
    </xf>
    <xf numFmtId="3" fontId="13" fillId="4" borderId="51" xfId="0" applyNumberFormat="1" applyFont="1" applyFill="1" applyBorder="1" applyAlignment="1">
      <alignment horizontal="center" vertical="center" wrapText="1"/>
    </xf>
    <xf numFmtId="164" fontId="2" fillId="4" borderId="29"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3" fontId="13" fillId="4" borderId="35" xfId="0" applyNumberFormat="1" applyFont="1" applyFill="1" applyBorder="1" applyAlignment="1">
      <alignment horizontal="center" vertical="top" wrapText="1"/>
    </xf>
    <xf numFmtId="3" fontId="2" fillId="0" borderId="8"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164" fontId="2" fillId="4" borderId="70" xfId="0" applyNumberFormat="1" applyFont="1" applyFill="1" applyBorder="1" applyAlignment="1">
      <alignment horizontal="center"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49" fontId="3" fillId="8" borderId="16" xfId="0" applyNumberFormat="1" applyFont="1" applyFill="1" applyBorder="1" applyAlignment="1">
      <alignment horizontal="center" vertical="top"/>
    </xf>
    <xf numFmtId="3" fontId="13" fillId="4" borderId="18" xfId="0" applyNumberFormat="1" applyFont="1" applyFill="1" applyBorder="1" applyAlignment="1">
      <alignment horizontal="center"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3" fontId="2" fillId="0" borderId="38" xfId="0" applyNumberFormat="1" applyFont="1" applyBorder="1" applyAlignment="1">
      <alignment horizontal="center" vertical="center" textRotation="90" wrapText="1"/>
    </xf>
    <xf numFmtId="49" fontId="17" fillId="4" borderId="8" xfId="2" applyNumberFormat="1" applyFont="1" applyFill="1" applyBorder="1" applyAlignment="1">
      <alignment horizontal="center" vertical="top"/>
    </xf>
    <xf numFmtId="3" fontId="17" fillId="4" borderId="8"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top" wrapText="1"/>
    </xf>
    <xf numFmtId="164" fontId="17" fillId="12" borderId="18" xfId="2" applyNumberFormat="1" applyFont="1" applyFill="1" applyBorder="1" applyAlignment="1">
      <alignment horizontal="center" vertical="top"/>
    </xf>
    <xf numFmtId="164" fontId="17" fillId="4" borderId="18" xfId="0" applyNumberFormat="1" applyFont="1" applyFill="1" applyBorder="1" applyAlignment="1">
      <alignment horizontal="center" vertical="top" wrapText="1"/>
    </xf>
    <xf numFmtId="165" fontId="2" fillId="4" borderId="66" xfId="0" applyNumberFormat="1" applyFont="1" applyFill="1" applyBorder="1" applyAlignment="1">
      <alignment horizontal="center" vertical="top"/>
    </xf>
    <xf numFmtId="164" fontId="17" fillId="4" borderId="29" xfId="0" applyNumberFormat="1" applyFont="1" applyFill="1" applyBorder="1" applyAlignment="1">
      <alignment horizontal="center" vertical="top"/>
    </xf>
    <xf numFmtId="164" fontId="17" fillId="4" borderId="36"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164" fontId="24" fillId="4" borderId="29"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center"/>
    </xf>
    <xf numFmtId="164" fontId="17" fillId="4" borderId="29" xfId="0" applyNumberFormat="1" applyFont="1" applyFill="1" applyBorder="1" applyAlignment="1">
      <alignment horizontal="center" vertical="center" wrapText="1"/>
    </xf>
    <xf numFmtId="164" fontId="17" fillId="4" borderId="30" xfId="0" applyNumberFormat="1" applyFont="1" applyFill="1" applyBorder="1" applyAlignment="1">
      <alignment horizontal="center" vertical="top" wrapText="1"/>
    </xf>
    <xf numFmtId="164" fontId="17" fillId="4" borderId="80" xfId="0" applyNumberFormat="1" applyFont="1" applyFill="1" applyBorder="1" applyAlignment="1">
      <alignment horizontal="center" vertical="top" wrapText="1"/>
    </xf>
    <xf numFmtId="164" fontId="17" fillId="4" borderId="67" xfId="0" applyNumberFormat="1" applyFont="1" applyFill="1" applyBorder="1" applyAlignment="1">
      <alignment horizontal="center" vertical="top" wrapText="1"/>
    </xf>
    <xf numFmtId="165" fontId="2" fillId="4" borderId="50" xfId="0" applyNumberFormat="1" applyFont="1" applyFill="1" applyBorder="1" applyAlignment="1">
      <alignment horizontal="center" vertical="top" wrapText="1"/>
    </xf>
    <xf numFmtId="165" fontId="2" fillId="4" borderId="28" xfId="0" applyNumberFormat="1" applyFont="1" applyFill="1" applyBorder="1" applyAlignment="1">
      <alignment horizontal="center" vertical="top" wrapText="1"/>
    </xf>
    <xf numFmtId="165" fontId="2" fillId="4" borderId="71" xfId="0" applyNumberFormat="1" applyFont="1" applyFill="1" applyBorder="1" applyAlignment="1">
      <alignment horizontal="center" vertical="top" wrapText="1"/>
    </xf>
    <xf numFmtId="165" fontId="2" fillId="4" borderId="29" xfId="0" applyNumberFormat="1" applyFont="1" applyFill="1" applyBorder="1" applyAlignment="1">
      <alignment horizontal="center" vertical="top" wrapText="1"/>
    </xf>
    <xf numFmtId="3" fontId="8" fillId="4" borderId="36" xfId="0" applyNumberFormat="1" applyFont="1" applyFill="1" applyBorder="1" applyAlignment="1">
      <alignment horizontal="center" vertical="top" wrapText="1"/>
    </xf>
    <xf numFmtId="164" fontId="8" fillId="4" borderId="29" xfId="0" applyNumberFormat="1" applyFont="1" applyFill="1" applyBorder="1" applyAlignment="1">
      <alignment horizontal="center" vertical="top" wrapText="1"/>
    </xf>
    <xf numFmtId="164" fontId="17" fillId="13" borderId="36" xfId="2" applyNumberFormat="1" applyFont="1" applyFill="1" applyBorder="1" applyAlignment="1">
      <alignment horizontal="center" vertical="top" wrapText="1"/>
    </xf>
    <xf numFmtId="164" fontId="17" fillId="12" borderId="29" xfId="2" applyNumberFormat="1" applyFont="1" applyFill="1" applyBorder="1" applyAlignment="1">
      <alignment horizontal="center" vertical="top"/>
    </xf>
    <xf numFmtId="164" fontId="17" fillId="4" borderId="29" xfId="2" applyNumberFormat="1" applyFont="1" applyFill="1" applyBorder="1" applyAlignment="1">
      <alignment horizontal="center" vertical="top"/>
    </xf>
    <xf numFmtId="0" fontId="17" fillId="4" borderId="36" xfId="2" applyNumberFormat="1" applyFont="1" applyFill="1" applyBorder="1" applyAlignment="1">
      <alignment horizontal="center" vertical="top"/>
    </xf>
    <xf numFmtId="164" fontId="17" fillId="11" borderId="29" xfId="2" applyNumberFormat="1" applyFont="1" applyFill="1" applyBorder="1" applyAlignment="1">
      <alignment horizontal="center" vertical="top"/>
    </xf>
    <xf numFmtId="165" fontId="17" fillId="4" borderId="36" xfId="2" applyNumberFormat="1" applyFont="1" applyFill="1" applyBorder="1" applyAlignment="1">
      <alignment horizontal="center" vertical="top"/>
    </xf>
    <xf numFmtId="164" fontId="17" fillId="12" borderId="29" xfId="2" applyNumberFormat="1" applyFont="1" applyFill="1" applyBorder="1" applyAlignment="1">
      <alignment vertical="top"/>
    </xf>
    <xf numFmtId="165" fontId="17" fillId="4" borderId="57" xfId="2" applyNumberFormat="1" applyFont="1" applyFill="1" applyBorder="1" applyAlignment="1">
      <alignment horizontal="center" vertical="top"/>
    </xf>
    <xf numFmtId="164" fontId="17" fillId="12" borderId="36" xfId="2" applyNumberFormat="1" applyFont="1" applyFill="1" applyBorder="1" applyAlignment="1">
      <alignment horizontal="center" vertical="top"/>
    </xf>
    <xf numFmtId="49" fontId="17" fillId="4" borderId="36" xfId="2" applyNumberFormat="1" applyFont="1" applyFill="1" applyBorder="1" applyAlignment="1">
      <alignment horizontal="center" vertical="top"/>
    </xf>
    <xf numFmtId="164" fontId="17" fillId="4" borderId="36" xfId="2" applyNumberFormat="1" applyFont="1" applyFill="1" applyBorder="1" applyAlignment="1">
      <alignment horizontal="center" vertical="top"/>
    </xf>
    <xf numFmtId="164" fontId="24" fillId="4" borderId="36" xfId="2" applyNumberFormat="1" applyFont="1" applyFill="1" applyBorder="1" applyAlignment="1">
      <alignment horizontal="right" vertical="top"/>
    </xf>
    <xf numFmtId="164" fontId="24" fillId="11" borderId="29" xfId="2" applyNumberFormat="1" applyFont="1" applyFill="1" applyBorder="1" applyAlignment="1">
      <alignment horizontal="center" vertical="top"/>
    </xf>
    <xf numFmtId="164" fontId="24" fillId="4" borderId="36" xfId="0" applyNumberFormat="1" applyFont="1" applyFill="1" applyBorder="1" applyAlignment="1">
      <alignment horizontal="center" vertical="top" wrapText="1"/>
    </xf>
    <xf numFmtId="3" fontId="17" fillId="4" borderId="36" xfId="0" applyNumberFormat="1" applyFont="1" applyFill="1" applyBorder="1" applyAlignment="1">
      <alignment horizontal="center" vertical="top" wrapText="1"/>
    </xf>
    <xf numFmtId="0" fontId="17" fillId="4" borderId="36" xfId="2" applyNumberFormat="1" applyFont="1" applyFill="1" applyBorder="1" applyAlignment="1">
      <alignment horizontal="center" vertical="top" wrapText="1"/>
    </xf>
    <xf numFmtId="0" fontId="17" fillId="4" borderId="80" xfId="2" applyNumberFormat="1" applyFont="1" applyFill="1" applyBorder="1" applyAlignment="1">
      <alignment horizontal="center" vertical="top" wrapText="1"/>
    </xf>
    <xf numFmtId="164" fontId="17" fillId="12" borderId="67" xfId="2" applyNumberFormat="1" applyFont="1" applyFill="1" applyBorder="1" applyAlignment="1">
      <alignment horizontal="center" vertical="top"/>
    </xf>
    <xf numFmtId="165" fontId="2" fillId="0" borderId="34" xfId="0" applyNumberFormat="1" applyFont="1" applyFill="1" applyBorder="1" applyAlignment="1">
      <alignment horizontal="center" vertical="top" wrapText="1"/>
    </xf>
    <xf numFmtId="164" fontId="17" fillId="4" borderId="67" xfId="0" applyNumberFormat="1" applyFont="1" applyFill="1" applyBorder="1" applyAlignment="1">
      <alignment horizontal="center" vertical="top"/>
    </xf>
    <xf numFmtId="165" fontId="2" fillId="0" borderId="3" xfId="0" applyNumberFormat="1" applyFont="1" applyBorder="1" applyAlignment="1">
      <alignment horizontal="center" vertical="top" wrapText="1"/>
    </xf>
    <xf numFmtId="164" fontId="2" fillId="0" borderId="36" xfId="0" applyNumberFormat="1" applyFont="1" applyBorder="1" applyAlignment="1">
      <alignment horizontal="center" vertical="top" wrapText="1"/>
    </xf>
    <xf numFmtId="164" fontId="17" fillId="0" borderId="0" xfId="0" applyNumberFormat="1" applyFont="1" applyBorder="1" applyAlignment="1">
      <alignment horizontal="center" vertical="top"/>
    </xf>
    <xf numFmtId="164" fontId="17" fillId="0" borderId="29" xfId="0" applyNumberFormat="1" applyFont="1" applyFill="1" applyBorder="1" applyAlignment="1">
      <alignment horizontal="center" vertical="top" wrapText="1"/>
    </xf>
    <xf numFmtId="164" fontId="17" fillId="0" borderId="36" xfId="0" applyNumberFormat="1" applyFont="1" applyBorder="1" applyAlignment="1">
      <alignment horizontal="center" vertical="top"/>
    </xf>
    <xf numFmtId="164" fontId="17" fillId="0" borderId="29" xfId="0" applyNumberFormat="1" applyFont="1" applyFill="1" applyBorder="1" applyAlignment="1">
      <alignment horizontal="center" vertical="top"/>
    </xf>
    <xf numFmtId="165" fontId="2" fillId="3" borderId="71" xfId="0" applyNumberFormat="1" applyFont="1" applyFill="1" applyBorder="1" applyAlignment="1">
      <alignment horizontal="center" vertical="top" wrapText="1"/>
    </xf>
    <xf numFmtId="165" fontId="2" fillId="0" borderId="32" xfId="0" applyNumberFormat="1" applyFont="1" applyFill="1" applyBorder="1" applyAlignment="1">
      <alignment horizontal="center" vertical="top" wrapText="1"/>
    </xf>
    <xf numFmtId="165" fontId="2" fillId="3" borderId="67" xfId="0" applyNumberFormat="1" applyFont="1" applyFill="1" applyBorder="1" applyAlignment="1">
      <alignment horizontal="center" vertical="top" wrapText="1"/>
    </xf>
    <xf numFmtId="165" fontId="2" fillId="3" borderId="29"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xf>
    <xf numFmtId="164" fontId="17" fillId="4" borderId="36" xfId="1" applyNumberFormat="1" applyFont="1" applyFill="1" applyBorder="1" applyAlignment="1">
      <alignment horizontal="center" vertical="top" wrapText="1"/>
    </xf>
    <xf numFmtId="164" fontId="17" fillId="4" borderId="80" xfId="1" applyNumberFormat="1" applyFont="1" applyFill="1" applyBorder="1" applyAlignment="1">
      <alignment horizontal="center" vertical="top" wrapText="1"/>
    </xf>
    <xf numFmtId="164" fontId="17" fillId="4" borderId="29" xfId="1" applyNumberFormat="1" applyFont="1" applyFill="1" applyBorder="1" applyAlignment="1">
      <alignment horizontal="center" vertical="top" wrapText="1"/>
    </xf>
    <xf numFmtId="164" fontId="17" fillId="4" borderId="67" xfId="1" applyNumberFormat="1" applyFont="1" applyFill="1" applyBorder="1" applyAlignment="1">
      <alignment horizontal="center" vertical="top" wrapText="1"/>
    </xf>
    <xf numFmtId="3" fontId="2" fillId="0" borderId="55" xfId="0" applyNumberFormat="1" applyFont="1" applyBorder="1" applyAlignment="1">
      <alignment horizontal="left" vertical="top" wrapText="1"/>
    </xf>
    <xf numFmtId="3" fontId="2" fillId="0" borderId="32" xfId="0" applyNumberFormat="1" applyFont="1" applyBorder="1" applyAlignment="1">
      <alignment horizontal="left" vertical="top" wrapText="1"/>
    </xf>
    <xf numFmtId="3" fontId="2" fillId="0" borderId="25" xfId="0" applyNumberFormat="1" applyFont="1" applyBorder="1" applyAlignment="1">
      <alignment horizontal="left" vertical="top" wrapText="1"/>
    </xf>
    <xf numFmtId="3" fontId="3" fillId="5" borderId="41" xfId="0" applyNumberFormat="1" applyFont="1" applyFill="1" applyBorder="1" applyAlignment="1">
      <alignment horizontal="right" vertical="top" wrapText="1"/>
    </xf>
    <xf numFmtId="3" fontId="3" fillId="5" borderId="39" xfId="0" applyNumberFormat="1" applyFont="1" applyFill="1" applyBorder="1" applyAlignment="1">
      <alignment horizontal="right" vertical="top" wrapText="1"/>
    </xf>
    <xf numFmtId="3" fontId="3" fillId="5" borderId="43" xfId="0" applyNumberFormat="1" applyFont="1" applyFill="1" applyBorder="1" applyAlignment="1">
      <alignment horizontal="right" vertical="top" wrapText="1"/>
    </xf>
    <xf numFmtId="3" fontId="2" fillId="0" borderId="0" xfId="0" applyNumberFormat="1" applyFont="1" applyBorder="1" applyAlignment="1">
      <alignment horizontal="center" vertical="top" wrapText="1"/>
    </xf>
    <xf numFmtId="3" fontId="2" fillId="5" borderId="44" xfId="0" applyNumberFormat="1" applyFont="1" applyFill="1" applyBorder="1" applyAlignment="1">
      <alignment horizontal="left" vertical="top" wrapText="1"/>
    </xf>
    <xf numFmtId="3" fontId="2" fillId="5" borderId="32" xfId="0" applyNumberFormat="1" applyFont="1" applyFill="1" applyBorder="1" applyAlignment="1">
      <alignment horizontal="left" vertical="top" wrapText="1"/>
    </xf>
    <xf numFmtId="3" fontId="2" fillId="5" borderId="25" xfId="0" applyNumberFormat="1" applyFont="1" applyFill="1" applyBorder="1" applyAlignment="1">
      <alignment horizontal="left" vertical="top" wrapText="1"/>
    </xf>
    <xf numFmtId="3" fontId="3" fillId="7" borderId="55" xfId="0" applyNumberFormat="1" applyFont="1" applyFill="1" applyBorder="1" applyAlignment="1">
      <alignment horizontal="right" vertical="top" wrapText="1"/>
    </xf>
    <xf numFmtId="3" fontId="3" fillId="7" borderId="32" xfId="0" applyNumberFormat="1" applyFont="1" applyFill="1" applyBorder="1" applyAlignment="1">
      <alignment horizontal="right" vertical="top" wrapText="1"/>
    </xf>
    <xf numFmtId="3" fontId="3" fillId="7" borderId="25" xfId="0" applyNumberFormat="1" applyFont="1" applyFill="1" applyBorder="1" applyAlignment="1">
      <alignment horizontal="right" vertical="top" wrapText="1"/>
    </xf>
    <xf numFmtId="3" fontId="2" fillId="4" borderId="55"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3" fontId="3" fillId="5" borderId="55" xfId="0" applyNumberFormat="1" applyFont="1" applyFill="1" applyBorder="1" applyAlignment="1">
      <alignment horizontal="right" vertical="top" wrapText="1"/>
    </xf>
    <xf numFmtId="3" fontId="3" fillId="5" borderId="32" xfId="0" applyNumberFormat="1" applyFont="1" applyFill="1" applyBorder="1" applyAlignment="1">
      <alignment horizontal="right" vertical="top" wrapText="1"/>
    </xf>
    <xf numFmtId="3" fontId="3" fillId="5" borderId="25" xfId="0" applyNumberFormat="1" applyFont="1" applyFill="1" applyBorder="1" applyAlignment="1">
      <alignment horizontal="right" vertical="top" wrapText="1"/>
    </xf>
    <xf numFmtId="3" fontId="2" fillId="0" borderId="55" xfId="0" applyNumberFormat="1" applyFont="1" applyBorder="1" applyAlignment="1">
      <alignment vertical="top" wrapText="1"/>
    </xf>
    <xf numFmtId="3" fontId="2" fillId="0" borderId="32" xfId="0" applyNumberFormat="1" applyFont="1" applyBorder="1" applyAlignment="1">
      <alignment vertical="top" wrapText="1"/>
    </xf>
    <xf numFmtId="3" fontId="2" fillId="0" borderId="25" xfId="0" applyNumberFormat="1" applyFont="1" applyBorder="1" applyAlignment="1">
      <alignment vertical="top" wrapText="1"/>
    </xf>
    <xf numFmtId="3" fontId="3" fillId="8" borderId="14" xfId="0" applyNumberFormat="1" applyFont="1" applyFill="1" applyBorder="1" applyAlignment="1">
      <alignment horizontal="right" vertical="top" wrapText="1"/>
    </xf>
    <xf numFmtId="3" fontId="3" fillId="8" borderId="46" xfId="0" applyNumberFormat="1" applyFont="1" applyFill="1" applyBorder="1" applyAlignment="1">
      <alignment horizontal="right" vertical="top" wrapText="1"/>
    </xf>
    <xf numFmtId="3" fontId="3" fillId="8" borderId="60" xfId="0" applyNumberFormat="1" applyFont="1" applyFill="1" applyBorder="1" applyAlignment="1">
      <alignment horizontal="right" vertical="top" wrapText="1"/>
    </xf>
    <xf numFmtId="3" fontId="3" fillId="7" borderId="14" xfId="0" applyNumberFormat="1" applyFont="1" applyFill="1" applyBorder="1" applyAlignment="1">
      <alignment horizontal="right" vertical="top" wrapText="1"/>
    </xf>
    <xf numFmtId="3" fontId="3" fillId="7" borderId="46" xfId="0" applyNumberFormat="1" applyFont="1" applyFill="1" applyBorder="1" applyAlignment="1">
      <alignment horizontal="right" vertical="top" wrapText="1"/>
    </xf>
    <xf numFmtId="3" fontId="3" fillId="7" borderId="60" xfId="0" applyNumberFormat="1" applyFont="1" applyFill="1" applyBorder="1" applyAlignment="1">
      <alignment horizontal="right" vertical="top" wrapText="1"/>
    </xf>
    <xf numFmtId="49" fontId="2" fillId="0" borderId="3" xfId="0" applyNumberFormat="1" applyFont="1" applyFill="1" applyBorder="1" applyAlignment="1">
      <alignment horizontal="left" vertical="top" wrapText="1"/>
    </xf>
    <xf numFmtId="3" fontId="3" fillId="0" borderId="38" xfId="0" applyNumberFormat="1" applyFont="1" applyFill="1" applyBorder="1" applyAlignment="1">
      <alignment horizontal="center" wrapText="1"/>
    </xf>
    <xf numFmtId="3" fontId="3" fillId="0" borderId="12" xfId="0" applyNumberFormat="1" applyFont="1" applyBorder="1" applyAlignment="1">
      <alignment horizontal="center" vertical="center" wrapText="1"/>
    </xf>
    <xf numFmtId="3" fontId="3" fillId="0" borderId="46" xfId="0" applyNumberFormat="1" applyFont="1" applyBorder="1" applyAlignment="1">
      <alignment horizontal="center" vertical="center" wrapText="1"/>
    </xf>
    <xf numFmtId="3" fontId="3" fillId="0" borderId="60" xfId="0" applyNumberFormat="1" applyFont="1" applyBorder="1" applyAlignment="1">
      <alignment horizontal="center" vertical="center" wrapText="1"/>
    </xf>
    <xf numFmtId="3" fontId="3" fillId="7" borderId="62" xfId="0" applyNumberFormat="1" applyFont="1" applyFill="1" applyBorder="1" applyAlignment="1">
      <alignment horizontal="right" vertical="top" wrapText="1"/>
    </xf>
    <xf numFmtId="3" fontId="3" fillId="7" borderId="50" xfId="0" applyNumberFormat="1" applyFont="1" applyFill="1" applyBorder="1" applyAlignment="1">
      <alignment horizontal="right" vertical="top" wrapText="1"/>
    </xf>
    <xf numFmtId="3" fontId="3" fillId="7" borderId="61" xfId="0" applyNumberFormat="1" applyFont="1" applyFill="1" applyBorder="1" applyAlignment="1">
      <alignment horizontal="right" vertical="top" wrapText="1"/>
    </xf>
    <xf numFmtId="3" fontId="3" fillId="4" borderId="13"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0" fontId="2" fillId="4" borderId="51" xfId="0" applyFont="1" applyFill="1" applyBorder="1" applyAlignment="1">
      <alignment horizontal="left" vertical="top" wrapText="1"/>
    </xf>
    <xf numFmtId="0" fontId="2" fillId="4" borderId="37"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4" borderId="19"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42" xfId="0" applyFont="1" applyFill="1" applyBorder="1" applyAlignment="1">
      <alignment horizontal="left" vertical="top" wrapText="1"/>
    </xf>
    <xf numFmtId="3" fontId="2" fillId="4" borderId="6" xfId="0" applyNumberFormat="1" applyFont="1" applyFill="1" applyBorder="1" applyAlignment="1">
      <alignment horizontal="left" vertical="top" wrapText="1"/>
    </xf>
    <xf numFmtId="3" fontId="2" fillId="4" borderId="8" xfId="0" applyNumberFormat="1" applyFont="1" applyFill="1" applyBorder="1" applyAlignment="1">
      <alignment horizontal="left" vertical="top" wrapText="1"/>
    </xf>
    <xf numFmtId="3" fontId="3" fillId="2" borderId="14" xfId="0" applyNumberFormat="1" applyFont="1" applyFill="1" applyBorder="1" applyAlignment="1">
      <alignment horizontal="right" vertical="top" wrapText="1"/>
    </xf>
    <xf numFmtId="3" fontId="3" fillId="2" borderId="46" xfId="0" applyNumberFormat="1" applyFont="1" applyFill="1" applyBorder="1" applyAlignment="1">
      <alignment horizontal="right" vertical="top" wrapText="1"/>
    </xf>
    <xf numFmtId="3" fontId="3" fillId="2" borderId="60" xfId="0" applyNumberFormat="1" applyFont="1" applyFill="1" applyBorder="1" applyAlignment="1">
      <alignment horizontal="right" vertical="top" wrapText="1"/>
    </xf>
    <xf numFmtId="49" fontId="3" fillId="8" borderId="22" xfId="0" applyNumberFormat="1" applyFont="1" applyFill="1" applyBorder="1" applyAlignment="1">
      <alignment horizontal="center" vertical="top"/>
    </xf>
    <xf numFmtId="49" fontId="3" fillId="8" borderId="20" xfId="0" applyNumberFormat="1" applyFont="1" applyFill="1" applyBorder="1" applyAlignment="1">
      <alignment horizontal="center" vertical="top"/>
    </xf>
    <xf numFmtId="49" fontId="3" fillId="2" borderId="13" xfId="0" applyNumberFormat="1" applyFont="1" applyFill="1" applyBorder="1" applyAlignment="1">
      <alignment horizontal="center" vertical="top"/>
    </xf>
    <xf numFmtId="49" fontId="3" fillId="2" borderId="19" xfId="0" applyNumberFormat="1" applyFont="1" applyFill="1" applyBorder="1" applyAlignment="1">
      <alignment horizontal="center" vertical="top"/>
    </xf>
    <xf numFmtId="3" fontId="2" fillId="4" borderId="13" xfId="0" applyNumberFormat="1" applyFont="1" applyFill="1" applyBorder="1" applyAlignment="1">
      <alignment horizontal="left" vertical="top" wrapText="1"/>
    </xf>
    <xf numFmtId="3" fontId="2" fillId="4" borderId="19" xfId="0" applyNumberFormat="1" applyFont="1" applyFill="1" applyBorder="1" applyAlignment="1">
      <alignment horizontal="left" vertical="top" wrapText="1"/>
    </xf>
    <xf numFmtId="3" fontId="13" fillId="0" borderId="34" xfId="0" applyNumberFormat="1" applyFont="1" applyFill="1" applyBorder="1" applyAlignment="1">
      <alignment horizontal="center" vertical="top" wrapText="1"/>
    </xf>
    <xf numFmtId="3" fontId="13" fillId="0" borderId="21" xfId="0" applyNumberFormat="1" applyFont="1" applyFill="1" applyBorder="1" applyAlignment="1">
      <alignment horizontal="center" vertical="top" wrapText="1"/>
    </xf>
    <xf numFmtId="3" fontId="2" fillId="4" borderId="10" xfId="0" applyNumberFormat="1" applyFont="1" applyFill="1" applyBorder="1" applyAlignment="1">
      <alignment horizontal="left" vertical="top" wrapText="1"/>
    </xf>
    <xf numFmtId="3" fontId="2" fillId="4" borderId="42" xfId="0" applyNumberFormat="1" applyFont="1" applyFill="1" applyBorder="1" applyAlignment="1">
      <alignment horizontal="left" vertical="top" wrapText="1"/>
    </xf>
    <xf numFmtId="3" fontId="2" fillId="4" borderId="51" xfId="0" applyNumberFormat="1" applyFont="1" applyFill="1" applyBorder="1" applyAlignment="1">
      <alignment horizontal="left" vertical="top" wrapText="1"/>
    </xf>
    <xf numFmtId="3" fontId="2" fillId="4" borderId="18" xfId="0" applyNumberFormat="1" applyFont="1" applyFill="1" applyBorder="1" applyAlignment="1">
      <alignment horizontal="left" vertical="top" wrapText="1"/>
    </xf>
    <xf numFmtId="3" fontId="2" fillId="4" borderId="37" xfId="0" applyNumberFormat="1" applyFont="1" applyFill="1" applyBorder="1" applyAlignment="1">
      <alignment horizontal="left" vertical="top" wrapText="1"/>
    </xf>
    <xf numFmtId="3" fontId="2" fillId="4" borderId="5" xfId="0" applyNumberFormat="1" applyFont="1" applyFill="1" applyBorder="1" applyAlignment="1">
      <alignment horizontal="left" vertical="top" wrapText="1"/>
    </xf>
    <xf numFmtId="3" fontId="13" fillId="4" borderId="35" xfId="0" applyNumberFormat="1" applyFont="1" applyFill="1" applyBorder="1" applyAlignment="1">
      <alignment horizontal="center" vertical="center" wrapText="1"/>
    </xf>
    <xf numFmtId="3" fontId="13" fillId="4" borderId="67" xfId="0" applyNumberFormat="1" applyFont="1" applyFill="1" applyBorder="1" applyAlignment="1">
      <alignment horizontal="center" vertical="center" wrapText="1"/>
    </xf>
    <xf numFmtId="3" fontId="2" fillId="4" borderId="72" xfId="0" applyNumberFormat="1" applyFont="1" applyFill="1" applyBorder="1" applyAlignment="1">
      <alignment horizontal="center" vertical="top" wrapText="1"/>
    </xf>
    <xf numFmtId="3" fontId="2" fillId="4" borderId="63" xfId="0" applyNumberFormat="1" applyFont="1" applyFill="1" applyBorder="1" applyAlignment="1">
      <alignment horizontal="center" vertical="top" wrapText="1"/>
    </xf>
    <xf numFmtId="3" fontId="2" fillId="4" borderId="51" xfId="0" applyNumberFormat="1" applyFont="1" applyFill="1" applyBorder="1" applyAlignment="1">
      <alignment horizontal="center" vertical="top" wrapText="1"/>
    </xf>
    <xf numFmtId="3" fontId="2" fillId="4" borderId="19" xfId="0" applyNumberFormat="1" applyFont="1" applyFill="1" applyBorder="1" applyAlignment="1">
      <alignment horizontal="center" vertical="top" wrapText="1"/>
    </xf>
    <xf numFmtId="3" fontId="2" fillId="4" borderId="35" xfId="0" applyNumberFormat="1" applyFont="1" applyFill="1" applyBorder="1" applyAlignment="1">
      <alignment horizontal="center" vertical="top"/>
    </xf>
    <xf numFmtId="3" fontId="2" fillId="4" borderId="21" xfId="0" applyNumberFormat="1" applyFont="1" applyFill="1" applyBorder="1" applyAlignment="1">
      <alignment horizontal="center" vertical="top"/>
    </xf>
    <xf numFmtId="3" fontId="3" fillId="2" borderId="14" xfId="0" applyNumberFormat="1" applyFont="1" applyFill="1" applyBorder="1" applyAlignment="1">
      <alignment horizontal="left" vertical="top" wrapText="1"/>
    </xf>
    <xf numFmtId="3" fontId="3" fillId="2" borderId="46" xfId="0" applyNumberFormat="1" applyFont="1" applyFill="1" applyBorder="1" applyAlignment="1">
      <alignment horizontal="left" vertical="top" wrapText="1"/>
    </xf>
    <xf numFmtId="3" fontId="3" fillId="3" borderId="13" xfId="0" applyNumberFormat="1" applyFont="1" applyFill="1" applyBorder="1" applyAlignment="1">
      <alignment horizontal="left" vertical="top" wrapText="1"/>
    </xf>
    <xf numFmtId="3" fontId="3" fillId="3" borderId="18" xfId="0" applyNumberFormat="1" applyFont="1" applyFill="1" applyBorder="1" applyAlignment="1">
      <alignment horizontal="left" vertical="top" wrapText="1"/>
    </xf>
    <xf numFmtId="3" fontId="13" fillId="4" borderId="31" xfId="0" applyNumberFormat="1" applyFont="1" applyFill="1" applyBorder="1" applyAlignment="1">
      <alignment horizontal="center" vertical="top" wrapText="1"/>
    </xf>
    <xf numFmtId="3" fontId="13" fillId="4" borderId="30" xfId="0" applyNumberFormat="1" applyFont="1" applyFill="1" applyBorder="1" applyAlignment="1">
      <alignment horizontal="center" vertical="top" wrapText="1"/>
    </xf>
    <xf numFmtId="164" fontId="17" fillId="4" borderId="29" xfId="0" applyNumberFormat="1" applyFont="1" applyFill="1" applyBorder="1" applyAlignment="1">
      <alignment horizontal="center" vertical="top"/>
    </xf>
    <xf numFmtId="164" fontId="17" fillId="4" borderId="67" xfId="0" applyNumberFormat="1" applyFont="1" applyFill="1" applyBorder="1" applyAlignment="1">
      <alignment horizontal="center" vertical="top"/>
    </xf>
    <xf numFmtId="3" fontId="17" fillId="4" borderId="8" xfId="0" applyNumberFormat="1" applyFont="1" applyFill="1" applyBorder="1" applyAlignment="1">
      <alignment horizontal="center" vertical="top" wrapText="1"/>
    </xf>
    <xf numFmtId="164" fontId="17" fillId="4" borderId="36" xfId="0" applyNumberFormat="1" applyFont="1" applyFill="1" applyBorder="1" applyAlignment="1">
      <alignment horizontal="center" vertical="top" wrapText="1"/>
    </xf>
    <xf numFmtId="164" fontId="17" fillId="4" borderId="18" xfId="0" applyNumberFormat="1" applyFont="1" applyFill="1" applyBorder="1" applyAlignment="1">
      <alignment horizontal="center" vertical="top" wrapText="1"/>
    </xf>
    <xf numFmtId="164" fontId="17" fillId="0" borderId="29" xfId="0" applyNumberFormat="1" applyFont="1" applyFill="1" applyBorder="1" applyAlignment="1">
      <alignment horizontal="center" vertical="top"/>
    </xf>
    <xf numFmtId="3" fontId="3" fillId="5" borderId="40" xfId="0" applyNumberFormat="1" applyFont="1" applyFill="1" applyBorder="1" applyAlignment="1">
      <alignment horizontal="right" vertical="top" wrapText="1"/>
    </xf>
    <xf numFmtId="3" fontId="3" fillId="5" borderId="59" xfId="0" applyNumberFormat="1" applyFont="1" applyFill="1" applyBorder="1" applyAlignment="1">
      <alignment horizontal="right" vertical="top" wrapText="1"/>
    </xf>
    <xf numFmtId="3" fontId="2" fillId="0" borderId="17" xfId="0" applyNumberFormat="1" applyFont="1" applyBorder="1" applyAlignment="1">
      <alignment horizontal="left" vertical="top" wrapText="1"/>
    </xf>
    <xf numFmtId="3" fontId="2" fillId="0" borderId="0" xfId="0" applyNumberFormat="1" applyFont="1" applyBorder="1" applyAlignment="1">
      <alignment horizontal="left" vertical="top" wrapText="1"/>
    </xf>
    <xf numFmtId="3" fontId="11" fillId="4" borderId="51" xfId="0" applyNumberFormat="1" applyFont="1" applyFill="1" applyBorder="1" applyAlignment="1">
      <alignment horizontal="left" vertical="top" wrapText="1"/>
    </xf>
    <xf numFmtId="3" fontId="11" fillId="4" borderId="37" xfId="0" applyNumberFormat="1" applyFont="1" applyFill="1" applyBorder="1" applyAlignment="1">
      <alignment horizontal="left" vertical="top" wrapText="1"/>
    </xf>
    <xf numFmtId="3" fontId="2" fillId="4" borderId="17" xfId="0" applyNumberFormat="1" applyFont="1" applyFill="1" applyBorder="1" applyAlignment="1">
      <alignment horizontal="left" vertical="top" wrapText="1"/>
    </xf>
    <xf numFmtId="3" fontId="2" fillId="4" borderId="0" xfId="0" applyNumberFormat="1" applyFont="1" applyFill="1" applyBorder="1" applyAlignment="1">
      <alignment horizontal="left" vertical="top" wrapText="1"/>
    </xf>
    <xf numFmtId="167" fontId="2" fillId="9" borderId="8" xfId="2" applyNumberFormat="1" applyFont="1" applyFill="1" applyBorder="1" applyAlignment="1">
      <alignment horizontal="left" vertical="top" wrapText="1"/>
    </xf>
    <xf numFmtId="167" fontId="2" fillId="9" borderId="36" xfId="2" applyNumberFormat="1" applyFont="1" applyFill="1" applyBorder="1" applyAlignment="1">
      <alignment horizontal="center" vertical="top" wrapText="1"/>
    </xf>
    <xf numFmtId="167" fontId="2" fillId="9" borderId="18" xfId="2" applyNumberFormat="1" applyFont="1" applyFill="1" applyBorder="1" applyAlignment="1">
      <alignment horizontal="center" vertical="top" wrapText="1"/>
    </xf>
    <xf numFmtId="167" fontId="2" fillId="9" borderId="29" xfId="2" applyNumberFormat="1" applyFont="1" applyFill="1" applyBorder="1" applyAlignment="1">
      <alignment horizontal="center" vertical="top" wrapText="1"/>
    </xf>
    <xf numFmtId="167" fontId="2" fillId="9" borderId="6" xfId="2" applyNumberFormat="1" applyFont="1" applyFill="1" applyBorder="1" applyAlignment="1">
      <alignment horizontal="left" vertical="top" wrapText="1"/>
    </xf>
    <xf numFmtId="167" fontId="2" fillId="9" borderId="5" xfId="2" applyNumberFormat="1" applyFont="1" applyFill="1" applyBorder="1" applyAlignment="1">
      <alignment horizontal="left" vertical="top" wrapText="1"/>
    </xf>
    <xf numFmtId="49" fontId="24" fillId="4" borderId="8" xfId="2" applyNumberFormat="1" applyFont="1" applyFill="1" applyBorder="1" applyAlignment="1">
      <alignment horizontal="center" vertical="top"/>
    </xf>
    <xf numFmtId="49" fontId="17" fillId="4" borderId="8" xfId="2" applyNumberFormat="1" applyFont="1" applyFill="1" applyBorder="1" applyAlignment="1">
      <alignment horizontal="center" vertical="top"/>
    </xf>
    <xf numFmtId="164" fontId="17" fillId="4" borderId="36" xfId="2" applyNumberFormat="1" applyFont="1" applyFill="1" applyBorder="1" applyAlignment="1">
      <alignment horizontal="center" vertical="top"/>
    </xf>
    <xf numFmtId="164" fontId="17" fillId="4" borderId="18" xfId="2" applyNumberFormat="1" applyFont="1" applyFill="1" applyBorder="1" applyAlignment="1">
      <alignment horizontal="center" vertical="top"/>
    </xf>
    <xf numFmtId="164" fontId="17" fillId="12" borderId="29" xfId="2" applyNumberFormat="1" applyFont="1" applyFill="1" applyBorder="1" applyAlignment="1">
      <alignment horizontal="center" vertical="top"/>
    </xf>
    <xf numFmtId="167" fontId="2" fillId="9" borderId="72" xfId="2" applyNumberFormat="1" applyFont="1" applyFill="1" applyBorder="1" applyAlignment="1">
      <alignment horizontal="center" vertical="top" wrapText="1"/>
    </xf>
    <xf numFmtId="167" fontId="2" fillId="9" borderId="85" xfId="2" applyNumberFormat="1" applyFont="1" applyFill="1" applyBorder="1" applyAlignment="1">
      <alignment horizontal="center" vertical="top" wrapText="1"/>
    </xf>
    <xf numFmtId="167" fontId="2" fillId="9" borderId="51" xfId="2" applyNumberFormat="1" applyFont="1" applyFill="1" applyBorder="1" applyAlignment="1">
      <alignment horizontal="center" vertical="top" wrapText="1"/>
    </xf>
    <xf numFmtId="167" fontId="2" fillId="9" borderId="37" xfId="2" applyNumberFormat="1" applyFont="1" applyFill="1" applyBorder="1" applyAlignment="1">
      <alignment horizontal="center" vertical="top" wrapText="1"/>
    </xf>
    <xf numFmtId="3" fontId="2" fillId="4" borderId="35" xfId="0" applyNumberFormat="1" applyFont="1" applyFill="1" applyBorder="1" applyAlignment="1">
      <alignment horizontal="center" vertical="top" wrapText="1"/>
    </xf>
    <xf numFmtId="3" fontId="2" fillId="4" borderId="67" xfId="0" applyNumberFormat="1" applyFont="1" applyFill="1" applyBorder="1" applyAlignment="1">
      <alignment horizontal="center" vertical="top" wrapText="1"/>
    </xf>
    <xf numFmtId="49" fontId="17" fillId="4" borderId="36" xfId="2" applyNumberFormat="1" applyFont="1" applyFill="1" applyBorder="1" applyAlignment="1">
      <alignment horizontal="center" vertical="top"/>
    </xf>
    <xf numFmtId="164" fontId="17" fillId="12" borderId="18" xfId="2" applyNumberFormat="1" applyFont="1" applyFill="1" applyBorder="1" applyAlignment="1">
      <alignment horizontal="center" vertical="top"/>
    </xf>
    <xf numFmtId="3" fontId="2" fillId="4" borderId="13" xfId="0" applyNumberFormat="1" applyFont="1" applyFill="1" applyBorder="1" applyAlignment="1">
      <alignment horizontal="center" vertical="top" wrapText="1"/>
    </xf>
    <xf numFmtId="3" fontId="2" fillId="4" borderId="18" xfId="0" applyNumberFormat="1" applyFont="1" applyFill="1" applyBorder="1" applyAlignment="1">
      <alignment horizontal="center" vertical="top" wrapText="1"/>
    </xf>
    <xf numFmtId="3" fontId="2" fillId="4" borderId="34" xfId="0" applyNumberFormat="1" applyFont="1" applyFill="1" applyBorder="1" applyAlignment="1">
      <alignment horizontal="center" vertical="top" wrapText="1"/>
    </xf>
    <xf numFmtId="3" fontId="2" fillId="4" borderId="29" xfId="0" applyNumberFormat="1" applyFont="1" applyFill="1" applyBorder="1" applyAlignment="1">
      <alignment horizontal="center" vertical="top" wrapText="1"/>
    </xf>
    <xf numFmtId="3" fontId="3" fillId="4" borderId="18" xfId="0" applyNumberFormat="1" applyFont="1" applyFill="1" applyBorder="1" applyAlignment="1">
      <alignment horizontal="left" vertical="top" wrapText="1"/>
    </xf>
    <xf numFmtId="0" fontId="17" fillId="4" borderId="36" xfId="2" applyNumberFormat="1" applyFont="1" applyFill="1" applyBorder="1" applyAlignment="1">
      <alignment horizontal="center" vertical="top"/>
    </xf>
    <xf numFmtId="49" fontId="17" fillId="4" borderId="18" xfId="2" applyNumberFormat="1" applyFont="1" applyFill="1" applyBorder="1" applyAlignment="1">
      <alignment horizontal="center" vertical="top"/>
    </xf>
    <xf numFmtId="3" fontId="2" fillId="4" borderId="10" xfId="0" applyNumberFormat="1" applyFont="1" applyFill="1" applyBorder="1" applyAlignment="1">
      <alignment horizontal="center" vertical="top" wrapText="1"/>
    </xf>
    <xf numFmtId="3" fontId="2" fillId="4" borderId="5" xfId="0" applyNumberFormat="1" applyFont="1" applyFill="1" applyBorder="1" applyAlignment="1">
      <alignment horizontal="center" vertical="top" wrapText="1"/>
    </xf>
    <xf numFmtId="165" fontId="2" fillId="4" borderId="22" xfId="0" applyNumberFormat="1" applyFont="1" applyFill="1" applyBorder="1" applyAlignment="1">
      <alignment horizontal="center" vertical="top" wrapText="1"/>
    </xf>
    <xf numFmtId="165" fontId="2" fillId="4" borderId="80" xfId="0" applyNumberFormat="1" applyFont="1" applyFill="1" applyBorder="1" applyAlignment="1">
      <alignment horizontal="center" vertical="top" wrapText="1"/>
    </xf>
    <xf numFmtId="165" fontId="2" fillId="4" borderId="13" xfId="0" applyNumberFormat="1" applyFont="1" applyFill="1" applyBorder="1" applyAlignment="1">
      <alignment horizontal="center" vertical="top" wrapText="1"/>
    </xf>
    <xf numFmtId="165" fontId="2" fillId="4" borderId="37" xfId="0" applyNumberFormat="1" applyFont="1" applyFill="1" applyBorder="1" applyAlignment="1">
      <alignment horizontal="center" vertical="top" wrapText="1"/>
    </xf>
    <xf numFmtId="165" fontId="2" fillId="4" borderId="34" xfId="0" applyNumberFormat="1" applyFont="1" applyFill="1" applyBorder="1" applyAlignment="1">
      <alignment horizontal="center" vertical="top" wrapText="1"/>
    </xf>
    <xf numFmtId="165" fontId="2" fillId="4" borderId="67" xfId="0" applyNumberFormat="1" applyFont="1" applyFill="1" applyBorder="1" applyAlignment="1">
      <alignment horizontal="center" vertical="top" wrapText="1"/>
    </xf>
    <xf numFmtId="3" fontId="2" fillId="4" borderId="22" xfId="0" applyNumberFormat="1" applyFont="1" applyFill="1" applyBorder="1" applyAlignment="1">
      <alignment horizontal="center" vertical="top" wrapText="1"/>
    </xf>
    <xf numFmtId="3" fontId="2" fillId="4" borderId="36" xfId="0" applyNumberFormat="1" applyFont="1" applyFill="1" applyBorder="1" applyAlignment="1">
      <alignment horizontal="center" vertical="top" wrapText="1"/>
    </xf>
    <xf numFmtId="3" fontId="3" fillId="8" borderId="14" xfId="0" applyNumberFormat="1" applyFont="1" applyFill="1" applyBorder="1" applyAlignment="1">
      <alignment horizontal="left" vertical="top" wrapText="1"/>
    </xf>
    <xf numFmtId="3" fontId="3" fillId="8" borderId="46" xfId="0" applyNumberFormat="1" applyFont="1" applyFill="1" applyBorder="1" applyAlignment="1">
      <alignment horizontal="left" vertical="top" wrapText="1"/>
    </xf>
    <xf numFmtId="49" fontId="3" fillId="8" borderId="36" xfId="0" applyNumberFormat="1" applyFont="1" applyFill="1" applyBorder="1" applyAlignment="1">
      <alignment horizontal="center" vertical="top"/>
    </xf>
    <xf numFmtId="3" fontId="3" fillId="10" borderId="13" xfId="0" quotePrefix="1" applyNumberFormat="1" applyFont="1" applyFill="1" applyBorder="1" applyAlignment="1">
      <alignment horizontal="center" vertical="top" wrapText="1"/>
    </xf>
    <xf numFmtId="3" fontId="3" fillId="10" borderId="18" xfId="0" quotePrefix="1" applyNumberFormat="1" applyFont="1" applyFill="1" applyBorder="1" applyAlignment="1">
      <alignment horizontal="center" vertical="top" wrapText="1"/>
    </xf>
    <xf numFmtId="3" fontId="3" fillId="10" borderId="19" xfId="0" quotePrefix="1" applyNumberFormat="1" applyFont="1" applyFill="1" applyBorder="1" applyAlignment="1">
      <alignment horizontal="center" vertical="top" wrapText="1"/>
    </xf>
    <xf numFmtId="3" fontId="3" fillId="4" borderId="13" xfId="0" quotePrefix="1" applyNumberFormat="1" applyFont="1" applyFill="1" applyBorder="1" applyAlignment="1">
      <alignment horizontal="center" vertical="top" wrapText="1"/>
    </xf>
    <xf numFmtId="3" fontId="3" fillId="4" borderId="18" xfId="0" quotePrefix="1" applyNumberFormat="1" applyFont="1" applyFill="1" applyBorder="1" applyAlignment="1">
      <alignment horizontal="center" vertical="top" wrapText="1"/>
    </xf>
    <xf numFmtId="3" fontId="3" fillId="4" borderId="19" xfId="0" quotePrefix="1" applyNumberFormat="1" applyFont="1" applyFill="1" applyBorder="1" applyAlignment="1">
      <alignment horizontal="center" vertical="top" wrapText="1"/>
    </xf>
    <xf numFmtId="3" fontId="13" fillId="4" borderId="54" xfId="0" applyNumberFormat="1" applyFont="1" applyFill="1" applyBorder="1" applyAlignment="1">
      <alignment horizontal="center" vertical="top" wrapText="1"/>
    </xf>
    <xf numFmtId="3" fontId="13" fillId="4" borderId="58" xfId="0" applyNumberFormat="1" applyFont="1" applyFill="1" applyBorder="1" applyAlignment="1">
      <alignment horizontal="center" vertical="top" wrapText="1"/>
    </xf>
    <xf numFmtId="3" fontId="2" fillId="4" borderId="21" xfId="0" applyNumberFormat="1" applyFont="1" applyFill="1" applyBorder="1" applyAlignment="1">
      <alignment horizontal="center" vertical="top" wrapText="1"/>
    </xf>
    <xf numFmtId="164" fontId="2" fillId="4" borderId="64" xfId="0" applyNumberFormat="1" applyFont="1" applyFill="1" applyBorder="1" applyAlignment="1">
      <alignment horizontal="center" vertical="top" wrapText="1"/>
    </xf>
    <xf numFmtId="164" fontId="2" fillId="4" borderId="57" xfId="0" applyNumberFormat="1" applyFont="1" applyFill="1" applyBorder="1" applyAlignment="1">
      <alignment horizontal="center" vertical="top" wrapText="1"/>
    </xf>
    <xf numFmtId="164" fontId="2" fillId="4" borderId="85" xfId="0" applyNumberFormat="1" applyFont="1" applyFill="1" applyBorder="1" applyAlignment="1">
      <alignment horizontal="center" vertical="top" wrapText="1"/>
    </xf>
    <xf numFmtId="164" fontId="2" fillId="4" borderId="13" xfId="0" applyNumberFormat="1" applyFont="1" applyFill="1" applyBorder="1" applyAlignment="1">
      <alignment horizontal="center" vertical="top" wrapText="1"/>
    </xf>
    <xf numFmtId="164" fontId="2" fillId="4" borderId="18" xfId="0" applyNumberFormat="1" applyFont="1" applyFill="1" applyBorder="1" applyAlignment="1">
      <alignment horizontal="center" vertical="top" wrapText="1"/>
    </xf>
    <xf numFmtId="164" fontId="2" fillId="4" borderId="37" xfId="0" applyNumberFormat="1" applyFont="1" applyFill="1" applyBorder="1" applyAlignment="1">
      <alignment horizontal="center" vertical="top" wrapText="1"/>
    </xf>
    <xf numFmtId="164" fontId="2" fillId="4" borderId="34" xfId="0" applyNumberFormat="1" applyFont="1" applyFill="1" applyBorder="1" applyAlignment="1">
      <alignment horizontal="center" vertical="top" wrapText="1"/>
    </xf>
    <xf numFmtId="164" fontId="2" fillId="4" borderId="29" xfId="0" applyNumberFormat="1" applyFont="1" applyFill="1" applyBorder="1" applyAlignment="1">
      <alignment horizontal="center" vertical="top" wrapText="1"/>
    </xf>
    <xf numFmtId="164" fontId="2" fillId="4" borderId="67" xfId="0" applyNumberFormat="1" applyFont="1" applyFill="1" applyBorder="1" applyAlignment="1">
      <alignment horizontal="center" vertical="top" wrapText="1"/>
    </xf>
    <xf numFmtId="3" fontId="17" fillId="0" borderId="17" xfId="0" applyNumberFormat="1" applyFont="1" applyBorder="1" applyAlignment="1">
      <alignment horizontal="left" vertical="top" wrapText="1"/>
    </xf>
    <xf numFmtId="3" fontId="17" fillId="0" borderId="0" xfId="0" applyNumberFormat="1" applyFont="1" applyBorder="1" applyAlignment="1">
      <alignment horizontal="left" vertical="top" wrapText="1"/>
    </xf>
    <xf numFmtId="3" fontId="15" fillId="0" borderId="17" xfId="0" applyNumberFormat="1" applyFont="1" applyBorder="1" applyAlignment="1">
      <alignment horizontal="left" vertical="top" wrapText="1"/>
    </xf>
    <xf numFmtId="3" fontId="15" fillId="0" borderId="0" xfId="0" applyNumberFormat="1" applyFont="1" applyBorder="1" applyAlignment="1">
      <alignment horizontal="left" vertical="top" wrapText="1"/>
    </xf>
    <xf numFmtId="3" fontId="13" fillId="5" borderId="40" xfId="0" applyNumberFormat="1" applyFont="1" applyFill="1" applyBorder="1" applyAlignment="1">
      <alignment horizontal="right" vertical="top" wrapText="1"/>
    </xf>
    <xf numFmtId="3" fontId="13" fillId="5" borderId="59" xfId="0" applyNumberFormat="1" applyFont="1" applyFill="1" applyBorder="1" applyAlignment="1">
      <alignment horizontal="right" vertical="top" wrapText="1"/>
    </xf>
    <xf numFmtId="3" fontId="13" fillId="4" borderId="29" xfId="0" applyNumberFormat="1" applyFont="1" applyFill="1" applyBorder="1" applyAlignment="1">
      <alignment horizontal="center" vertical="top" wrapText="1"/>
    </xf>
    <xf numFmtId="3" fontId="13" fillId="4" borderId="67" xfId="0" applyNumberFormat="1" applyFont="1" applyFill="1" applyBorder="1" applyAlignment="1">
      <alignment horizontal="center" vertical="top" wrapText="1"/>
    </xf>
    <xf numFmtId="3" fontId="3" fillId="4" borderId="19" xfId="0" applyNumberFormat="1" applyFont="1" applyFill="1" applyBorder="1" applyAlignment="1">
      <alignment horizontal="left" vertical="top" wrapText="1"/>
    </xf>
    <xf numFmtId="164" fontId="17" fillId="4" borderId="29" xfId="0" applyNumberFormat="1" applyFont="1" applyFill="1" applyBorder="1" applyAlignment="1">
      <alignment horizontal="center" vertical="top" wrapText="1"/>
    </xf>
    <xf numFmtId="164" fontId="17" fillId="4" borderId="57" xfId="0" applyNumberFormat="1" applyFont="1" applyFill="1" applyBorder="1" applyAlignment="1">
      <alignment horizontal="center" vertical="top" wrapText="1"/>
    </xf>
    <xf numFmtId="3" fontId="3" fillId="6" borderId="62" xfId="0" applyNumberFormat="1" applyFont="1" applyFill="1" applyBorder="1" applyAlignment="1">
      <alignment horizontal="left" vertical="top" wrapText="1"/>
    </xf>
    <xf numFmtId="3" fontId="3" fillId="6" borderId="50" xfId="0" applyNumberFormat="1" applyFont="1" applyFill="1" applyBorder="1" applyAlignment="1">
      <alignment horizontal="left" vertical="top" wrapText="1"/>
    </xf>
    <xf numFmtId="3" fontId="3" fillId="6" borderId="61" xfId="0" applyNumberFormat="1" applyFont="1" applyFill="1" applyBorder="1" applyAlignment="1">
      <alignment horizontal="left" vertical="top" wrapText="1"/>
    </xf>
    <xf numFmtId="3" fontId="4" fillId="7" borderId="55" xfId="0" applyNumberFormat="1" applyFont="1" applyFill="1" applyBorder="1" applyAlignment="1">
      <alignment horizontal="left" vertical="top" wrapText="1"/>
    </xf>
    <xf numFmtId="3" fontId="4" fillId="7" borderId="32" xfId="0" applyNumberFormat="1" applyFont="1" applyFill="1" applyBorder="1" applyAlignment="1">
      <alignment horizontal="left" vertical="top" wrapText="1"/>
    </xf>
    <xf numFmtId="3" fontId="4" fillId="7" borderId="25" xfId="0" applyNumberFormat="1" applyFont="1" applyFill="1" applyBorder="1" applyAlignment="1">
      <alignment horizontal="left" vertical="top" wrapText="1"/>
    </xf>
    <xf numFmtId="3" fontId="3" fillId="8" borderId="44" xfId="0" applyNumberFormat="1" applyFont="1" applyFill="1" applyBorder="1" applyAlignment="1">
      <alignment horizontal="left" vertical="top" wrapText="1"/>
    </xf>
    <xf numFmtId="3" fontId="3" fillId="8" borderId="32" xfId="0" applyNumberFormat="1" applyFont="1" applyFill="1" applyBorder="1" applyAlignment="1">
      <alignment horizontal="left" vertical="top" wrapText="1"/>
    </xf>
    <xf numFmtId="3" fontId="3" fillId="2" borderId="40" xfId="0" applyNumberFormat="1" applyFont="1" applyFill="1" applyBorder="1" applyAlignment="1">
      <alignment horizontal="left" vertical="top" wrapText="1"/>
    </xf>
    <xf numFmtId="3" fontId="3" fillId="2" borderId="39" xfId="0" applyNumberFormat="1" applyFont="1" applyFill="1" applyBorder="1" applyAlignment="1">
      <alignment horizontal="left" vertical="top" wrapText="1"/>
    </xf>
    <xf numFmtId="3" fontId="4" fillId="4" borderId="13" xfId="0" applyNumberFormat="1" applyFont="1" applyFill="1" applyBorder="1" applyAlignment="1">
      <alignment horizontal="left" vertical="top" wrapText="1"/>
    </xf>
    <xf numFmtId="3" fontId="4" fillId="4" borderId="18" xfId="0" applyNumberFormat="1" applyFont="1" applyFill="1" applyBorder="1" applyAlignment="1">
      <alignment horizontal="left" vertical="top" wrapText="1"/>
    </xf>
    <xf numFmtId="4" fontId="2" fillId="4" borderId="70" xfId="0" applyNumberFormat="1" applyFont="1" applyFill="1" applyBorder="1" applyAlignment="1">
      <alignment horizontal="center" vertical="top" wrapText="1"/>
    </xf>
    <xf numFmtId="4" fontId="2" fillId="4" borderId="80" xfId="0" applyNumberFormat="1" applyFont="1" applyFill="1" applyBorder="1" applyAlignment="1">
      <alignment horizontal="center" vertical="top" wrapText="1"/>
    </xf>
    <xf numFmtId="164" fontId="2" fillId="4" borderId="51" xfId="0" applyNumberFormat="1" applyFont="1" applyFill="1" applyBorder="1" applyAlignment="1">
      <alignment horizontal="center" vertical="top" wrapText="1"/>
    </xf>
    <xf numFmtId="0" fontId="2" fillId="4" borderId="35" xfId="0" applyFont="1" applyFill="1" applyBorder="1" applyAlignment="1">
      <alignment horizontal="center" vertical="top" wrapText="1"/>
    </xf>
    <xf numFmtId="0" fontId="2" fillId="4" borderId="67" xfId="0" applyFont="1" applyFill="1" applyBorder="1" applyAlignment="1">
      <alignment horizontal="center" vertical="top" wrapText="1"/>
    </xf>
    <xf numFmtId="3" fontId="6" fillId="0" borderId="0" xfId="0" applyNumberFormat="1" applyFont="1" applyAlignment="1">
      <alignment horizontal="left" vertical="top" wrapText="1"/>
    </xf>
    <xf numFmtId="3" fontId="6" fillId="0" borderId="0" xfId="0" applyNumberFormat="1" applyFont="1" applyAlignment="1">
      <alignment horizontal="center" vertical="top" wrapText="1"/>
    </xf>
    <xf numFmtId="3" fontId="9" fillId="0" borderId="0" xfId="0" applyNumberFormat="1" applyFont="1" applyBorder="1" applyAlignment="1">
      <alignment horizontal="center" vertical="top" wrapText="1"/>
    </xf>
    <xf numFmtId="3" fontId="6" fillId="0" borderId="0" xfId="0" applyNumberFormat="1" applyFont="1" applyBorder="1" applyAlignment="1">
      <alignment horizontal="center" vertical="top" wrapText="1"/>
    </xf>
    <xf numFmtId="3" fontId="2" fillId="0" borderId="38" xfId="0" applyNumberFormat="1" applyFont="1" applyBorder="1" applyAlignment="1">
      <alignment horizontal="right" wrapText="1"/>
    </xf>
    <xf numFmtId="3" fontId="2" fillId="0" borderId="22" xfId="0" applyNumberFormat="1" applyFont="1" applyBorder="1" applyAlignment="1">
      <alignment horizontal="center" vertical="center" textRotation="90" wrapText="1"/>
    </xf>
    <xf numFmtId="3" fontId="2" fillId="0" borderId="36" xfId="0" applyNumberFormat="1" applyFont="1" applyBorder="1" applyAlignment="1">
      <alignment horizontal="center" vertical="center" textRotation="90" wrapText="1"/>
    </xf>
    <xf numFmtId="3" fontId="2" fillId="0" borderId="20" xfId="0" applyNumberFormat="1" applyFont="1" applyBorder="1" applyAlignment="1">
      <alignment horizontal="center" vertical="center" textRotation="90" wrapText="1"/>
    </xf>
    <xf numFmtId="3" fontId="2" fillId="0" borderId="13" xfId="0" applyNumberFormat="1" applyFont="1" applyBorder="1" applyAlignment="1">
      <alignment horizontal="center" vertical="center" textRotation="90" wrapText="1"/>
    </xf>
    <xf numFmtId="3" fontId="2" fillId="0" borderId="18" xfId="0" applyNumberFormat="1" applyFont="1" applyBorder="1" applyAlignment="1">
      <alignment horizontal="center" vertical="center" textRotation="90" wrapText="1"/>
    </xf>
    <xf numFmtId="3" fontId="2" fillId="0" borderId="19" xfId="0" applyNumberFormat="1" applyFont="1" applyBorder="1" applyAlignment="1">
      <alignment horizontal="center" vertical="center" textRotation="90" wrapText="1"/>
    </xf>
    <xf numFmtId="165" fontId="2" fillId="0" borderId="34" xfId="0" applyNumberFormat="1" applyFont="1" applyBorder="1" applyAlignment="1">
      <alignment horizontal="center" vertical="center" textRotation="90" wrapText="1"/>
    </xf>
    <xf numFmtId="165" fontId="2" fillId="0" borderId="29" xfId="0" applyNumberFormat="1" applyFont="1" applyBorder="1" applyAlignment="1">
      <alignment horizontal="center" vertical="center" textRotation="90" wrapText="1"/>
    </xf>
    <xf numFmtId="165" fontId="2" fillId="0" borderId="21"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3" fontId="2" fillId="0" borderId="42" xfId="0" applyNumberFormat="1" applyFont="1" applyBorder="1" applyAlignment="1">
      <alignment horizontal="center" vertical="center" wrapText="1"/>
    </xf>
    <xf numFmtId="3" fontId="2" fillId="0" borderId="62" xfId="0" applyNumberFormat="1" applyFont="1" applyBorder="1" applyAlignment="1">
      <alignment horizontal="center" vertical="top" wrapText="1"/>
    </xf>
    <xf numFmtId="3" fontId="2" fillId="0" borderId="50" xfId="0" applyNumberFormat="1" applyFont="1" applyBorder="1" applyAlignment="1">
      <alignment horizontal="center" vertical="top" wrapText="1"/>
    </xf>
    <xf numFmtId="3" fontId="2" fillId="0" borderId="61" xfId="0" applyNumberFormat="1" applyFont="1" applyBorder="1" applyAlignment="1">
      <alignment horizontal="center" vertical="top" wrapText="1"/>
    </xf>
    <xf numFmtId="11" fontId="2" fillId="0" borderId="22" xfId="0" applyNumberFormat="1" applyFont="1" applyBorder="1" applyAlignment="1">
      <alignment horizontal="center" vertical="center" textRotation="90" wrapText="1"/>
    </xf>
    <xf numFmtId="11" fontId="2" fillId="0" borderId="36" xfId="0" applyNumberFormat="1" applyFont="1" applyBorder="1" applyAlignment="1">
      <alignment horizontal="center" vertical="center" textRotation="90" wrapText="1"/>
    </xf>
    <xf numFmtId="11" fontId="2" fillId="0" borderId="20" xfId="0" applyNumberFormat="1" applyFont="1" applyBorder="1" applyAlignment="1">
      <alignment horizontal="center" vertical="center" textRotation="90" wrapText="1"/>
    </xf>
    <xf numFmtId="11" fontId="2" fillId="0" borderId="13" xfId="0" applyNumberFormat="1" applyFont="1" applyBorder="1" applyAlignment="1">
      <alignment horizontal="center" vertical="center" textRotation="90" wrapText="1"/>
    </xf>
    <xf numFmtId="11" fontId="2" fillId="0" borderId="18" xfId="0" applyNumberFormat="1" applyFont="1" applyBorder="1" applyAlignment="1">
      <alignment horizontal="center" vertical="center" textRotation="90" wrapText="1"/>
    </xf>
    <xf numFmtId="11" fontId="2" fillId="0" borderId="19" xfId="0" applyNumberFormat="1" applyFont="1" applyBorder="1" applyAlignment="1">
      <alignment horizontal="center" vertical="center" textRotation="90" wrapText="1"/>
    </xf>
    <xf numFmtId="49" fontId="2" fillId="0" borderId="13" xfId="0" applyNumberFormat="1" applyFont="1" applyBorder="1" applyAlignment="1">
      <alignment horizontal="center" vertical="center" textRotation="90" wrapText="1"/>
    </xf>
    <xf numFmtId="49" fontId="2" fillId="0" borderId="18" xfId="0" applyNumberFormat="1" applyFont="1" applyBorder="1" applyAlignment="1">
      <alignment horizontal="center" vertical="center" textRotation="90" wrapText="1"/>
    </xf>
    <xf numFmtId="49" fontId="2" fillId="0" borderId="19" xfId="0" applyNumberFormat="1" applyFont="1" applyBorder="1" applyAlignment="1">
      <alignment horizontal="center" vertical="center" textRotation="90" wrapText="1"/>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3" fontId="2" fillId="0" borderId="19" xfId="0" applyNumberFormat="1" applyFont="1" applyBorder="1" applyAlignment="1">
      <alignment horizontal="center" vertical="center" wrapText="1"/>
    </xf>
    <xf numFmtId="3" fontId="12" fillId="0" borderId="34" xfId="0" applyNumberFormat="1" applyFont="1" applyBorder="1" applyAlignment="1">
      <alignment horizontal="center" vertical="center" textRotation="90" wrapText="1"/>
    </xf>
    <xf numFmtId="3" fontId="12" fillId="0" borderId="29" xfId="0" applyNumberFormat="1" applyFont="1" applyBorder="1" applyAlignment="1">
      <alignment horizontal="center" vertical="center" textRotation="90" wrapText="1"/>
    </xf>
    <xf numFmtId="3" fontId="12" fillId="0" borderId="21"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3" fontId="2" fillId="0" borderId="8" xfId="0" applyNumberFormat="1" applyFont="1" applyBorder="1" applyAlignment="1">
      <alignment horizontal="center" vertical="center" textRotation="90" wrapText="1"/>
    </xf>
    <xf numFmtId="3" fontId="2" fillId="0" borderId="42" xfId="0" applyNumberFormat="1" applyFont="1" applyBorder="1" applyAlignment="1">
      <alignment horizontal="center" vertical="center" textRotation="90" wrapText="1"/>
    </xf>
    <xf numFmtId="164" fontId="17" fillId="0" borderId="18" xfId="0" applyNumberFormat="1" applyFont="1" applyFill="1" applyBorder="1" applyAlignment="1">
      <alignment horizontal="center" vertical="top"/>
    </xf>
    <xf numFmtId="164" fontId="17" fillId="4" borderId="18" xfId="0" applyNumberFormat="1" applyFont="1" applyFill="1" applyBorder="1" applyAlignment="1">
      <alignment horizontal="center" vertical="top"/>
    </xf>
    <xf numFmtId="164" fontId="17" fillId="4" borderId="37" xfId="0" applyNumberFormat="1" applyFont="1" applyFill="1" applyBorder="1" applyAlignment="1">
      <alignment horizontal="center" vertical="top"/>
    </xf>
    <xf numFmtId="164" fontId="17" fillId="12" borderId="17" xfId="2" applyNumberFormat="1" applyFont="1" applyFill="1" applyBorder="1" applyAlignment="1">
      <alignment horizontal="center" vertical="top"/>
    </xf>
    <xf numFmtId="164" fontId="17" fillId="0" borderId="0" xfId="0" applyNumberFormat="1" applyFont="1" applyFill="1" applyBorder="1" applyAlignment="1">
      <alignment horizontal="center" vertical="top"/>
    </xf>
    <xf numFmtId="164" fontId="17" fillId="4" borderId="17" xfId="0" applyNumberFormat="1" applyFont="1" applyFill="1" applyBorder="1" applyAlignment="1">
      <alignment horizontal="center" vertical="top" wrapText="1"/>
    </xf>
    <xf numFmtId="164" fontId="17" fillId="4" borderId="17" xfId="0" applyNumberFormat="1" applyFont="1" applyFill="1" applyBorder="1" applyAlignment="1">
      <alignment horizontal="center" vertical="top"/>
    </xf>
    <xf numFmtId="164" fontId="2" fillId="4" borderId="16" xfId="0" applyNumberFormat="1" applyFont="1" applyFill="1" applyBorder="1" applyAlignment="1">
      <alignment horizontal="center" vertical="top" wrapText="1"/>
    </xf>
    <xf numFmtId="164" fontId="2" fillId="4" borderId="17" xfId="0" applyNumberFormat="1" applyFont="1" applyFill="1" applyBorder="1" applyAlignment="1">
      <alignment horizontal="center" vertical="top" wrapText="1"/>
    </xf>
    <xf numFmtId="164" fontId="2" fillId="4" borderId="53" xfId="0" applyNumberFormat="1" applyFont="1" applyFill="1" applyBorder="1" applyAlignment="1">
      <alignment horizontal="center" vertical="top" wrapText="1"/>
    </xf>
    <xf numFmtId="165" fontId="2" fillId="4" borderId="16" xfId="0" applyNumberFormat="1" applyFont="1" applyFill="1" applyBorder="1" applyAlignment="1">
      <alignment horizontal="center" vertical="top" wrapText="1"/>
    </xf>
    <xf numFmtId="165" fontId="2" fillId="4" borderId="53" xfId="0" applyNumberFormat="1" applyFont="1" applyFill="1" applyBorder="1" applyAlignment="1">
      <alignment horizontal="center" vertical="top" wrapText="1"/>
    </xf>
    <xf numFmtId="164" fontId="17" fillId="4" borderId="8" xfId="0" applyNumberFormat="1" applyFont="1" applyFill="1" applyBorder="1" applyAlignment="1">
      <alignment horizontal="center" vertical="top" wrapText="1"/>
    </xf>
    <xf numFmtId="164" fontId="17" fillId="4" borderId="7" xfId="0" applyNumberFormat="1" applyFont="1" applyFill="1" applyBorder="1" applyAlignment="1">
      <alignment horizontal="center" vertical="top"/>
    </xf>
    <xf numFmtId="164" fontId="17" fillId="4" borderId="7" xfId="0" applyNumberFormat="1" applyFont="1" applyFill="1" applyBorder="1" applyAlignment="1">
      <alignment horizontal="center" vertical="top" wrapText="1"/>
    </xf>
    <xf numFmtId="164" fontId="17" fillId="4" borderId="8" xfId="2" applyNumberFormat="1" applyFont="1" applyFill="1" applyBorder="1" applyAlignment="1">
      <alignment horizontal="center" vertical="top"/>
    </xf>
    <xf numFmtId="164" fontId="17" fillId="12" borderId="7" xfId="2" applyNumberFormat="1" applyFont="1" applyFill="1" applyBorder="1" applyAlignment="1">
      <alignment horizontal="center" vertical="top"/>
    </xf>
    <xf numFmtId="164" fontId="17" fillId="4" borderId="17" xfId="2" applyNumberFormat="1" applyFont="1" applyFill="1" applyBorder="1" applyAlignment="1">
      <alignment horizontal="center" vertical="top"/>
    </xf>
    <xf numFmtId="165" fontId="2" fillId="4" borderId="10" xfId="0" applyNumberFormat="1" applyFont="1" applyFill="1" applyBorder="1" applyAlignment="1">
      <alignment horizontal="center" vertical="top" wrapText="1"/>
    </xf>
    <xf numFmtId="165" fontId="2" fillId="4" borderId="5" xfId="0" applyNumberFormat="1" applyFont="1" applyFill="1" applyBorder="1" applyAlignment="1">
      <alignment horizontal="center" vertical="top" wrapText="1"/>
    </xf>
    <xf numFmtId="165" fontId="2" fillId="4" borderId="23" xfId="0" applyNumberFormat="1" applyFont="1" applyFill="1" applyBorder="1" applyAlignment="1">
      <alignment horizontal="center" vertical="top" wrapText="1"/>
    </xf>
    <xf numFmtId="165" fontId="2" fillId="4" borderId="15" xfId="0" applyNumberFormat="1" applyFont="1" applyFill="1" applyBorder="1" applyAlignment="1">
      <alignment horizontal="center" vertical="top" wrapText="1"/>
    </xf>
    <xf numFmtId="164" fontId="17" fillId="4" borderId="15" xfId="0" applyNumberFormat="1" applyFont="1" applyFill="1" applyBorder="1" applyAlignment="1">
      <alignment horizontal="center" vertical="top"/>
    </xf>
    <xf numFmtId="164" fontId="2" fillId="4" borderId="10"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4" borderId="5" xfId="0" applyNumberFormat="1" applyFont="1" applyFill="1" applyBorder="1" applyAlignment="1">
      <alignment horizontal="center" vertical="top" wrapText="1"/>
    </xf>
    <xf numFmtId="164" fontId="2" fillId="4" borderId="23" xfId="0" applyNumberFormat="1" applyFont="1" applyFill="1" applyBorder="1" applyAlignment="1">
      <alignment horizontal="center" vertical="top" wrapText="1"/>
    </xf>
    <xf numFmtId="164" fontId="2" fillId="4" borderId="7" xfId="0" applyNumberFormat="1" applyFont="1" applyFill="1" applyBorder="1" applyAlignment="1">
      <alignment horizontal="center" vertical="top" wrapText="1"/>
    </xf>
    <xf numFmtId="164" fontId="2" fillId="4" borderId="15" xfId="0" applyNumberFormat="1" applyFont="1" applyFill="1" applyBorder="1" applyAlignment="1">
      <alignment horizontal="center" vertical="top" wrapText="1"/>
    </xf>
    <xf numFmtId="165" fontId="2" fillId="0" borderId="3" xfId="0" applyNumberFormat="1" applyFont="1" applyBorder="1" applyAlignment="1">
      <alignment horizontal="center" vertical="center" textRotation="90" wrapText="1"/>
    </xf>
    <xf numFmtId="165" fontId="2" fillId="0" borderId="0" xfId="0" applyNumberFormat="1" applyFont="1" applyBorder="1" applyAlignment="1">
      <alignment horizontal="center" vertical="center" textRotation="90" wrapText="1"/>
    </xf>
    <xf numFmtId="165" fontId="2" fillId="0" borderId="38" xfId="0" applyNumberFormat="1" applyFont="1" applyBorder="1" applyAlignment="1">
      <alignment horizontal="center" vertical="center" textRotation="90" wrapText="1"/>
    </xf>
    <xf numFmtId="0" fontId="2" fillId="0" borderId="54"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3" fontId="3" fillId="0" borderId="34" xfId="0" applyNumberFormat="1" applyFont="1" applyBorder="1" applyAlignment="1">
      <alignment horizontal="center" vertical="center" textRotation="90" wrapText="1" shrinkToFit="1"/>
    </xf>
    <xf numFmtId="3" fontId="3" fillId="0" borderId="29" xfId="0" applyNumberFormat="1" applyFont="1" applyBorder="1" applyAlignment="1">
      <alignment horizontal="center" vertical="center" textRotation="90" wrapText="1" shrinkToFit="1"/>
    </xf>
    <xf numFmtId="0" fontId="2" fillId="0" borderId="13"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17" fillId="4" borderId="8" xfId="2" applyNumberFormat="1" applyFont="1" applyFill="1" applyBorder="1" applyAlignment="1">
      <alignment horizontal="center" vertical="top"/>
    </xf>
    <xf numFmtId="49" fontId="17" fillId="4" borderId="17" xfId="2" applyNumberFormat="1" applyFont="1" applyFill="1" applyBorder="1" applyAlignment="1">
      <alignment horizontal="center" vertical="top"/>
    </xf>
    <xf numFmtId="164" fontId="17" fillId="0" borderId="7" xfId="0" applyNumberFormat="1" applyFont="1" applyFill="1" applyBorder="1" applyAlignment="1">
      <alignment horizontal="center" vertical="top"/>
    </xf>
    <xf numFmtId="164" fontId="17" fillId="4" borderId="0" xfId="0" applyNumberFormat="1" applyFont="1" applyFill="1" applyBorder="1" applyAlignment="1">
      <alignment horizontal="center" vertical="top"/>
    </xf>
    <xf numFmtId="164" fontId="17" fillId="4" borderId="49" xfId="0" applyNumberFormat="1" applyFont="1" applyFill="1" applyBorder="1" applyAlignment="1">
      <alignment horizontal="center" vertical="top"/>
    </xf>
    <xf numFmtId="3" fontId="2" fillId="5" borderId="56" xfId="0" applyNumberFormat="1" applyFont="1" applyFill="1" applyBorder="1" applyAlignment="1">
      <alignment horizontal="left" vertical="top" wrapText="1"/>
    </xf>
    <xf numFmtId="3" fontId="2" fillId="0" borderId="53" xfId="0" applyNumberFormat="1" applyFont="1" applyBorder="1" applyAlignment="1">
      <alignment horizontal="left" vertical="top" wrapText="1"/>
    </xf>
    <xf numFmtId="3" fontId="2" fillId="0" borderId="49" xfId="0" applyNumberFormat="1" applyFont="1" applyBorder="1" applyAlignment="1">
      <alignment horizontal="left" vertical="top" wrapText="1"/>
    </xf>
    <xf numFmtId="3" fontId="2" fillId="0" borderId="52" xfId="0" applyNumberFormat="1" applyFont="1" applyBorder="1" applyAlignment="1">
      <alignment horizontal="left" vertical="top" wrapText="1"/>
    </xf>
    <xf numFmtId="3" fontId="2" fillId="0" borderId="26" xfId="0" applyNumberFormat="1" applyFont="1" applyBorder="1" applyAlignment="1">
      <alignment horizontal="left" vertical="top" wrapText="1"/>
    </xf>
    <xf numFmtId="3" fontId="3" fillId="0" borderId="55" xfId="0" applyNumberFormat="1" applyFont="1" applyBorder="1" applyAlignment="1">
      <alignment horizontal="left" vertical="top" wrapText="1"/>
    </xf>
    <xf numFmtId="3" fontId="3" fillId="0" borderId="32" xfId="0" applyNumberFormat="1" applyFont="1" applyBorder="1" applyAlignment="1">
      <alignment horizontal="left" vertical="top" wrapText="1"/>
    </xf>
    <xf numFmtId="3" fontId="3" fillId="0" borderId="25" xfId="0" applyNumberFormat="1" applyFont="1" applyBorder="1" applyAlignment="1">
      <alignment horizontal="left" vertical="top" wrapText="1"/>
    </xf>
    <xf numFmtId="49" fontId="2" fillId="0" borderId="0" xfId="0" applyNumberFormat="1" applyFont="1" applyFill="1" applyBorder="1" applyAlignment="1">
      <alignment horizontal="left" vertical="top" wrapText="1"/>
    </xf>
    <xf numFmtId="3" fontId="2" fillId="4" borderId="8" xfId="0" applyNumberFormat="1" applyFont="1" applyFill="1" applyBorder="1" applyAlignment="1">
      <alignment horizontal="center" vertical="top" wrapText="1"/>
    </xf>
    <xf numFmtId="3" fontId="2" fillId="4" borderId="6"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xf>
    <xf numFmtId="164" fontId="2" fillId="4" borderId="5" xfId="0" applyNumberFormat="1" applyFont="1" applyFill="1" applyBorder="1" applyAlignment="1">
      <alignment horizontal="center" vertical="top"/>
    </xf>
    <xf numFmtId="164" fontId="2" fillId="4" borderId="70" xfId="1" applyNumberFormat="1" applyFont="1" applyFill="1" applyBorder="1" applyAlignment="1">
      <alignment horizontal="center" vertical="top" wrapText="1"/>
    </xf>
    <xf numFmtId="164" fontId="2" fillId="4" borderId="80" xfId="1" applyNumberFormat="1" applyFont="1" applyFill="1" applyBorder="1" applyAlignment="1">
      <alignment horizontal="center" vertical="top" wrapText="1"/>
    </xf>
    <xf numFmtId="164" fontId="2" fillId="4" borderId="51" xfId="1" applyNumberFormat="1" applyFont="1" applyFill="1" applyBorder="1" applyAlignment="1">
      <alignment horizontal="center" vertical="top" wrapText="1"/>
    </xf>
    <xf numFmtId="164" fontId="2" fillId="4" borderId="37" xfId="1" applyNumberFormat="1" applyFont="1" applyFill="1" applyBorder="1" applyAlignment="1">
      <alignment horizontal="center" vertical="top" wrapText="1"/>
    </xf>
    <xf numFmtId="164" fontId="2" fillId="4" borderId="35" xfId="1" applyNumberFormat="1" applyFont="1" applyFill="1" applyBorder="1" applyAlignment="1">
      <alignment horizontal="center" vertical="top" wrapText="1"/>
    </xf>
    <xf numFmtId="164" fontId="2" fillId="4" borderId="67" xfId="1" applyNumberFormat="1" applyFont="1" applyFill="1" applyBorder="1" applyAlignment="1">
      <alignment horizontal="center" vertical="top" wrapText="1"/>
    </xf>
    <xf numFmtId="3" fontId="13" fillId="0" borderId="29" xfId="0" applyNumberFormat="1" applyFont="1" applyFill="1" applyBorder="1" applyAlignment="1">
      <alignment horizontal="center" vertical="top" wrapText="1"/>
    </xf>
    <xf numFmtId="3" fontId="2" fillId="3" borderId="10" xfId="0" applyNumberFormat="1" applyFont="1" applyFill="1" applyBorder="1" applyAlignment="1">
      <alignment horizontal="center" vertical="top" wrapText="1"/>
    </xf>
    <xf numFmtId="3" fontId="2" fillId="3" borderId="8" xfId="0" applyNumberFormat="1" applyFont="1" applyFill="1" applyBorder="1" applyAlignment="1">
      <alignment horizontal="center" vertical="top" wrapText="1"/>
    </xf>
    <xf numFmtId="3" fontId="2" fillId="0" borderId="6" xfId="0" applyNumberFormat="1" applyFont="1" applyBorder="1" applyAlignment="1">
      <alignment horizontal="center" vertical="top" wrapText="1"/>
    </xf>
    <xf numFmtId="3" fontId="2" fillId="0" borderId="8"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3" fontId="2" fillId="0" borderId="42" xfId="0" applyNumberFormat="1" applyFont="1" applyBorder="1" applyAlignment="1">
      <alignment horizontal="center" vertical="top" wrapText="1"/>
    </xf>
    <xf numFmtId="3" fontId="2" fillId="4" borderId="42" xfId="0" applyNumberFormat="1" applyFont="1" applyFill="1" applyBorder="1" applyAlignment="1">
      <alignment horizontal="center" vertical="top" wrapText="1"/>
    </xf>
    <xf numFmtId="49" fontId="3" fillId="8" borderId="17" xfId="0" applyNumberFormat="1" applyFont="1" applyFill="1" applyBorder="1" applyAlignment="1">
      <alignment horizontal="center" vertical="top"/>
    </xf>
    <xf numFmtId="49" fontId="3" fillId="8" borderId="48" xfId="0" applyNumberFormat="1" applyFont="1" applyFill="1" applyBorder="1" applyAlignment="1">
      <alignment horizontal="center" vertical="top"/>
    </xf>
    <xf numFmtId="49" fontId="3" fillId="2" borderId="37" xfId="0" applyNumberFormat="1" applyFont="1" applyFill="1" applyBorder="1" applyAlignment="1">
      <alignment horizontal="center" vertical="top"/>
    </xf>
    <xf numFmtId="49" fontId="3" fillId="2" borderId="4" xfId="0" applyNumberFormat="1" applyFont="1" applyFill="1" applyBorder="1" applyAlignment="1">
      <alignment horizontal="center" vertical="top"/>
    </xf>
    <xf numFmtId="3" fontId="13" fillId="0" borderId="18" xfId="0" applyNumberFormat="1" applyFont="1" applyFill="1" applyBorder="1" applyAlignment="1">
      <alignment horizontal="center" vertical="top" wrapText="1"/>
    </xf>
    <xf numFmtId="3" fontId="13" fillId="0" borderId="19" xfId="0" applyNumberFormat="1" applyFont="1" applyFill="1" applyBorder="1" applyAlignment="1">
      <alignment horizontal="center" vertical="top" wrapText="1"/>
    </xf>
    <xf numFmtId="3" fontId="2" fillId="0" borderId="10" xfId="0" applyNumberFormat="1" applyFont="1" applyFill="1" applyBorder="1" applyAlignment="1">
      <alignment horizontal="center" vertical="top" wrapText="1"/>
    </xf>
    <xf numFmtId="3" fontId="2" fillId="0" borderId="42" xfId="0" applyNumberFormat="1" applyFont="1" applyFill="1" applyBorder="1" applyAlignment="1">
      <alignment horizontal="center" vertical="top" wrapText="1"/>
    </xf>
    <xf numFmtId="164" fontId="2" fillId="4" borderId="6" xfId="0" applyNumberFormat="1" applyFont="1" applyFill="1" applyBorder="1" applyAlignment="1">
      <alignment horizontal="center" vertical="top" wrapText="1"/>
    </xf>
    <xf numFmtId="3" fontId="2" fillId="4" borderId="52" xfId="0" applyNumberFormat="1" applyFont="1" applyFill="1" applyBorder="1" applyAlignment="1">
      <alignment horizontal="left" vertical="top" wrapText="1"/>
    </xf>
    <xf numFmtId="3" fontId="2" fillId="4" borderId="53" xfId="0" applyNumberFormat="1" applyFont="1" applyFill="1" applyBorder="1" applyAlignment="1">
      <alignment horizontal="left" vertical="top" wrapText="1"/>
    </xf>
    <xf numFmtId="3" fontId="13" fillId="4" borderId="51" xfId="0" applyNumberFormat="1" applyFont="1" applyFill="1" applyBorder="1" applyAlignment="1">
      <alignment horizontal="center" vertical="center" wrapText="1"/>
    </xf>
    <xf numFmtId="3" fontId="13" fillId="4" borderId="37" xfId="0" applyNumberFormat="1" applyFont="1" applyFill="1" applyBorder="1" applyAlignment="1">
      <alignment horizontal="center" vertical="center" wrapText="1"/>
    </xf>
    <xf numFmtId="3" fontId="2" fillId="4" borderId="16" xfId="0" applyNumberFormat="1" applyFont="1" applyFill="1" applyBorder="1" applyAlignment="1">
      <alignment horizontal="left" vertical="top" wrapText="1"/>
    </xf>
    <xf numFmtId="3" fontId="2" fillId="4" borderId="48" xfId="0" applyNumberFormat="1" applyFont="1" applyFill="1" applyBorder="1" applyAlignment="1">
      <alignment horizontal="left" vertical="top" wrapText="1"/>
    </xf>
    <xf numFmtId="49" fontId="2" fillId="4" borderId="51" xfId="0" applyNumberFormat="1" applyFont="1" applyFill="1" applyBorder="1" applyAlignment="1">
      <alignment horizontal="center" vertical="top" wrapText="1"/>
    </xf>
    <xf numFmtId="49" fontId="2" fillId="4" borderId="18" xfId="0" applyNumberFormat="1" applyFont="1" applyFill="1" applyBorder="1" applyAlignment="1">
      <alignment horizontal="center" vertical="top" wrapText="1"/>
    </xf>
    <xf numFmtId="164" fontId="2" fillId="4" borderId="8" xfId="0" applyNumberFormat="1" applyFont="1" applyFill="1" applyBorder="1" applyAlignment="1">
      <alignment horizontal="center" vertical="top"/>
    </xf>
    <xf numFmtId="164" fontId="2" fillId="4" borderId="35" xfId="0" applyNumberFormat="1" applyFont="1" applyFill="1" applyBorder="1" applyAlignment="1">
      <alignment horizontal="center" vertical="top"/>
    </xf>
    <xf numFmtId="164" fontId="2" fillId="4" borderId="29" xfId="0" applyNumberFormat="1" applyFont="1" applyFill="1" applyBorder="1" applyAlignment="1">
      <alignment horizontal="center" vertical="top"/>
    </xf>
    <xf numFmtId="164" fontId="2" fillId="4" borderId="67" xfId="0" applyNumberFormat="1" applyFont="1" applyFill="1" applyBorder="1" applyAlignment="1">
      <alignment horizontal="center" vertical="top"/>
    </xf>
    <xf numFmtId="3" fontId="2" fillId="4" borderId="70" xfId="0" applyNumberFormat="1" applyFont="1" applyFill="1" applyBorder="1" applyAlignment="1">
      <alignment horizontal="center" vertical="top" wrapText="1"/>
    </xf>
    <xf numFmtId="3" fontId="2" fillId="4" borderId="20" xfId="0" applyNumberFormat="1" applyFont="1" applyFill="1" applyBorder="1" applyAlignment="1">
      <alignment horizontal="center" vertical="top" wrapText="1"/>
    </xf>
    <xf numFmtId="49" fontId="2" fillId="3" borderId="51" xfId="0" applyNumberFormat="1" applyFont="1" applyFill="1" applyBorder="1" applyAlignment="1">
      <alignment horizontal="center" vertical="top"/>
    </xf>
    <xf numFmtId="49" fontId="2" fillId="3" borderId="37" xfId="0" applyNumberFormat="1" applyFont="1" applyFill="1" applyBorder="1" applyAlignment="1">
      <alignment horizontal="center" vertical="top"/>
    </xf>
    <xf numFmtId="3" fontId="13" fillId="4" borderId="35" xfId="0" applyNumberFormat="1" applyFont="1" applyFill="1" applyBorder="1" applyAlignment="1">
      <alignment horizontal="center" vertical="top" wrapText="1"/>
    </xf>
    <xf numFmtId="3" fontId="2" fillId="0" borderId="8" xfId="0" applyNumberFormat="1" applyFont="1" applyFill="1" applyBorder="1" applyAlignment="1">
      <alignment horizontal="center" vertical="top" wrapText="1"/>
    </xf>
    <xf numFmtId="3" fontId="3" fillId="2" borderId="58" xfId="0" applyNumberFormat="1" applyFont="1" applyFill="1" applyBorder="1" applyAlignment="1">
      <alignment horizontal="right" vertical="top" wrapText="1"/>
    </xf>
    <xf numFmtId="3" fontId="3" fillId="2" borderId="38" xfId="0" applyNumberFormat="1" applyFont="1" applyFill="1" applyBorder="1" applyAlignment="1">
      <alignment horizontal="right" vertical="top" wrapText="1"/>
    </xf>
    <xf numFmtId="3" fontId="3" fillId="2" borderId="60" xfId="0" applyNumberFormat="1" applyFont="1" applyFill="1" applyBorder="1" applyAlignment="1">
      <alignment horizontal="left" vertical="top" wrapText="1"/>
    </xf>
    <xf numFmtId="3" fontId="2" fillId="0" borderId="10" xfId="0" applyNumberFormat="1" applyFont="1" applyBorder="1" applyAlignment="1">
      <alignment horizontal="center" vertical="top" wrapText="1"/>
    </xf>
    <xf numFmtId="164" fontId="2" fillId="0" borderId="6" xfId="0" applyNumberFormat="1" applyFont="1" applyFill="1" applyBorder="1" applyAlignment="1">
      <alignment horizontal="center" vertical="top"/>
    </xf>
    <xf numFmtId="164" fontId="2" fillId="0" borderId="5" xfId="0" applyNumberFormat="1" applyFont="1" applyFill="1" applyBorder="1" applyAlignment="1">
      <alignment horizontal="center" vertical="top"/>
    </xf>
    <xf numFmtId="164" fontId="2" fillId="4" borderId="70" xfId="0" applyNumberFormat="1" applyFont="1" applyFill="1" applyBorder="1" applyAlignment="1">
      <alignment horizontal="center" vertical="top" wrapText="1"/>
    </xf>
    <xf numFmtId="164" fontId="2" fillId="4" borderId="80" xfId="0" applyNumberFormat="1" applyFont="1" applyFill="1" applyBorder="1" applyAlignment="1">
      <alignment horizontal="center" vertical="top" wrapText="1"/>
    </xf>
    <xf numFmtId="164" fontId="2" fillId="0" borderId="35" xfId="0" applyNumberFormat="1" applyFont="1" applyFill="1" applyBorder="1" applyAlignment="1">
      <alignment horizontal="center" vertical="top"/>
    </xf>
    <xf numFmtId="164" fontId="2" fillId="0" borderId="67" xfId="0" applyNumberFormat="1" applyFont="1" applyFill="1" applyBorder="1" applyAlignment="1">
      <alignment horizontal="center" vertical="top"/>
    </xf>
    <xf numFmtId="3" fontId="3" fillId="5" borderId="38" xfId="0" applyNumberFormat="1" applyFont="1" applyFill="1" applyBorder="1" applyAlignment="1">
      <alignment horizontal="right" vertical="top" wrapText="1"/>
    </xf>
    <xf numFmtId="49" fontId="2" fillId="4" borderId="37" xfId="0" applyNumberFormat="1" applyFont="1" applyFill="1" applyBorder="1" applyAlignment="1">
      <alignment horizontal="center" vertical="top" wrapText="1"/>
    </xf>
    <xf numFmtId="0" fontId="2" fillId="4" borderId="45" xfId="0" applyFont="1" applyFill="1" applyBorder="1" applyAlignment="1">
      <alignment horizontal="left" vertical="top" wrapText="1"/>
    </xf>
    <xf numFmtId="49" fontId="3" fillId="4" borderId="6" xfId="2" applyNumberFormat="1" applyFont="1" applyFill="1" applyBorder="1" applyAlignment="1">
      <alignment horizontal="center" vertical="top"/>
    </xf>
    <xf numFmtId="49" fontId="3" fillId="4" borderId="5" xfId="2" applyNumberFormat="1" applyFont="1" applyFill="1" applyBorder="1" applyAlignment="1">
      <alignment horizontal="center" vertical="top"/>
    </xf>
    <xf numFmtId="3" fontId="2" fillId="4" borderId="8" xfId="0" applyNumberFormat="1" applyFont="1" applyFill="1" applyBorder="1" applyAlignment="1">
      <alignment horizontal="center" vertical="center" wrapText="1"/>
    </xf>
    <xf numFmtId="167" fontId="2" fillId="9" borderId="26" xfId="2" applyNumberFormat="1" applyFont="1" applyFill="1" applyBorder="1" applyAlignment="1">
      <alignment horizontal="left" vertical="top" wrapText="1"/>
    </xf>
    <xf numFmtId="167" fontId="2" fillId="9" borderId="49" xfId="2" applyNumberFormat="1" applyFont="1" applyFill="1" applyBorder="1" applyAlignment="1">
      <alignment horizontal="left" vertical="top" wrapText="1"/>
    </xf>
    <xf numFmtId="3" fontId="11" fillId="4" borderId="18" xfId="0" applyNumberFormat="1" applyFont="1" applyFill="1" applyBorder="1" applyAlignment="1">
      <alignment horizontal="left" vertical="top" wrapText="1"/>
    </xf>
    <xf numFmtId="49" fontId="2" fillId="4" borderId="6" xfId="2" applyNumberFormat="1" applyFont="1" applyFill="1" applyBorder="1" applyAlignment="1">
      <alignment horizontal="center" vertical="top"/>
    </xf>
    <xf numFmtId="49" fontId="2" fillId="4" borderId="5" xfId="2" applyNumberFormat="1" applyFont="1" applyFill="1" applyBorder="1" applyAlignment="1">
      <alignment horizontal="center" vertical="top"/>
    </xf>
    <xf numFmtId="164" fontId="2" fillId="12" borderId="6" xfId="2" applyNumberFormat="1" applyFont="1" applyFill="1" applyBorder="1" applyAlignment="1">
      <alignment horizontal="center" vertical="top"/>
    </xf>
    <xf numFmtId="164" fontId="2" fillId="12" borderId="5" xfId="2" applyNumberFormat="1" applyFont="1" applyFill="1" applyBorder="1" applyAlignment="1">
      <alignment horizontal="center" vertical="top"/>
    </xf>
    <xf numFmtId="164" fontId="2" fillId="4" borderId="70" xfId="2" applyNumberFormat="1" applyFont="1" applyFill="1" applyBorder="1" applyAlignment="1">
      <alignment horizontal="center" vertical="top"/>
    </xf>
    <xf numFmtId="164" fontId="2" fillId="4" borderId="80" xfId="2" applyNumberFormat="1" applyFont="1" applyFill="1" applyBorder="1" applyAlignment="1">
      <alignment horizontal="center" vertical="top"/>
    </xf>
    <xf numFmtId="164" fontId="2" fillId="4" borderId="51" xfId="2" applyNumberFormat="1" applyFont="1" applyFill="1" applyBorder="1" applyAlignment="1">
      <alignment horizontal="center" vertical="top"/>
    </xf>
    <xf numFmtId="164" fontId="2" fillId="4" borderId="37" xfId="2" applyNumberFormat="1" applyFont="1" applyFill="1" applyBorder="1" applyAlignment="1">
      <alignment horizontal="center" vertical="top"/>
    </xf>
    <xf numFmtId="164" fontId="2" fillId="12" borderId="35" xfId="2" applyNumberFormat="1" applyFont="1" applyFill="1" applyBorder="1" applyAlignment="1">
      <alignment horizontal="center" vertical="top"/>
    </xf>
    <xf numFmtId="164" fontId="2" fillId="12" borderId="67" xfId="2" applyNumberFormat="1" applyFont="1" applyFill="1" applyBorder="1" applyAlignment="1">
      <alignment horizontal="center" vertical="top"/>
    </xf>
    <xf numFmtId="167" fontId="2" fillId="9" borderId="70" xfId="2" applyNumberFormat="1" applyFont="1" applyFill="1" applyBorder="1" applyAlignment="1">
      <alignment horizontal="center" vertical="top" wrapText="1"/>
    </xf>
    <xf numFmtId="167" fontId="2" fillId="9" borderId="80" xfId="2" applyNumberFormat="1" applyFont="1" applyFill="1" applyBorder="1" applyAlignment="1">
      <alignment horizontal="center" vertical="top" wrapText="1"/>
    </xf>
    <xf numFmtId="49" fontId="2" fillId="4" borderId="70" xfId="2" applyNumberFormat="1" applyFont="1" applyFill="1" applyBorder="1" applyAlignment="1">
      <alignment horizontal="center" vertical="top"/>
    </xf>
    <xf numFmtId="49" fontId="2" fillId="4" borderId="80" xfId="2" applyNumberFormat="1" applyFont="1" applyFill="1" applyBorder="1" applyAlignment="1">
      <alignment horizontal="center" vertical="top"/>
    </xf>
    <xf numFmtId="164" fontId="2" fillId="12" borderId="51" xfId="2" applyNumberFormat="1" applyFont="1" applyFill="1" applyBorder="1" applyAlignment="1">
      <alignment horizontal="center" vertical="top"/>
    </xf>
    <xf numFmtId="164" fontId="2" fillId="12" borderId="37" xfId="2" applyNumberFormat="1" applyFont="1" applyFill="1" applyBorder="1" applyAlignment="1">
      <alignment horizontal="center" vertical="top"/>
    </xf>
    <xf numFmtId="3" fontId="2" fillId="4" borderId="31" xfId="0" applyNumberFormat="1" applyFont="1" applyFill="1" applyBorder="1" applyAlignment="1">
      <alignment horizontal="left" vertical="top" wrapText="1"/>
    </xf>
    <xf numFmtId="3" fontId="3" fillId="4" borderId="51" xfId="0" applyNumberFormat="1" applyFont="1" applyFill="1" applyBorder="1" applyAlignment="1">
      <alignment horizontal="left" vertical="top" wrapText="1"/>
    </xf>
    <xf numFmtId="167" fontId="2" fillId="9" borderId="52" xfId="2" applyNumberFormat="1" applyFont="1" applyFill="1" applyBorder="1" applyAlignment="1">
      <alignment horizontal="left" vertical="top" wrapText="1"/>
    </xf>
    <xf numFmtId="167" fontId="2" fillId="9" borderId="53" xfId="2" applyNumberFormat="1" applyFont="1" applyFill="1" applyBorder="1" applyAlignment="1">
      <alignment horizontal="left" vertical="top" wrapText="1"/>
    </xf>
    <xf numFmtId="3" fontId="3" fillId="8" borderId="12" xfId="0" applyNumberFormat="1" applyFont="1" applyFill="1" applyBorder="1" applyAlignment="1">
      <alignment horizontal="center" vertical="top" wrapText="1"/>
    </xf>
    <xf numFmtId="3" fontId="3" fillId="8" borderId="46" xfId="0" applyNumberFormat="1" applyFont="1" applyFill="1" applyBorder="1" applyAlignment="1">
      <alignment horizontal="center" vertical="top" wrapText="1"/>
    </xf>
    <xf numFmtId="3" fontId="3" fillId="8" borderId="60" xfId="0" applyNumberFormat="1" applyFont="1" applyFill="1" applyBorder="1" applyAlignment="1">
      <alignment horizontal="center" vertical="top" wrapText="1"/>
    </xf>
    <xf numFmtId="3" fontId="3" fillId="8" borderId="60" xfId="0" applyNumberFormat="1" applyFont="1" applyFill="1" applyBorder="1" applyAlignment="1">
      <alignment horizontal="left" vertical="top" wrapText="1"/>
    </xf>
    <xf numFmtId="49" fontId="3" fillId="8" borderId="16" xfId="0" applyNumberFormat="1" applyFont="1" applyFill="1" applyBorder="1" applyAlignment="1">
      <alignment horizontal="center" vertical="top"/>
    </xf>
    <xf numFmtId="3" fontId="3" fillId="4" borderId="54" xfId="0" quotePrefix="1" applyNumberFormat="1" applyFont="1" applyFill="1" applyBorder="1" applyAlignment="1">
      <alignment horizontal="center" vertical="top" wrapText="1"/>
    </xf>
    <xf numFmtId="3" fontId="3" fillId="4" borderId="30" xfId="0" quotePrefix="1" applyNumberFormat="1" applyFont="1" applyFill="1" applyBorder="1" applyAlignment="1">
      <alignment horizontal="center" vertical="top" wrapText="1"/>
    </xf>
    <xf numFmtId="3" fontId="3" fillId="4" borderId="58" xfId="0" quotePrefix="1" applyNumberFormat="1" applyFont="1" applyFill="1" applyBorder="1" applyAlignment="1">
      <alignment horizontal="center" vertical="top" wrapText="1"/>
    </xf>
    <xf numFmtId="3" fontId="13" fillId="4" borderId="13" xfId="0" applyNumberFormat="1" applyFont="1" applyFill="1" applyBorder="1" applyAlignment="1">
      <alignment horizontal="center" vertical="top" wrapText="1"/>
    </xf>
    <xf numFmtId="3" fontId="13" fillId="4" borderId="18" xfId="0" applyNumberFormat="1" applyFont="1" applyFill="1" applyBorder="1" applyAlignment="1">
      <alignment horizontal="center" vertical="top" wrapText="1"/>
    </xf>
    <xf numFmtId="3" fontId="13" fillId="4" borderId="19" xfId="0" applyNumberFormat="1" applyFont="1" applyFill="1" applyBorder="1" applyAlignment="1">
      <alignment horizontal="center" vertical="top" wrapText="1"/>
    </xf>
    <xf numFmtId="3" fontId="2" fillId="4" borderId="3" xfId="0" applyNumberFormat="1" applyFont="1" applyFill="1" applyBorder="1" applyAlignment="1">
      <alignment horizontal="left" vertical="top" wrapText="1"/>
    </xf>
    <xf numFmtId="3" fontId="2" fillId="4" borderId="38" xfId="0" applyNumberFormat="1" applyFont="1" applyFill="1" applyBorder="1" applyAlignment="1">
      <alignment horizontal="left" vertical="top" wrapText="1"/>
    </xf>
    <xf numFmtId="3" fontId="3" fillId="2" borderId="12" xfId="0" applyNumberFormat="1" applyFont="1" applyFill="1" applyBorder="1" applyAlignment="1">
      <alignment horizontal="center" vertical="top" wrapText="1"/>
    </xf>
    <xf numFmtId="3" fontId="3" fillId="2" borderId="46" xfId="0" applyNumberFormat="1" applyFont="1" applyFill="1" applyBorder="1" applyAlignment="1">
      <alignment horizontal="center" vertical="top" wrapText="1"/>
    </xf>
    <xf numFmtId="3" fontId="3" fillId="2" borderId="60" xfId="0" applyNumberFormat="1" applyFont="1" applyFill="1" applyBorder="1" applyAlignment="1">
      <alignment horizontal="center" vertical="top" wrapText="1"/>
    </xf>
    <xf numFmtId="3" fontId="2" fillId="4" borderId="26" xfId="0" applyNumberFormat="1" applyFont="1" applyFill="1" applyBorder="1" applyAlignment="1">
      <alignment horizontal="left" vertical="top" wrapText="1"/>
    </xf>
    <xf numFmtId="3" fontId="12" fillId="4" borderId="10" xfId="0" applyNumberFormat="1" applyFont="1" applyFill="1" applyBorder="1" applyAlignment="1">
      <alignment horizontal="center" vertical="top" wrapText="1"/>
    </xf>
    <xf numFmtId="3" fontId="12" fillId="4" borderId="8" xfId="0" applyNumberFormat="1" applyFont="1" applyFill="1" applyBorder="1" applyAlignment="1">
      <alignment horizontal="center" vertical="top" wrapText="1"/>
    </xf>
    <xf numFmtId="3" fontId="12" fillId="4" borderId="42" xfId="0" applyNumberFormat="1"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5" xfId="0" applyFont="1" applyFill="1" applyBorder="1" applyAlignment="1">
      <alignment horizontal="center" vertical="top" wrapText="1"/>
    </xf>
    <xf numFmtId="164" fontId="2" fillId="4" borderId="22" xfId="0" applyNumberFormat="1" applyFont="1" applyFill="1" applyBorder="1" applyAlignment="1">
      <alignment horizontal="center" vertical="top" wrapText="1"/>
    </xf>
    <xf numFmtId="164" fontId="2" fillId="4" borderId="36" xfId="0" applyNumberFormat="1" applyFont="1" applyFill="1" applyBorder="1" applyAlignment="1">
      <alignment horizontal="center" vertical="top" wrapText="1"/>
    </xf>
    <xf numFmtId="3" fontId="13" fillId="5" borderId="39" xfId="0" applyNumberFormat="1" applyFont="1" applyFill="1" applyBorder="1" applyAlignment="1">
      <alignment horizontal="right" vertical="top" wrapText="1"/>
    </xf>
    <xf numFmtId="3" fontId="2" fillId="4" borderId="6" xfId="0" applyNumberFormat="1" applyFont="1" applyFill="1" applyBorder="1" applyAlignment="1">
      <alignment horizontal="center" vertical="top"/>
    </xf>
    <xf numFmtId="3" fontId="2" fillId="4" borderId="42" xfId="0" applyNumberFormat="1" applyFont="1" applyFill="1" applyBorder="1" applyAlignment="1">
      <alignment horizontal="center" vertical="top"/>
    </xf>
    <xf numFmtId="49" fontId="2" fillId="3" borderId="18" xfId="0" applyNumberFormat="1" applyFont="1" applyFill="1" applyBorder="1" applyAlignment="1">
      <alignment horizontal="center" vertical="top" wrapText="1"/>
    </xf>
    <xf numFmtId="49" fontId="2" fillId="3" borderId="19" xfId="0" applyNumberFormat="1" applyFont="1" applyFill="1" applyBorder="1" applyAlignment="1">
      <alignment horizontal="center" vertical="top" wrapText="1"/>
    </xf>
    <xf numFmtId="3" fontId="3" fillId="4" borderId="54" xfId="0" applyNumberFormat="1" applyFont="1" applyFill="1" applyBorder="1" applyAlignment="1">
      <alignment horizontal="left" vertical="top" wrapText="1"/>
    </xf>
    <xf numFmtId="3" fontId="3" fillId="4" borderId="58" xfId="0" applyNumberFormat="1" applyFont="1" applyFill="1" applyBorder="1" applyAlignment="1">
      <alignment horizontal="left" vertical="top" wrapText="1"/>
    </xf>
    <xf numFmtId="3" fontId="3" fillId="4" borderId="30" xfId="0" applyNumberFormat="1" applyFont="1" applyFill="1" applyBorder="1" applyAlignment="1">
      <alignment horizontal="left" vertical="top" wrapText="1"/>
    </xf>
    <xf numFmtId="165" fontId="2" fillId="4" borderId="10" xfId="0" applyNumberFormat="1" applyFont="1" applyFill="1" applyBorder="1" applyAlignment="1">
      <alignment horizontal="center" vertical="top"/>
    </xf>
    <xf numFmtId="165" fontId="2" fillId="4" borderId="5" xfId="0" applyNumberFormat="1" applyFont="1" applyFill="1" applyBorder="1" applyAlignment="1">
      <alignment horizontal="center" vertical="top"/>
    </xf>
    <xf numFmtId="164" fontId="2" fillId="4" borderId="34" xfId="0" applyNumberFormat="1" applyFont="1" applyFill="1" applyBorder="1" applyAlignment="1">
      <alignment horizontal="center" vertical="top"/>
    </xf>
    <xf numFmtId="3" fontId="2" fillId="4" borderId="54" xfId="0" applyNumberFormat="1" applyFont="1" applyFill="1" applyBorder="1" applyAlignment="1">
      <alignment horizontal="left" vertical="top" wrapText="1"/>
    </xf>
    <xf numFmtId="3" fontId="2" fillId="4" borderId="30" xfId="0" applyNumberFormat="1" applyFont="1" applyFill="1" applyBorder="1" applyAlignment="1">
      <alignment horizontal="left" vertical="top" wrapText="1"/>
    </xf>
    <xf numFmtId="164" fontId="2" fillId="4" borderId="42" xfId="0" applyNumberFormat="1" applyFont="1" applyFill="1" applyBorder="1" applyAlignment="1">
      <alignment horizontal="center" vertical="top" wrapText="1"/>
    </xf>
    <xf numFmtId="164" fontId="2" fillId="4" borderId="20" xfId="0" applyNumberFormat="1" applyFont="1" applyFill="1" applyBorder="1" applyAlignment="1">
      <alignment horizontal="center" vertical="top" wrapText="1"/>
    </xf>
    <xf numFmtId="164" fontId="2" fillId="4" borderId="19" xfId="0" applyNumberFormat="1" applyFont="1" applyFill="1" applyBorder="1" applyAlignment="1">
      <alignment horizontal="center" vertical="top" wrapText="1"/>
    </xf>
    <xf numFmtId="3" fontId="3" fillId="6" borderId="16" xfId="0" applyNumberFormat="1" applyFont="1" applyFill="1" applyBorder="1" applyAlignment="1">
      <alignment horizontal="left" vertical="top" wrapText="1"/>
    </xf>
    <xf numFmtId="3" fontId="3" fillId="6" borderId="3" xfId="0" applyNumberFormat="1" applyFont="1" applyFill="1" applyBorder="1" applyAlignment="1">
      <alignment horizontal="left" vertical="top" wrapText="1"/>
    </xf>
    <xf numFmtId="3" fontId="3" fillId="6" borderId="23" xfId="0" applyNumberFormat="1" applyFont="1" applyFill="1" applyBorder="1" applyAlignment="1">
      <alignment horizontal="left" vertical="top" wrapText="1"/>
    </xf>
    <xf numFmtId="3" fontId="3" fillId="8" borderId="31" xfId="0" applyNumberFormat="1" applyFont="1" applyFill="1" applyBorder="1" applyAlignment="1">
      <alignment horizontal="left" vertical="top" wrapText="1"/>
    </xf>
    <xf numFmtId="3" fontId="3" fillId="8" borderId="26" xfId="0" applyNumberFormat="1" applyFont="1" applyFill="1" applyBorder="1" applyAlignment="1">
      <alignment horizontal="left" vertical="top" wrapText="1"/>
    </xf>
    <xf numFmtId="3" fontId="3" fillId="8" borderId="27" xfId="0" applyNumberFormat="1" applyFont="1" applyFill="1" applyBorder="1" applyAlignment="1">
      <alignment horizontal="left" vertical="top" wrapText="1"/>
    </xf>
    <xf numFmtId="3" fontId="3" fillId="2" borderId="43" xfId="0" applyNumberFormat="1" applyFont="1" applyFill="1" applyBorder="1" applyAlignment="1">
      <alignment horizontal="left" vertical="top" wrapText="1"/>
    </xf>
    <xf numFmtId="164" fontId="2" fillId="4" borderId="21" xfId="0" applyNumberFormat="1" applyFont="1" applyFill="1" applyBorder="1" applyAlignment="1">
      <alignment horizontal="center" vertical="top" wrapText="1"/>
    </xf>
    <xf numFmtId="3" fontId="6" fillId="0" borderId="0" xfId="0" applyNumberFormat="1" applyFont="1" applyAlignment="1">
      <alignment horizontal="right" vertical="top" wrapText="1"/>
    </xf>
    <xf numFmtId="3" fontId="2" fillId="0" borderId="17" xfId="0" applyNumberFormat="1" applyFont="1" applyBorder="1" applyAlignment="1">
      <alignment horizontal="center" vertical="center" wrapText="1"/>
    </xf>
    <xf numFmtId="3" fontId="2" fillId="0" borderId="48" xfId="0" applyNumberFormat="1" applyFont="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3" xfId="0" applyNumberFormat="1" applyFont="1" applyBorder="1" applyAlignment="1">
      <alignment horizontal="center" vertical="center" textRotation="90" wrapText="1"/>
    </xf>
    <xf numFmtId="3" fontId="2" fillId="0" borderId="0" xfId="0" applyNumberFormat="1" applyFont="1" applyBorder="1" applyAlignment="1">
      <alignment horizontal="center" vertical="center" textRotation="90" wrapText="1"/>
    </xf>
    <xf numFmtId="3" fontId="2" fillId="0" borderId="38" xfId="0" applyNumberFormat="1" applyFont="1" applyBorder="1" applyAlignment="1">
      <alignment horizontal="center" vertical="center" textRotation="90" wrapText="1"/>
    </xf>
    <xf numFmtId="0" fontId="20" fillId="0" borderId="87" xfId="0" applyFont="1" applyBorder="1" applyAlignment="1">
      <alignment horizontal="center" vertical="center" wrapText="1"/>
    </xf>
  </cellXfs>
  <cellStyles count="4">
    <cellStyle name="Excel Built-in Normal" xfId="2"/>
    <cellStyle name="Įprastas" xfId="0" builtinId="0"/>
    <cellStyle name="Įprastas 2" xfId="1"/>
    <cellStyle name="Stilius 1" xfId="3"/>
  </cellStyles>
  <dxfs count="0"/>
  <tableStyles count="0" defaultTableStyle="TableStyleMedium2" defaultPivotStyle="PivotStyleLight16"/>
  <colors>
    <mruColors>
      <color rgb="FFFFCCFF"/>
      <color rgb="FFCCFFFF"/>
      <color rgb="FFCCFFCC"/>
      <color rgb="FFFFFF99"/>
      <color rgb="FF66FFFF"/>
      <color rgb="FF00FF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08"/>
  <sheetViews>
    <sheetView tabSelected="1" zoomScaleNormal="100" zoomScaleSheetLayoutView="100" workbookViewId="0">
      <selection activeCell="A5" sqref="A5:M5"/>
    </sheetView>
  </sheetViews>
  <sheetFormatPr defaultColWidth="9.28515625" defaultRowHeight="12.75" x14ac:dyDescent="0.2"/>
  <cols>
    <col min="1" max="3" width="3.28515625" style="154" customWidth="1"/>
    <col min="4" max="4" width="31.42578125" style="64" customWidth="1"/>
    <col min="5" max="5" width="2.7109375" style="155" customWidth="1"/>
    <col min="6" max="6" width="8" style="15" customWidth="1"/>
    <col min="7" max="7" width="10" style="15" customWidth="1"/>
    <col min="8" max="8" width="9.28515625" style="15" customWidth="1"/>
    <col min="9" max="9" width="8.7109375" style="261" customWidth="1"/>
    <col min="10" max="10" width="23" style="64" customWidth="1"/>
    <col min="11" max="11" width="6.42578125" style="64" customWidth="1"/>
    <col min="12" max="12" width="6.28515625" style="64" customWidth="1"/>
    <col min="13" max="13" width="6.42578125" style="1400" customWidth="1"/>
    <col min="14" max="14" width="9.28515625" style="17"/>
    <col min="15" max="15" width="10.140625" style="17" bestFit="1" customWidth="1"/>
    <col min="16" max="16384" width="9.28515625" style="17"/>
  </cols>
  <sheetData>
    <row r="1" spans="1:18" ht="31.5" customHeight="1" x14ac:dyDescent="0.2">
      <c r="F1" s="294"/>
      <c r="G1" s="294"/>
      <c r="H1" s="294"/>
      <c r="I1" s="1678" t="s">
        <v>526</v>
      </c>
      <c r="J1" s="1678"/>
      <c r="K1" s="1678"/>
      <c r="L1" s="1678"/>
      <c r="M1" s="1678"/>
    </row>
    <row r="2" spans="1:18" ht="17.25" customHeight="1" x14ac:dyDescent="0.2">
      <c r="F2" s="1413"/>
      <c r="G2" s="1413"/>
      <c r="H2" s="1413"/>
      <c r="I2" s="1678" t="s">
        <v>217</v>
      </c>
      <c r="J2" s="1678"/>
      <c r="K2" s="1413"/>
      <c r="L2" s="1413"/>
      <c r="M2" s="1413"/>
    </row>
    <row r="3" spans="1:18" ht="15" customHeight="1" x14ac:dyDescent="0.2">
      <c r="F3" s="1413"/>
      <c r="G3" s="1413"/>
      <c r="H3" s="1413"/>
      <c r="I3" s="1413"/>
      <c r="J3" s="1413"/>
      <c r="K3" s="1413"/>
      <c r="L3" s="1413"/>
      <c r="M3" s="1413"/>
    </row>
    <row r="4" spans="1:18" s="16" customFormat="1" ht="15.75" customHeight="1" x14ac:dyDescent="0.2">
      <c r="A4" s="1679" t="s">
        <v>525</v>
      </c>
      <c r="B4" s="1679"/>
      <c r="C4" s="1679"/>
      <c r="D4" s="1679"/>
      <c r="E4" s="1679"/>
      <c r="F4" s="1679"/>
      <c r="G4" s="1679"/>
      <c r="H4" s="1679"/>
      <c r="I4" s="1679"/>
      <c r="J4" s="1679"/>
      <c r="K4" s="1679"/>
      <c r="L4" s="1679"/>
      <c r="M4" s="1679"/>
      <c r="O4" s="553"/>
    </row>
    <row r="5" spans="1:18" s="16" customFormat="1" ht="19.5" customHeight="1" x14ac:dyDescent="0.2">
      <c r="A5" s="1680" t="s">
        <v>22</v>
      </c>
      <c r="B5" s="1680"/>
      <c r="C5" s="1680"/>
      <c r="D5" s="1680"/>
      <c r="E5" s="1680"/>
      <c r="F5" s="1680"/>
      <c r="G5" s="1680"/>
      <c r="H5" s="1680"/>
      <c r="I5" s="1680"/>
      <c r="J5" s="1680"/>
      <c r="K5" s="1680"/>
      <c r="L5" s="1680"/>
      <c r="M5" s="1680"/>
      <c r="O5" s="553"/>
    </row>
    <row r="6" spans="1:18" s="16" customFormat="1" ht="19.5" customHeight="1" x14ac:dyDescent="0.2">
      <c r="A6" s="1681" t="s">
        <v>38</v>
      </c>
      <c r="B6" s="1681"/>
      <c r="C6" s="1681"/>
      <c r="D6" s="1681"/>
      <c r="E6" s="1681"/>
      <c r="F6" s="1681"/>
      <c r="G6" s="1681"/>
      <c r="H6" s="1681"/>
      <c r="I6" s="1681"/>
      <c r="J6" s="1681"/>
      <c r="K6" s="1681"/>
      <c r="L6" s="1681"/>
      <c r="M6" s="1681"/>
    </row>
    <row r="7" spans="1:18" ht="18.75" customHeight="1" thickBot="1" x14ac:dyDescent="0.25">
      <c r="A7" s="34"/>
      <c r="B7" s="34"/>
      <c r="D7" s="1403"/>
      <c r="E7" s="156"/>
      <c r="F7" s="20"/>
      <c r="G7" s="20"/>
      <c r="H7" s="20"/>
      <c r="I7" s="1403"/>
      <c r="J7" s="1682" t="s">
        <v>49</v>
      </c>
      <c r="K7" s="1682"/>
      <c r="L7" s="1682"/>
      <c r="M7" s="1682"/>
      <c r="N7" s="292"/>
    </row>
    <row r="8" spans="1:18" ht="21" customHeight="1" thickBot="1" x14ac:dyDescent="0.25">
      <c r="A8" s="1697" t="s">
        <v>243</v>
      </c>
      <c r="B8" s="1700" t="s">
        <v>7</v>
      </c>
      <c r="C8" s="1703" t="s">
        <v>8</v>
      </c>
      <c r="D8" s="1706" t="s">
        <v>19</v>
      </c>
      <c r="E8" s="1709" t="s">
        <v>244</v>
      </c>
      <c r="F8" s="1712" t="s">
        <v>9</v>
      </c>
      <c r="G8" s="1683" t="s">
        <v>247</v>
      </c>
      <c r="H8" s="1686" t="s">
        <v>498</v>
      </c>
      <c r="I8" s="1689" t="s">
        <v>253</v>
      </c>
      <c r="J8" s="1531" t="s">
        <v>239</v>
      </c>
      <c r="K8" s="1532"/>
      <c r="L8" s="1532"/>
      <c r="M8" s="1533"/>
      <c r="N8" s="292"/>
    </row>
    <row r="9" spans="1:18" ht="15.75" customHeight="1" x14ac:dyDescent="0.2">
      <c r="A9" s="1698"/>
      <c r="B9" s="1701"/>
      <c r="C9" s="1704"/>
      <c r="D9" s="1707"/>
      <c r="E9" s="1710"/>
      <c r="F9" s="1713"/>
      <c r="G9" s="1684"/>
      <c r="H9" s="1687"/>
      <c r="I9" s="1690"/>
      <c r="J9" s="1692" t="s">
        <v>19</v>
      </c>
      <c r="K9" s="1694" t="s">
        <v>218</v>
      </c>
      <c r="L9" s="1695"/>
      <c r="M9" s="1696"/>
      <c r="N9" s="292"/>
    </row>
    <row r="10" spans="1:18" ht="107.25" customHeight="1" thickBot="1" x14ac:dyDescent="0.25">
      <c r="A10" s="1699"/>
      <c r="B10" s="1702"/>
      <c r="C10" s="1705"/>
      <c r="D10" s="1708"/>
      <c r="E10" s="1711"/>
      <c r="F10" s="1714"/>
      <c r="G10" s="1685"/>
      <c r="H10" s="1688"/>
      <c r="I10" s="1691"/>
      <c r="J10" s="1693"/>
      <c r="K10" s="1443" t="s">
        <v>248</v>
      </c>
      <c r="L10" s="87" t="s">
        <v>249</v>
      </c>
      <c r="M10" s="352" t="s">
        <v>250</v>
      </c>
      <c r="N10" s="292"/>
    </row>
    <row r="11" spans="1:18" ht="15" customHeight="1" x14ac:dyDescent="0.2">
      <c r="A11" s="1661" t="s">
        <v>43</v>
      </c>
      <c r="B11" s="1662"/>
      <c r="C11" s="1662"/>
      <c r="D11" s="1662"/>
      <c r="E11" s="1662"/>
      <c r="F11" s="1662"/>
      <c r="G11" s="1662"/>
      <c r="H11" s="1662"/>
      <c r="I11" s="1662"/>
      <c r="J11" s="1662"/>
      <c r="K11" s="1662"/>
      <c r="L11" s="1662"/>
      <c r="M11" s="1663"/>
      <c r="N11" s="292"/>
    </row>
    <row r="12" spans="1:18" ht="15.75" customHeight="1" x14ac:dyDescent="0.2">
      <c r="A12" s="1664" t="s">
        <v>23</v>
      </c>
      <c r="B12" s="1665"/>
      <c r="C12" s="1665"/>
      <c r="D12" s="1665"/>
      <c r="E12" s="1665"/>
      <c r="F12" s="1665"/>
      <c r="G12" s="1665"/>
      <c r="H12" s="1665"/>
      <c r="I12" s="1665"/>
      <c r="J12" s="1665"/>
      <c r="K12" s="1665"/>
      <c r="L12" s="1665"/>
      <c r="M12" s="1666"/>
      <c r="N12" s="292"/>
    </row>
    <row r="13" spans="1:18" ht="15.75" customHeight="1" x14ac:dyDescent="0.2">
      <c r="A13" s="157" t="s">
        <v>10</v>
      </c>
      <c r="B13" s="1667" t="s">
        <v>27</v>
      </c>
      <c r="C13" s="1668"/>
      <c r="D13" s="1668"/>
      <c r="E13" s="1668"/>
      <c r="F13" s="1668"/>
      <c r="G13" s="1668"/>
      <c r="H13" s="1668"/>
      <c r="I13" s="1009"/>
      <c r="J13" s="1009"/>
      <c r="K13" s="1009"/>
      <c r="L13" s="1009"/>
      <c r="M13" s="1010"/>
    </row>
    <row r="14" spans="1:18" ht="15.75" customHeight="1" thickBot="1" x14ac:dyDescent="0.25">
      <c r="A14" s="158" t="s">
        <v>10</v>
      </c>
      <c r="B14" s="159" t="s">
        <v>10</v>
      </c>
      <c r="C14" s="1669" t="s">
        <v>46</v>
      </c>
      <c r="D14" s="1670"/>
      <c r="E14" s="1670"/>
      <c r="F14" s="1670"/>
      <c r="G14" s="1670"/>
      <c r="H14" s="1011"/>
      <c r="I14" s="1011"/>
      <c r="J14" s="1011"/>
      <c r="K14" s="1011"/>
      <c r="L14" s="1011"/>
      <c r="M14" s="1012"/>
    </row>
    <row r="15" spans="1:18" ht="13.5" customHeight="1" x14ac:dyDescent="0.2">
      <c r="A15" s="160" t="s">
        <v>10</v>
      </c>
      <c r="B15" s="161" t="s">
        <v>10</v>
      </c>
      <c r="C15" s="162" t="s">
        <v>10</v>
      </c>
      <c r="D15" s="1671" t="s">
        <v>35</v>
      </c>
      <c r="E15" s="163"/>
      <c r="F15" s="412" t="s">
        <v>42</v>
      </c>
      <c r="G15" s="179">
        <v>620.20000000000005</v>
      </c>
      <c r="H15" s="124"/>
      <c r="I15" s="296"/>
      <c r="J15" s="148"/>
      <c r="K15" s="11"/>
      <c r="L15" s="1394"/>
      <c r="M15" s="1363"/>
    </row>
    <row r="16" spans="1:18" ht="14.25" customHeight="1" x14ac:dyDescent="0.2">
      <c r="A16" s="157"/>
      <c r="B16" s="167"/>
      <c r="C16" s="171"/>
      <c r="D16" s="1672"/>
      <c r="E16" s="295"/>
      <c r="F16" s="38" t="s">
        <v>11</v>
      </c>
      <c r="G16" s="105">
        <v>47464.4</v>
      </c>
      <c r="H16" s="1355">
        <v>48558.2</v>
      </c>
      <c r="I16" s="1427">
        <v>47531.8</v>
      </c>
      <c r="J16" s="54"/>
      <c r="K16" s="71"/>
      <c r="L16" s="1395"/>
      <c r="M16" s="1396"/>
      <c r="O16" s="1030" t="s">
        <v>11</v>
      </c>
      <c r="P16" s="1031">
        <f>G22+G26+G30+G32+G39+G43+G46+G49+G51+G52+G57+G58+G59+G60+G63+G68+G71+G74+G77+G80+G83+G86+G88+G90+G87</f>
        <v>47464.400000000016</v>
      </c>
      <c r="Q16" s="1031">
        <f>H22+H30+H32+H39+H46+H49+H52+H57+H60+H63+H68+H71+H74+H76+H77+H80+H83+H86+H87+H88+H90</f>
        <v>48558.200000000012</v>
      </c>
      <c r="R16" s="1031">
        <f>I22+I32+I39+I46+I49+I52+I57+I60+I63+I68+I71+I74+I77+I80+I83+I86+I87+I88+I90</f>
        <v>47531.8</v>
      </c>
    </row>
    <row r="17" spans="1:18" ht="15.75" customHeight="1" x14ac:dyDescent="0.2">
      <c r="A17" s="157"/>
      <c r="B17" s="167"/>
      <c r="C17" s="171"/>
      <c r="D17" s="1405"/>
      <c r="E17" s="295"/>
      <c r="F17" s="38" t="s">
        <v>14</v>
      </c>
      <c r="G17" s="105">
        <v>65382.6</v>
      </c>
      <c r="H17" s="1211">
        <v>65363.3</v>
      </c>
      <c r="I17" s="278">
        <v>65363.3</v>
      </c>
      <c r="J17" s="54"/>
      <c r="K17" s="71"/>
      <c r="L17" s="1395"/>
      <c r="M17" s="1396"/>
      <c r="O17" s="1030" t="s">
        <v>14</v>
      </c>
      <c r="P17" s="1031">
        <f>G23+G25+G27+G33+G37+G40+G41+G47+G53+G61+G65+G84+G85</f>
        <v>65382.600000000006</v>
      </c>
      <c r="Q17" s="1031">
        <f>H23+H27+H33+H37+H40+H41+H47+H53+H61+H65+H84+H85</f>
        <v>65363.3</v>
      </c>
      <c r="R17" s="1031">
        <f>I23+I27+I33+I37+I40+I41+I47+I53+I61+I65+I84+I85</f>
        <v>65363.3</v>
      </c>
    </row>
    <row r="18" spans="1:18" ht="15.75" customHeight="1" x14ac:dyDescent="0.2">
      <c r="A18" s="157"/>
      <c r="B18" s="167"/>
      <c r="C18" s="171"/>
      <c r="D18" s="1405"/>
      <c r="E18" s="295"/>
      <c r="F18" s="38" t="s">
        <v>34</v>
      </c>
      <c r="G18" s="105">
        <v>5105.3</v>
      </c>
      <c r="H18" s="1211">
        <v>5105.5</v>
      </c>
      <c r="I18" s="1449">
        <v>5105.3</v>
      </c>
      <c r="J18" s="54"/>
      <c r="K18" s="71"/>
      <c r="L18" s="1395"/>
      <c r="M18" s="1396"/>
      <c r="O18" s="1030" t="s">
        <v>34</v>
      </c>
      <c r="P18" s="1031">
        <f>G24+G34+G42+G54+G62+G66+G69</f>
        <v>5105.3</v>
      </c>
      <c r="Q18" s="1031">
        <f>H24+H34+H42+H54+H62+H66+H69</f>
        <v>5105.5</v>
      </c>
      <c r="R18" s="1031">
        <f>I24+I34+I42+I54+I62+I66+I69</f>
        <v>5105.3</v>
      </c>
    </row>
    <row r="19" spans="1:18" ht="13.5" customHeight="1" x14ac:dyDescent="0.2">
      <c r="A19" s="157"/>
      <c r="B19" s="167"/>
      <c r="C19" s="171"/>
      <c r="D19" s="1405"/>
      <c r="E19" s="295"/>
      <c r="F19" s="38" t="s">
        <v>63</v>
      </c>
      <c r="G19" s="105">
        <v>1.4</v>
      </c>
      <c r="H19" s="90"/>
      <c r="I19" s="278"/>
      <c r="J19" s="54"/>
      <c r="K19" s="71"/>
      <c r="L19" s="1395"/>
      <c r="M19" s="1396"/>
      <c r="O19" s="1030" t="s">
        <v>63</v>
      </c>
      <c r="P19" s="1031">
        <f>G56</f>
        <v>1.4</v>
      </c>
      <c r="Q19" s="1031"/>
      <c r="R19" s="1031"/>
    </row>
    <row r="20" spans="1:18" ht="16.5" customHeight="1" x14ac:dyDescent="0.2">
      <c r="A20" s="157"/>
      <c r="B20" s="167"/>
      <c r="C20" s="171"/>
      <c r="D20" s="1405"/>
      <c r="E20" s="295"/>
      <c r="F20" s="38" t="s">
        <v>132</v>
      </c>
      <c r="G20" s="105">
        <v>95.2</v>
      </c>
      <c r="H20" s="90"/>
      <c r="I20" s="278"/>
      <c r="J20" s="54"/>
      <c r="K20" s="71"/>
      <c r="L20" s="1395"/>
      <c r="M20" s="1396"/>
      <c r="O20" s="1030" t="s">
        <v>132</v>
      </c>
      <c r="P20" s="1031">
        <f>G44</f>
        <v>95.2</v>
      </c>
      <c r="Q20" s="1031"/>
      <c r="R20" s="1031"/>
    </row>
    <row r="21" spans="1:18" ht="18.75" customHeight="1" x14ac:dyDescent="0.2">
      <c r="A21" s="157"/>
      <c r="B21" s="167"/>
      <c r="C21" s="171"/>
      <c r="D21" s="1405"/>
      <c r="E21" s="295"/>
      <c r="F21" s="1417" t="s">
        <v>65</v>
      </c>
      <c r="G21" s="1431">
        <v>675.9</v>
      </c>
      <c r="H21" s="1395"/>
      <c r="I21" s="1426"/>
      <c r="J21" s="54"/>
      <c r="K21" s="71"/>
      <c r="L21" s="1395"/>
      <c r="M21" s="1396"/>
      <c r="O21" s="1030" t="s">
        <v>65</v>
      </c>
      <c r="P21" s="1031">
        <f>G45</f>
        <v>675.9</v>
      </c>
      <c r="Q21" s="1031"/>
      <c r="R21" s="1031"/>
    </row>
    <row r="22" spans="1:18" ht="14.25" customHeight="1" x14ac:dyDescent="0.2">
      <c r="A22" s="157"/>
      <c r="B22" s="164"/>
      <c r="C22" s="165"/>
      <c r="D22" s="1561" t="s">
        <v>82</v>
      </c>
      <c r="E22" s="166" t="s">
        <v>144</v>
      </c>
      <c r="F22" s="1375" t="s">
        <v>134</v>
      </c>
      <c r="G22" s="1228">
        <v>23002.7</v>
      </c>
      <c r="H22" s="1350">
        <v>23002.7</v>
      </c>
      <c r="I22" s="1450">
        <v>23002.7</v>
      </c>
      <c r="J22" s="999" t="s">
        <v>70</v>
      </c>
      <c r="K22" s="13">
        <v>44</v>
      </c>
      <c r="L22" s="90">
        <v>42</v>
      </c>
      <c r="M22" s="126">
        <v>43</v>
      </c>
      <c r="N22" s="14"/>
      <c r="O22" s="1030"/>
      <c r="P22" s="1031">
        <f>SUM(P16:P21)+G15</f>
        <v>119345.00000000001</v>
      </c>
      <c r="Q22" s="1031">
        <f>SUM(Q16:Q21)+H15</f>
        <v>119027.00000000001</v>
      </c>
      <c r="R22" s="1031">
        <f>SUM(R16:R21)+I15</f>
        <v>118000.40000000001</v>
      </c>
    </row>
    <row r="23" spans="1:18" ht="14.25" customHeight="1" x14ac:dyDescent="0.2">
      <c r="A23" s="157"/>
      <c r="B23" s="164"/>
      <c r="C23" s="165"/>
      <c r="D23" s="1562"/>
      <c r="E23" s="139" t="s">
        <v>270</v>
      </c>
      <c r="F23" s="1375" t="s">
        <v>219</v>
      </c>
      <c r="G23" s="1451">
        <v>14312.7</v>
      </c>
      <c r="H23" s="1350">
        <v>14312.7</v>
      </c>
      <c r="I23" s="1452">
        <v>14312.7</v>
      </c>
      <c r="J23" s="93" t="s">
        <v>71</v>
      </c>
      <c r="K23" s="13">
        <v>7995</v>
      </c>
      <c r="L23" s="90">
        <v>8200</v>
      </c>
      <c r="M23" s="1404">
        <v>8300</v>
      </c>
      <c r="N23" s="14"/>
      <c r="O23" s="1030"/>
      <c r="P23" s="1031">
        <f>+P22-G91</f>
        <v>0</v>
      </c>
      <c r="Q23" s="1031">
        <f>+Q22-H91</f>
        <v>0</v>
      </c>
      <c r="R23" s="1031">
        <f>+R22-I91</f>
        <v>0</v>
      </c>
    </row>
    <row r="24" spans="1:18" ht="18" customHeight="1" x14ac:dyDescent="0.2">
      <c r="A24" s="157"/>
      <c r="B24" s="164"/>
      <c r="C24" s="165"/>
      <c r="D24" s="1562"/>
      <c r="E24" s="139"/>
      <c r="F24" s="1375" t="s">
        <v>220</v>
      </c>
      <c r="G24" s="1451">
        <v>3536.9</v>
      </c>
      <c r="H24" s="1350">
        <v>3536.9</v>
      </c>
      <c r="I24" s="1452">
        <v>3536.9</v>
      </c>
      <c r="J24" s="1546" t="s">
        <v>305</v>
      </c>
      <c r="K24" s="1673">
        <v>22.27</v>
      </c>
      <c r="L24" s="1675">
        <v>22.6</v>
      </c>
      <c r="M24" s="1676"/>
      <c r="N24" s="14"/>
      <c r="P24" s="292"/>
      <c r="Q24" s="292"/>
      <c r="R24" s="292"/>
    </row>
    <row r="25" spans="1:18" ht="12.75" customHeight="1" x14ac:dyDescent="0.2">
      <c r="A25" s="157"/>
      <c r="B25" s="167"/>
      <c r="C25" s="165"/>
      <c r="D25" s="173"/>
      <c r="E25" s="139"/>
      <c r="F25" s="1375" t="s">
        <v>219</v>
      </c>
      <c r="G25" s="1228">
        <v>19.3</v>
      </c>
      <c r="H25" s="1350"/>
      <c r="I25" s="1452"/>
      <c r="J25" s="1564"/>
      <c r="K25" s="1674"/>
      <c r="L25" s="1646"/>
      <c r="M25" s="1677"/>
      <c r="N25" s="14"/>
    </row>
    <row r="26" spans="1:18" ht="54" customHeight="1" x14ac:dyDescent="0.2">
      <c r="A26" s="157"/>
      <c r="B26" s="167"/>
      <c r="C26" s="165"/>
      <c r="D26" s="1368" t="s">
        <v>176</v>
      </c>
      <c r="E26" s="139" t="s">
        <v>269</v>
      </c>
      <c r="F26" s="1375" t="s">
        <v>134</v>
      </c>
      <c r="G26" s="1451">
        <v>9</v>
      </c>
      <c r="H26" s="1350"/>
      <c r="I26" s="1452"/>
      <c r="J26" s="999" t="s">
        <v>209</v>
      </c>
      <c r="K26" s="13">
        <v>1</v>
      </c>
      <c r="L26" s="90"/>
      <c r="M26" s="126"/>
      <c r="N26" s="14"/>
    </row>
    <row r="27" spans="1:18" ht="15.75" customHeight="1" x14ac:dyDescent="0.2">
      <c r="A27" s="157"/>
      <c r="B27" s="167"/>
      <c r="C27" s="165"/>
      <c r="D27" s="1561" t="s">
        <v>138</v>
      </c>
      <c r="E27" s="1377" t="s">
        <v>269</v>
      </c>
      <c r="F27" s="1375" t="s">
        <v>219</v>
      </c>
      <c r="G27" s="1228">
        <v>997.6</v>
      </c>
      <c r="H27" s="1350">
        <v>997.6</v>
      </c>
      <c r="I27" s="1452">
        <v>997.6</v>
      </c>
      <c r="J27" s="1362" t="s">
        <v>70</v>
      </c>
      <c r="K27" s="71">
        <v>10</v>
      </c>
      <c r="L27" s="1395">
        <v>12</v>
      </c>
      <c r="M27" s="1396">
        <v>12</v>
      </c>
      <c r="N27" s="14"/>
    </row>
    <row r="28" spans="1:18" ht="14.25" customHeight="1" x14ac:dyDescent="0.2">
      <c r="A28" s="157"/>
      <c r="B28" s="164"/>
      <c r="C28" s="165"/>
      <c r="D28" s="1562"/>
      <c r="E28" s="139"/>
      <c r="F28" s="1375"/>
      <c r="G28" s="1228"/>
      <c r="H28" s="1350"/>
      <c r="I28" s="1453"/>
      <c r="J28" s="125" t="s">
        <v>71</v>
      </c>
      <c r="K28" s="1">
        <v>499</v>
      </c>
      <c r="L28" s="1359">
        <v>550</v>
      </c>
      <c r="M28" s="1404">
        <v>550</v>
      </c>
      <c r="N28" s="14"/>
    </row>
    <row r="29" spans="1:18" ht="10.5" customHeight="1" thickBot="1" x14ac:dyDescent="0.25">
      <c r="A29" s="157"/>
      <c r="B29" s="167"/>
      <c r="C29" s="165"/>
      <c r="D29" s="1556"/>
      <c r="E29" s="139"/>
      <c r="F29" s="1375"/>
      <c r="G29" s="1228"/>
      <c r="H29" s="1350"/>
      <c r="I29" s="1452"/>
      <c r="J29" s="852"/>
      <c r="K29" s="12"/>
      <c r="L29" s="1360"/>
      <c r="M29" s="1364"/>
      <c r="N29" s="14"/>
    </row>
    <row r="30" spans="1:18" ht="29.25" customHeight="1" x14ac:dyDescent="0.2">
      <c r="A30" s="157"/>
      <c r="B30" s="167"/>
      <c r="C30" s="533"/>
      <c r="D30" s="1555" t="s">
        <v>495</v>
      </c>
      <c r="E30" s="139" t="s">
        <v>269</v>
      </c>
      <c r="F30" s="1581" t="s">
        <v>134</v>
      </c>
      <c r="G30" s="1582">
        <v>371</v>
      </c>
      <c r="H30" s="1583">
        <v>1085.5999999999999</v>
      </c>
      <c r="I30" s="1659"/>
      <c r="J30" s="534" t="s">
        <v>303</v>
      </c>
      <c r="K30" s="179">
        <v>73.8</v>
      </c>
      <c r="L30" s="142">
        <v>69.8</v>
      </c>
      <c r="M30" s="146"/>
      <c r="N30" s="14"/>
    </row>
    <row r="31" spans="1:18" ht="28.5" customHeight="1" thickBot="1" x14ac:dyDescent="0.25">
      <c r="A31" s="157"/>
      <c r="B31" s="167"/>
      <c r="C31" s="533"/>
      <c r="D31" s="1556"/>
      <c r="E31" s="139"/>
      <c r="F31" s="1581"/>
      <c r="G31" s="1582"/>
      <c r="H31" s="1583"/>
      <c r="I31" s="1659"/>
      <c r="J31" s="852" t="s">
        <v>305</v>
      </c>
      <c r="K31" s="768">
        <v>24.18</v>
      </c>
      <c r="L31" s="719">
        <v>23.01</v>
      </c>
      <c r="M31" s="1364"/>
      <c r="N31" s="14"/>
    </row>
    <row r="32" spans="1:18" ht="12.75" customHeight="1" x14ac:dyDescent="0.2">
      <c r="A32" s="169"/>
      <c r="B32" s="167"/>
      <c r="C32" s="170"/>
      <c r="D32" s="1555" t="s">
        <v>48</v>
      </c>
      <c r="E32" s="139" t="s">
        <v>269</v>
      </c>
      <c r="F32" s="1375" t="s">
        <v>134</v>
      </c>
      <c r="G32" s="1451">
        <v>1539.5</v>
      </c>
      <c r="H32" s="1350">
        <v>1539.5</v>
      </c>
      <c r="I32" s="1450">
        <v>1539.5</v>
      </c>
      <c r="J32" s="96" t="s">
        <v>70</v>
      </c>
      <c r="K32" s="71">
        <v>4</v>
      </c>
      <c r="L32" s="1395">
        <v>3</v>
      </c>
      <c r="M32" s="1396">
        <v>3</v>
      </c>
      <c r="N32" s="14"/>
    </row>
    <row r="33" spans="1:16" ht="15.75" customHeight="1" x14ac:dyDescent="0.2">
      <c r="A33" s="169"/>
      <c r="B33" s="167"/>
      <c r="C33" s="171"/>
      <c r="D33" s="1562"/>
      <c r="E33" s="139"/>
      <c r="F33" s="1375" t="s">
        <v>219</v>
      </c>
      <c r="G33" s="1451">
        <v>2049.6999999999998</v>
      </c>
      <c r="H33" s="1350">
        <v>2049.6999999999998</v>
      </c>
      <c r="I33" s="1452">
        <v>2049.6999999999998</v>
      </c>
      <c r="J33" s="1361" t="s">
        <v>71</v>
      </c>
      <c r="K33" s="1">
        <v>1233</v>
      </c>
      <c r="L33" s="1359">
        <v>959</v>
      </c>
      <c r="M33" s="1404">
        <v>960</v>
      </c>
      <c r="N33" s="14"/>
    </row>
    <row r="34" spans="1:16" ht="15.75" customHeight="1" x14ac:dyDescent="0.2">
      <c r="A34" s="169"/>
      <c r="B34" s="167"/>
      <c r="C34" s="171"/>
      <c r="D34" s="1562"/>
      <c r="E34" s="1377"/>
      <c r="F34" s="1375" t="s">
        <v>220</v>
      </c>
      <c r="G34" s="1451">
        <v>331.7</v>
      </c>
      <c r="H34" s="1350">
        <v>331.7</v>
      </c>
      <c r="I34" s="1452">
        <v>331.7</v>
      </c>
      <c r="J34" s="125" t="s">
        <v>123</v>
      </c>
      <c r="K34" s="1">
        <v>854</v>
      </c>
      <c r="L34" s="1359">
        <v>752</v>
      </c>
      <c r="M34" s="1404">
        <v>760</v>
      </c>
      <c r="N34" s="14"/>
    </row>
    <row r="35" spans="1:16" ht="30.75" customHeight="1" x14ac:dyDescent="0.2">
      <c r="A35" s="172"/>
      <c r="B35" s="167"/>
      <c r="C35" s="171"/>
      <c r="D35" s="1368"/>
      <c r="E35" s="139"/>
      <c r="F35" s="1375"/>
      <c r="G35" s="1451"/>
      <c r="H35" s="1350"/>
      <c r="I35" s="1452"/>
      <c r="J35" s="999" t="s">
        <v>303</v>
      </c>
      <c r="K35" s="105">
        <v>4.4000000000000004</v>
      </c>
      <c r="L35" s="90"/>
      <c r="M35" s="126"/>
      <c r="N35" s="14"/>
    </row>
    <row r="36" spans="1:16" ht="28.5" customHeight="1" x14ac:dyDescent="0.2">
      <c r="A36" s="172"/>
      <c r="B36" s="167"/>
      <c r="C36" s="171"/>
      <c r="D36" s="1368"/>
      <c r="E36" s="139"/>
      <c r="F36" s="1375"/>
      <c r="G36" s="1451"/>
      <c r="H36" s="1350"/>
      <c r="I36" s="1452"/>
      <c r="J36" s="1386" t="s">
        <v>305</v>
      </c>
      <c r="K36" s="481">
        <v>1.43</v>
      </c>
      <c r="L36" s="1395"/>
      <c r="M36" s="1396"/>
      <c r="N36" s="14"/>
    </row>
    <row r="37" spans="1:16" ht="16.899999999999999" customHeight="1" x14ac:dyDescent="0.2">
      <c r="A37" s="172"/>
      <c r="B37" s="167"/>
      <c r="C37" s="171"/>
      <c r="D37" s="1561" t="s">
        <v>152</v>
      </c>
      <c r="E37" s="139" t="s">
        <v>269</v>
      </c>
      <c r="F37" s="1375" t="s">
        <v>219</v>
      </c>
      <c r="G37" s="1228">
        <v>234</v>
      </c>
      <c r="H37" s="1350">
        <v>234</v>
      </c>
      <c r="I37" s="1452">
        <v>234</v>
      </c>
      <c r="J37" s="1361" t="s">
        <v>70</v>
      </c>
      <c r="K37" s="1">
        <v>2</v>
      </c>
      <c r="L37" s="1359">
        <v>2</v>
      </c>
      <c r="M37" s="1404">
        <v>2</v>
      </c>
      <c r="N37" s="1591"/>
    </row>
    <row r="38" spans="1:16" ht="15.75" customHeight="1" thickBot="1" x14ac:dyDescent="0.25">
      <c r="A38" s="172"/>
      <c r="B38" s="167"/>
      <c r="C38" s="171"/>
      <c r="D38" s="1556"/>
      <c r="E38" s="1377"/>
      <c r="F38" s="1375"/>
      <c r="G38" s="1451"/>
      <c r="H38" s="1350"/>
      <c r="I38" s="1452"/>
      <c r="J38" s="1014" t="s">
        <v>71</v>
      </c>
      <c r="K38" s="329">
        <v>110</v>
      </c>
      <c r="L38" s="89">
        <v>110</v>
      </c>
      <c r="M38" s="731">
        <v>110</v>
      </c>
      <c r="N38" s="1591"/>
    </row>
    <row r="39" spans="1:16" ht="15.75" customHeight="1" x14ac:dyDescent="0.2">
      <c r="A39" s="172"/>
      <c r="B39" s="164"/>
      <c r="C39" s="171"/>
      <c r="D39" s="1555" t="s">
        <v>83</v>
      </c>
      <c r="E39" s="139" t="s">
        <v>269</v>
      </c>
      <c r="F39" s="1375" t="s">
        <v>134</v>
      </c>
      <c r="G39" s="1451">
        <v>10307.299999999999</v>
      </c>
      <c r="H39" s="1350">
        <v>11000</v>
      </c>
      <c r="I39" s="1456">
        <v>11000</v>
      </c>
      <c r="J39" s="534" t="s">
        <v>70</v>
      </c>
      <c r="K39" s="48">
        <v>32</v>
      </c>
      <c r="L39" s="124">
        <v>32</v>
      </c>
      <c r="M39" s="146">
        <v>32</v>
      </c>
      <c r="N39" s="14"/>
    </row>
    <row r="40" spans="1:16" ht="15.75" customHeight="1" x14ac:dyDescent="0.2">
      <c r="A40" s="172"/>
      <c r="B40" s="164"/>
      <c r="C40" s="171"/>
      <c r="D40" s="1562"/>
      <c r="E40" s="139"/>
      <c r="F40" s="1375" t="s">
        <v>219</v>
      </c>
      <c r="G40" s="1451">
        <v>41203.5</v>
      </c>
      <c r="H40" s="1350">
        <v>41203.5</v>
      </c>
      <c r="I40" s="1450">
        <v>41203.5</v>
      </c>
      <c r="J40" s="125" t="s">
        <v>71</v>
      </c>
      <c r="K40" s="13">
        <v>18957</v>
      </c>
      <c r="L40" s="90">
        <v>19140</v>
      </c>
      <c r="M40" s="126">
        <v>19140</v>
      </c>
      <c r="N40" s="14"/>
    </row>
    <row r="41" spans="1:16" ht="15.75" customHeight="1" x14ac:dyDescent="0.2">
      <c r="A41" s="172"/>
      <c r="B41" s="164"/>
      <c r="C41" s="171"/>
      <c r="D41" s="1562"/>
      <c r="E41" s="139"/>
      <c r="F41" s="1375" t="s">
        <v>219</v>
      </c>
      <c r="G41" s="1451">
        <v>1472.9</v>
      </c>
      <c r="H41" s="1350">
        <v>1472.9</v>
      </c>
      <c r="I41" s="1450">
        <v>1472.9</v>
      </c>
      <c r="J41" s="125" t="s">
        <v>123</v>
      </c>
      <c r="K41" s="1">
        <v>18805</v>
      </c>
      <c r="L41" s="1359">
        <v>19000</v>
      </c>
      <c r="M41" s="1404">
        <v>19000</v>
      </c>
      <c r="N41" s="14"/>
    </row>
    <row r="42" spans="1:16" ht="6" customHeight="1" x14ac:dyDescent="0.2">
      <c r="A42" s="172"/>
      <c r="B42" s="164"/>
      <c r="C42" s="171"/>
      <c r="D42" s="998"/>
      <c r="E42" s="139"/>
      <c r="F42" s="1375" t="s">
        <v>220</v>
      </c>
      <c r="G42" s="1228">
        <v>826.3</v>
      </c>
      <c r="H42" s="1350">
        <v>826.3</v>
      </c>
      <c r="I42" s="1452">
        <v>826.3</v>
      </c>
      <c r="J42" s="96"/>
      <c r="K42" s="482"/>
      <c r="L42" s="91"/>
      <c r="M42" s="1411"/>
      <c r="N42" s="14"/>
    </row>
    <row r="43" spans="1:16" ht="15.6" customHeight="1" x14ac:dyDescent="0.2">
      <c r="A43" s="172"/>
      <c r="B43" s="164"/>
      <c r="C43" s="171"/>
      <c r="D43" s="1561" t="s">
        <v>505</v>
      </c>
      <c r="E43" s="139" t="s">
        <v>269</v>
      </c>
      <c r="F43" s="1375" t="s">
        <v>134</v>
      </c>
      <c r="G43" s="1451">
        <v>119.4</v>
      </c>
      <c r="H43" s="1350"/>
      <c r="I43" s="1450"/>
      <c r="J43" s="54" t="s">
        <v>70</v>
      </c>
      <c r="K43" s="71">
        <v>6</v>
      </c>
      <c r="L43" s="1216"/>
      <c r="M43" s="710"/>
      <c r="N43" s="1591"/>
      <c r="O43" s="1592"/>
      <c r="P43" s="1592"/>
    </row>
    <row r="44" spans="1:16" ht="15.6" customHeight="1" x14ac:dyDescent="0.2">
      <c r="A44" s="172"/>
      <c r="B44" s="164"/>
      <c r="C44" s="171"/>
      <c r="D44" s="1562"/>
      <c r="E44" s="139"/>
      <c r="F44" s="1375" t="s">
        <v>224</v>
      </c>
      <c r="G44" s="1451">
        <v>95.2</v>
      </c>
      <c r="H44" s="1350"/>
      <c r="I44" s="1450"/>
      <c r="J44" s="54"/>
      <c r="K44" s="71"/>
      <c r="L44" s="1395"/>
      <c r="M44" s="1396"/>
      <c r="N44" s="1591"/>
      <c r="O44" s="1592"/>
      <c r="P44" s="1592"/>
    </row>
    <row r="45" spans="1:16" ht="13.5" customHeight="1" thickBot="1" x14ac:dyDescent="0.25">
      <c r="A45" s="172"/>
      <c r="B45" s="164"/>
      <c r="C45" s="171"/>
      <c r="D45" s="1562"/>
      <c r="E45" s="139"/>
      <c r="F45" s="1375" t="s">
        <v>223</v>
      </c>
      <c r="G45" s="1228">
        <v>675.9</v>
      </c>
      <c r="H45" s="1350"/>
      <c r="I45" s="1450"/>
      <c r="J45" s="96"/>
      <c r="K45" s="2"/>
      <c r="L45" s="91"/>
      <c r="M45" s="1411"/>
      <c r="N45" s="1591"/>
      <c r="O45" s="1592"/>
      <c r="P45" s="1592"/>
    </row>
    <row r="46" spans="1:16" ht="42" customHeight="1" thickBot="1" x14ac:dyDescent="0.25">
      <c r="A46" s="172"/>
      <c r="B46" s="164"/>
      <c r="C46" s="171"/>
      <c r="D46" s="500" t="s">
        <v>139</v>
      </c>
      <c r="E46" s="139" t="s">
        <v>269</v>
      </c>
      <c r="F46" s="1375" t="s">
        <v>134</v>
      </c>
      <c r="G46" s="1451">
        <v>13.9</v>
      </c>
      <c r="H46" s="1350">
        <v>13.9</v>
      </c>
      <c r="I46" s="1450">
        <v>13.9</v>
      </c>
      <c r="J46" s="534" t="s">
        <v>70</v>
      </c>
      <c r="K46" s="48">
        <v>4</v>
      </c>
      <c r="L46" s="124">
        <v>4</v>
      </c>
      <c r="M46" s="146">
        <v>4</v>
      </c>
      <c r="N46" s="14"/>
    </row>
    <row r="47" spans="1:16" ht="20.25" customHeight="1" x14ac:dyDescent="0.2">
      <c r="A47" s="172"/>
      <c r="B47" s="164"/>
      <c r="C47" s="171"/>
      <c r="D47" s="1555" t="s">
        <v>196</v>
      </c>
      <c r="E47" s="1377" t="s">
        <v>269</v>
      </c>
      <c r="F47" s="1375" t="s">
        <v>219</v>
      </c>
      <c r="G47" s="1451">
        <v>3598.6</v>
      </c>
      <c r="H47" s="1350">
        <v>3598.6</v>
      </c>
      <c r="I47" s="1452">
        <v>3598.6</v>
      </c>
      <c r="J47" s="534" t="s">
        <v>70</v>
      </c>
      <c r="K47" s="48">
        <v>7</v>
      </c>
      <c r="L47" s="124">
        <v>9</v>
      </c>
      <c r="M47" s="146">
        <v>9</v>
      </c>
      <c r="N47" s="14"/>
    </row>
    <row r="48" spans="1:16" ht="21.75" customHeight="1" thickBot="1" x14ac:dyDescent="0.25">
      <c r="A48" s="172"/>
      <c r="B48" s="164"/>
      <c r="C48" s="171"/>
      <c r="D48" s="1562"/>
      <c r="E48" s="1377" t="s">
        <v>270</v>
      </c>
      <c r="F48" s="1375"/>
      <c r="G48" s="1451"/>
      <c r="H48" s="1350"/>
      <c r="I48" s="1452"/>
      <c r="J48" s="125" t="s">
        <v>71</v>
      </c>
      <c r="K48" s="1">
        <v>1447</v>
      </c>
      <c r="L48" s="1359">
        <v>1540</v>
      </c>
      <c r="M48" s="1404">
        <v>1540</v>
      </c>
      <c r="N48" s="14"/>
    </row>
    <row r="49" spans="1:14" ht="21.75" customHeight="1" x14ac:dyDescent="0.2">
      <c r="A49" s="172"/>
      <c r="B49" s="164"/>
      <c r="C49" s="171"/>
      <c r="D49" s="1555" t="s">
        <v>119</v>
      </c>
      <c r="E49" s="139" t="s">
        <v>269</v>
      </c>
      <c r="F49" s="1375" t="s">
        <v>134</v>
      </c>
      <c r="G49" s="1451">
        <v>44.8</v>
      </c>
      <c r="H49" s="1350">
        <v>44.7</v>
      </c>
      <c r="I49" s="1452">
        <v>44.7</v>
      </c>
      <c r="J49" s="1559" t="s">
        <v>104</v>
      </c>
      <c r="K49" s="11">
        <v>1877</v>
      </c>
      <c r="L49" s="1394">
        <v>1900</v>
      </c>
      <c r="M49" s="1614">
        <v>1950</v>
      </c>
      <c r="N49" s="14"/>
    </row>
    <row r="50" spans="1:14" s="174" customFormat="1" ht="21.75" customHeight="1" thickBot="1" x14ac:dyDescent="0.25">
      <c r="A50" s="157"/>
      <c r="B50" s="164"/>
      <c r="C50" s="170"/>
      <c r="D50" s="1556"/>
      <c r="E50" s="140"/>
      <c r="F50" s="1375"/>
      <c r="G50" s="1228"/>
      <c r="H50" s="1350"/>
      <c r="I50" s="1452"/>
      <c r="J50" s="1560"/>
      <c r="K50" s="12"/>
      <c r="L50" s="1360"/>
      <c r="M50" s="1640"/>
      <c r="N50" s="286"/>
    </row>
    <row r="51" spans="1:14" s="174" customFormat="1" ht="42" customHeight="1" thickBot="1" x14ac:dyDescent="0.25">
      <c r="A51" s="157"/>
      <c r="B51" s="164"/>
      <c r="C51" s="170"/>
      <c r="D51" s="500" t="s">
        <v>273</v>
      </c>
      <c r="E51" s="140" t="s">
        <v>274</v>
      </c>
      <c r="F51" s="1375" t="s">
        <v>134</v>
      </c>
      <c r="G51" s="1451">
        <v>361.4</v>
      </c>
      <c r="H51" s="1350"/>
      <c r="I51" s="1452"/>
      <c r="J51" s="1386" t="s">
        <v>104</v>
      </c>
      <c r="K51" s="71">
        <v>1960</v>
      </c>
      <c r="L51" s="1395"/>
      <c r="M51" s="1396"/>
      <c r="N51" s="286"/>
    </row>
    <row r="52" spans="1:14" ht="15.6" customHeight="1" x14ac:dyDescent="0.2">
      <c r="A52" s="169"/>
      <c r="B52" s="164"/>
      <c r="C52" s="171"/>
      <c r="D52" s="1555" t="s">
        <v>197</v>
      </c>
      <c r="E52" s="139" t="s">
        <v>269</v>
      </c>
      <c r="F52" s="1375" t="s">
        <v>134</v>
      </c>
      <c r="G52" s="1451">
        <v>8515.2999999999993</v>
      </c>
      <c r="H52" s="1350">
        <v>8527.2999999999993</v>
      </c>
      <c r="I52" s="1457">
        <v>8527.2999999999993</v>
      </c>
      <c r="J52" s="534" t="s">
        <v>70</v>
      </c>
      <c r="K52" s="48">
        <v>6</v>
      </c>
      <c r="L52" s="124">
        <v>6</v>
      </c>
      <c r="M52" s="146">
        <v>6</v>
      </c>
      <c r="N52" s="14"/>
    </row>
    <row r="53" spans="1:14" ht="15.6" customHeight="1" x14ac:dyDescent="0.2">
      <c r="A53" s="169"/>
      <c r="B53" s="164"/>
      <c r="C53" s="171"/>
      <c r="D53" s="1562"/>
      <c r="E53" s="141"/>
      <c r="F53" s="1375" t="s">
        <v>219</v>
      </c>
      <c r="G53" s="1451">
        <v>164.4</v>
      </c>
      <c r="H53" s="1350">
        <v>164.4</v>
      </c>
      <c r="I53" s="1452">
        <v>164.4</v>
      </c>
      <c r="J53" s="125" t="s">
        <v>71</v>
      </c>
      <c r="K53" s="1">
        <v>4309</v>
      </c>
      <c r="L53" s="1359">
        <v>4500</v>
      </c>
      <c r="M53" s="126">
        <v>4500</v>
      </c>
      <c r="N53" s="14"/>
    </row>
    <row r="54" spans="1:14" ht="12.75" customHeight="1" x14ac:dyDescent="0.2">
      <c r="A54" s="169"/>
      <c r="B54" s="164"/>
      <c r="C54" s="171"/>
      <c r="D54" s="1562"/>
      <c r="E54" s="141"/>
      <c r="F54" s="1375" t="s">
        <v>220</v>
      </c>
      <c r="G54" s="1451">
        <v>322.8</v>
      </c>
      <c r="H54" s="1350">
        <v>323</v>
      </c>
      <c r="I54" s="1452">
        <v>322.8</v>
      </c>
      <c r="J54" s="1546" t="s">
        <v>210</v>
      </c>
      <c r="K54" s="1">
        <v>180</v>
      </c>
      <c r="L54" s="1359">
        <v>170</v>
      </c>
      <c r="M54" s="1404">
        <v>170</v>
      </c>
      <c r="N54" s="14"/>
    </row>
    <row r="55" spans="1:14" ht="4.5" customHeight="1" x14ac:dyDescent="0.2">
      <c r="A55" s="169"/>
      <c r="B55" s="164"/>
      <c r="C55" s="171"/>
      <c r="D55" s="1562"/>
      <c r="E55" s="141"/>
      <c r="F55" s="1375"/>
      <c r="G55" s="1228"/>
      <c r="H55" s="1350"/>
      <c r="I55" s="1452"/>
      <c r="J55" s="1547"/>
      <c r="K55" s="71"/>
      <c r="L55" s="1395"/>
      <c r="M55" s="1396"/>
      <c r="N55" s="14"/>
    </row>
    <row r="56" spans="1:14" ht="13.5" customHeight="1" x14ac:dyDescent="0.2">
      <c r="A56" s="169"/>
      <c r="B56" s="164"/>
      <c r="C56" s="171"/>
      <c r="D56" s="1563"/>
      <c r="E56" s="141"/>
      <c r="F56" s="1375" t="s">
        <v>221</v>
      </c>
      <c r="G56" s="1451">
        <v>1.4</v>
      </c>
      <c r="H56" s="1350"/>
      <c r="I56" s="1452"/>
      <c r="J56" s="1564"/>
      <c r="K56" s="2"/>
      <c r="L56" s="91"/>
      <c r="M56" s="1411"/>
      <c r="N56" s="14"/>
    </row>
    <row r="57" spans="1:14" ht="29.25" customHeight="1" x14ac:dyDescent="0.2">
      <c r="A57" s="169"/>
      <c r="B57" s="164"/>
      <c r="C57" s="171"/>
      <c r="D57" s="1373" t="s">
        <v>275</v>
      </c>
      <c r="E57" s="168" t="s">
        <v>274</v>
      </c>
      <c r="F57" s="1375" t="s">
        <v>134</v>
      </c>
      <c r="G57" s="1451">
        <v>35.299999999999997</v>
      </c>
      <c r="H57" s="1350">
        <v>32.4</v>
      </c>
      <c r="I57" s="1452">
        <v>53</v>
      </c>
      <c r="J57" s="999" t="s">
        <v>276</v>
      </c>
      <c r="K57" s="13">
        <v>74</v>
      </c>
      <c r="L57" s="90">
        <v>96</v>
      </c>
      <c r="M57" s="126">
        <v>65</v>
      </c>
      <c r="N57" s="14"/>
    </row>
    <row r="58" spans="1:14" ht="40.5" customHeight="1" x14ac:dyDescent="0.2">
      <c r="A58" s="169"/>
      <c r="B58" s="164"/>
      <c r="C58" s="171"/>
      <c r="D58" s="76" t="s">
        <v>508</v>
      </c>
      <c r="E58" s="139" t="s">
        <v>274</v>
      </c>
      <c r="F58" s="1375" t="s">
        <v>134</v>
      </c>
      <c r="G58" s="1451">
        <v>43.9</v>
      </c>
      <c r="H58" s="1350"/>
      <c r="I58" s="1452"/>
      <c r="J58" s="1362" t="s">
        <v>302</v>
      </c>
      <c r="K58" s="2">
        <v>33</v>
      </c>
      <c r="L58" s="91"/>
      <c r="M58" s="1411"/>
      <c r="N58" s="14"/>
    </row>
    <row r="59" spans="1:14" ht="28.5" customHeight="1" thickBot="1" x14ac:dyDescent="0.25">
      <c r="A59" s="169"/>
      <c r="B59" s="164"/>
      <c r="C59" s="171"/>
      <c r="D59" s="1368" t="s">
        <v>277</v>
      </c>
      <c r="E59" s="139" t="s">
        <v>274</v>
      </c>
      <c r="F59" s="1375" t="s">
        <v>134</v>
      </c>
      <c r="G59" s="1451">
        <v>31.6</v>
      </c>
      <c r="H59" s="1350"/>
      <c r="I59" s="1452"/>
      <c r="J59" s="1386" t="s">
        <v>297</v>
      </c>
      <c r="K59" s="71">
        <v>2</v>
      </c>
      <c r="L59" s="1395"/>
      <c r="M59" s="1396"/>
      <c r="N59" s="14"/>
    </row>
    <row r="60" spans="1:14" ht="17.25" customHeight="1" x14ac:dyDescent="0.2">
      <c r="A60" s="169"/>
      <c r="B60" s="164"/>
      <c r="C60" s="171"/>
      <c r="D60" s="1537" t="s">
        <v>198</v>
      </c>
      <c r="E60" s="144" t="s">
        <v>258</v>
      </c>
      <c r="F60" s="1375" t="s">
        <v>134</v>
      </c>
      <c r="G60" s="1228">
        <v>433.9</v>
      </c>
      <c r="H60" s="1350">
        <v>433.9</v>
      </c>
      <c r="I60" s="1450">
        <v>433.9</v>
      </c>
      <c r="J60" s="148" t="s">
        <v>168</v>
      </c>
      <c r="K60" s="11">
        <v>10000</v>
      </c>
      <c r="L60" s="1394">
        <v>10000</v>
      </c>
      <c r="M60" s="1363">
        <v>10000</v>
      </c>
      <c r="N60" s="14"/>
    </row>
    <row r="61" spans="1:14" ht="26.25" customHeight="1" x14ac:dyDescent="0.2">
      <c r="A61" s="169"/>
      <c r="B61" s="164"/>
      <c r="C61" s="171"/>
      <c r="D61" s="1616"/>
      <c r="E61" s="139" t="s">
        <v>269</v>
      </c>
      <c r="F61" s="1375" t="s">
        <v>219</v>
      </c>
      <c r="G61" s="1451">
        <v>884.5</v>
      </c>
      <c r="H61" s="1350">
        <v>884.5</v>
      </c>
      <c r="I61" s="1452">
        <v>884.5</v>
      </c>
      <c r="J61" s="999" t="s">
        <v>145</v>
      </c>
      <c r="K61" s="13">
        <v>1</v>
      </c>
      <c r="L61" s="90">
        <v>1</v>
      </c>
      <c r="M61" s="126"/>
      <c r="N61" s="14"/>
    </row>
    <row r="62" spans="1:14" ht="20.25" customHeight="1" thickBot="1" x14ac:dyDescent="0.25">
      <c r="A62" s="169"/>
      <c r="B62" s="164"/>
      <c r="C62" s="171"/>
      <c r="D62" s="1616"/>
      <c r="E62" s="139" t="s">
        <v>270</v>
      </c>
      <c r="F62" s="1375" t="s">
        <v>220</v>
      </c>
      <c r="G62" s="1451">
        <v>18</v>
      </c>
      <c r="H62" s="1350">
        <v>18</v>
      </c>
      <c r="I62" s="1452">
        <v>18</v>
      </c>
      <c r="J62" s="1369" t="s">
        <v>227</v>
      </c>
      <c r="K62" s="12">
        <v>1</v>
      </c>
      <c r="L62" s="1360">
        <v>1</v>
      </c>
      <c r="M62" s="126"/>
      <c r="N62" s="14"/>
    </row>
    <row r="63" spans="1:14" ht="16.149999999999999" customHeight="1" x14ac:dyDescent="0.2">
      <c r="A63" s="175"/>
      <c r="B63" s="167"/>
      <c r="C63" s="165"/>
      <c r="D63" s="1537" t="s">
        <v>87</v>
      </c>
      <c r="E63" s="139" t="s">
        <v>269</v>
      </c>
      <c r="F63" s="1581" t="s">
        <v>134</v>
      </c>
      <c r="G63" s="1660">
        <v>673</v>
      </c>
      <c r="H63" s="1583">
        <v>673</v>
      </c>
      <c r="I63" s="1579">
        <v>673</v>
      </c>
      <c r="J63" s="534" t="s">
        <v>71</v>
      </c>
      <c r="K63" s="136">
        <v>77</v>
      </c>
      <c r="L63" s="124">
        <v>77</v>
      </c>
      <c r="M63" s="146">
        <v>77</v>
      </c>
      <c r="N63" s="14"/>
    </row>
    <row r="64" spans="1:14" ht="16.149999999999999" customHeight="1" x14ac:dyDescent="0.2">
      <c r="A64" s="175"/>
      <c r="B64" s="167"/>
      <c r="C64" s="165"/>
      <c r="D64" s="1616"/>
      <c r="E64" s="139" t="s">
        <v>270</v>
      </c>
      <c r="F64" s="1581"/>
      <c r="G64" s="1660"/>
      <c r="H64" s="1583"/>
      <c r="I64" s="1579"/>
      <c r="J64" s="96" t="s">
        <v>168</v>
      </c>
      <c r="K64" s="223">
        <v>150</v>
      </c>
      <c r="L64" s="91">
        <v>160</v>
      </c>
      <c r="M64" s="1411">
        <v>160</v>
      </c>
      <c r="N64" s="14"/>
    </row>
    <row r="65" spans="1:14" ht="15.6" customHeight="1" x14ac:dyDescent="0.2">
      <c r="A65" s="175"/>
      <c r="B65" s="167"/>
      <c r="C65" s="165"/>
      <c r="D65" s="1616"/>
      <c r="E65" s="283"/>
      <c r="F65" s="1375" t="s">
        <v>219</v>
      </c>
      <c r="G65" s="1451">
        <v>247</v>
      </c>
      <c r="H65" s="1350">
        <v>247</v>
      </c>
      <c r="I65" s="1450">
        <v>247</v>
      </c>
      <c r="J65" s="1546" t="s">
        <v>303</v>
      </c>
      <c r="K65" s="85">
        <v>2</v>
      </c>
      <c r="L65" s="1395"/>
      <c r="M65" s="1396"/>
      <c r="N65" s="14"/>
    </row>
    <row r="66" spans="1:14" ht="13.5" customHeight="1" x14ac:dyDescent="0.2">
      <c r="A66" s="175"/>
      <c r="B66" s="167"/>
      <c r="C66" s="165"/>
      <c r="D66" s="1616"/>
      <c r="E66" s="283"/>
      <c r="F66" s="1375" t="s">
        <v>220</v>
      </c>
      <c r="G66" s="1451">
        <v>39.6</v>
      </c>
      <c r="H66" s="1350">
        <v>39.6</v>
      </c>
      <c r="I66" s="1452">
        <v>39.6</v>
      </c>
      <c r="J66" s="1564"/>
      <c r="K66" s="223"/>
      <c r="L66" s="91"/>
      <c r="M66" s="1411"/>
      <c r="N66" s="14"/>
    </row>
    <row r="67" spans="1:14" ht="27" customHeight="1" thickBot="1" x14ac:dyDescent="0.25">
      <c r="A67" s="175"/>
      <c r="B67" s="167"/>
      <c r="C67" s="165"/>
      <c r="D67" s="1658"/>
      <c r="E67" s="283"/>
      <c r="F67" s="1375"/>
      <c r="G67" s="1451"/>
      <c r="H67" s="1350"/>
      <c r="I67" s="1452"/>
      <c r="J67" s="852" t="s">
        <v>305</v>
      </c>
      <c r="K67" s="1023">
        <v>0.1</v>
      </c>
      <c r="L67" s="89"/>
      <c r="M67" s="731"/>
      <c r="N67" s="14"/>
    </row>
    <row r="68" spans="1:14" ht="41.25" customHeight="1" x14ac:dyDescent="0.2">
      <c r="A68" s="175"/>
      <c r="B68" s="167"/>
      <c r="C68" s="165"/>
      <c r="D68" s="1370" t="s">
        <v>88</v>
      </c>
      <c r="E68" s="139" t="s">
        <v>269</v>
      </c>
      <c r="F68" s="1375" t="s">
        <v>134</v>
      </c>
      <c r="G68" s="1451">
        <v>298.3</v>
      </c>
      <c r="H68" s="1350">
        <v>298.3</v>
      </c>
      <c r="I68" s="1450">
        <v>298.3</v>
      </c>
      <c r="J68" s="96" t="s">
        <v>177</v>
      </c>
      <c r="K68" s="2">
        <v>2100</v>
      </c>
      <c r="L68" s="91">
        <v>2190</v>
      </c>
      <c r="M68" s="1411">
        <v>2190</v>
      </c>
      <c r="N68" s="14"/>
    </row>
    <row r="69" spans="1:14" ht="38.25" customHeight="1" x14ac:dyDescent="0.2">
      <c r="A69" s="175"/>
      <c r="B69" s="167"/>
      <c r="C69" s="165"/>
      <c r="D69" s="1370"/>
      <c r="E69" s="964"/>
      <c r="F69" s="1375" t="s">
        <v>220</v>
      </c>
      <c r="G69" s="1451">
        <v>30</v>
      </c>
      <c r="H69" s="1350">
        <v>30</v>
      </c>
      <c r="I69" s="1452">
        <v>30</v>
      </c>
      <c r="J69" s="93" t="s">
        <v>306</v>
      </c>
      <c r="K69" s="71">
        <v>85</v>
      </c>
      <c r="L69" s="1395">
        <v>90</v>
      </c>
      <c r="M69" s="1396">
        <v>90</v>
      </c>
      <c r="N69" s="14"/>
    </row>
    <row r="70" spans="1:14" ht="30" customHeight="1" thickBot="1" x14ac:dyDescent="0.25">
      <c r="A70" s="175"/>
      <c r="B70" s="167"/>
      <c r="C70" s="165"/>
      <c r="D70" s="1370"/>
      <c r="E70" s="145"/>
      <c r="F70" s="1375"/>
      <c r="G70" s="1228"/>
      <c r="H70" s="1350"/>
      <c r="I70" s="1452"/>
      <c r="J70" s="125" t="s">
        <v>73</v>
      </c>
      <c r="K70" s="1">
        <v>12500</v>
      </c>
      <c r="L70" s="1359">
        <v>12000</v>
      </c>
      <c r="M70" s="1404">
        <v>12000</v>
      </c>
      <c r="N70" s="14"/>
    </row>
    <row r="71" spans="1:14" ht="30.75" customHeight="1" x14ac:dyDescent="0.2">
      <c r="A71" s="157"/>
      <c r="B71" s="167"/>
      <c r="C71" s="165"/>
      <c r="D71" s="1537" t="s">
        <v>105</v>
      </c>
      <c r="E71" s="1401" t="s">
        <v>291</v>
      </c>
      <c r="F71" s="1581" t="s">
        <v>134</v>
      </c>
      <c r="G71" s="1582">
        <v>9.9</v>
      </c>
      <c r="H71" s="1583">
        <v>9.9</v>
      </c>
      <c r="I71" s="1659">
        <v>9.9</v>
      </c>
      <c r="J71" s="534" t="s">
        <v>307</v>
      </c>
      <c r="K71" s="48">
        <v>50</v>
      </c>
      <c r="L71" s="124">
        <v>50</v>
      </c>
      <c r="M71" s="146">
        <v>50</v>
      </c>
      <c r="N71" s="14"/>
    </row>
    <row r="72" spans="1:14" ht="30.75" customHeight="1" thickBot="1" x14ac:dyDescent="0.25">
      <c r="A72" s="157"/>
      <c r="B72" s="167"/>
      <c r="C72" s="165"/>
      <c r="D72" s="1658"/>
      <c r="E72" s="1402" t="s">
        <v>270</v>
      </c>
      <c r="F72" s="1581"/>
      <c r="G72" s="1582"/>
      <c r="H72" s="1583"/>
      <c r="I72" s="1659"/>
      <c r="J72" s="96" t="s">
        <v>146</v>
      </c>
      <c r="K72" s="2">
        <v>34</v>
      </c>
      <c r="L72" s="91">
        <v>34</v>
      </c>
      <c r="M72" s="1411">
        <v>34</v>
      </c>
      <c r="N72" s="14"/>
    </row>
    <row r="73" spans="1:14" ht="42" customHeight="1" x14ac:dyDescent="0.2">
      <c r="A73" s="157"/>
      <c r="B73" s="167"/>
      <c r="C73" s="165"/>
      <c r="D73" s="1387" t="s">
        <v>496</v>
      </c>
      <c r="E73" s="1377" t="s">
        <v>270</v>
      </c>
      <c r="F73" s="1375"/>
      <c r="G73" s="1451"/>
      <c r="H73" s="1350"/>
      <c r="I73" s="1452"/>
      <c r="J73" s="532" t="s">
        <v>72</v>
      </c>
      <c r="K73" s="48">
        <v>190</v>
      </c>
      <c r="L73" s="124">
        <v>210</v>
      </c>
      <c r="M73" s="146"/>
      <c r="N73" s="14"/>
    </row>
    <row r="74" spans="1:14" ht="18.75" customHeight="1" x14ac:dyDescent="0.2">
      <c r="A74" s="157"/>
      <c r="B74" s="167"/>
      <c r="C74" s="165"/>
      <c r="D74" s="1372" t="s">
        <v>137</v>
      </c>
      <c r="E74" s="1656" t="s">
        <v>326</v>
      </c>
      <c r="F74" s="1375" t="s">
        <v>134</v>
      </c>
      <c r="G74" s="1451">
        <v>135.4</v>
      </c>
      <c r="H74" s="1350">
        <v>148.69999999999999</v>
      </c>
      <c r="I74" s="1452">
        <v>159.80000000000001</v>
      </c>
      <c r="J74" s="999" t="s">
        <v>70</v>
      </c>
      <c r="K74" s="13">
        <v>2</v>
      </c>
      <c r="L74" s="90">
        <v>2</v>
      </c>
      <c r="M74" s="126">
        <v>1</v>
      </c>
      <c r="N74" s="14"/>
    </row>
    <row r="75" spans="1:14" ht="18.75" customHeight="1" x14ac:dyDescent="0.2">
      <c r="A75" s="157"/>
      <c r="B75" s="167"/>
      <c r="C75" s="165"/>
      <c r="D75" s="1373"/>
      <c r="E75" s="1657"/>
      <c r="F75" s="1375"/>
      <c r="G75" s="1228"/>
      <c r="H75" s="1350"/>
      <c r="I75" s="1452"/>
      <c r="J75" s="999" t="s">
        <v>72</v>
      </c>
      <c r="K75" s="2">
        <v>169</v>
      </c>
      <c r="L75" s="91">
        <v>199</v>
      </c>
      <c r="M75" s="1411">
        <v>199</v>
      </c>
      <c r="N75" s="14"/>
    </row>
    <row r="76" spans="1:14" ht="36.75" customHeight="1" thickBot="1" x14ac:dyDescent="0.25">
      <c r="A76" s="157"/>
      <c r="B76" s="167"/>
      <c r="C76" s="165"/>
      <c r="D76" s="1368" t="s">
        <v>75</v>
      </c>
      <c r="E76" s="139" t="s">
        <v>327</v>
      </c>
      <c r="F76" s="1375" t="s">
        <v>134</v>
      </c>
      <c r="G76" s="1451"/>
      <c r="H76" s="1350">
        <v>26.5</v>
      </c>
      <c r="I76" s="1452"/>
      <c r="J76" s="1362" t="s">
        <v>70</v>
      </c>
      <c r="K76" s="71"/>
      <c r="L76" s="1395">
        <v>1</v>
      </c>
      <c r="M76" s="1396"/>
      <c r="N76" s="14"/>
    </row>
    <row r="77" spans="1:14" ht="29.25" customHeight="1" x14ac:dyDescent="0.2">
      <c r="A77" s="157"/>
      <c r="B77" s="167"/>
      <c r="C77" s="177"/>
      <c r="D77" s="46" t="s">
        <v>143</v>
      </c>
      <c r="E77" s="144" t="s">
        <v>269</v>
      </c>
      <c r="F77" s="1375" t="s">
        <v>134</v>
      </c>
      <c r="G77" s="1451">
        <v>100.5</v>
      </c>
      <c r="H77" s="1350">
        <v>132.30000000000001</v>
      </c>
      <c r="I77" s="1452">
        <v>157.19999999999999</v>
      </c>
      <c r="J77" s="532" t="s">
        <v>72</v>
      </c>
      <c r="K77" s="48">
        <v>240</v>
      </c>
      <c r="L77" s="124">
        <v>310</v>
      </c>
      <c r="M77" s="146">
        <v>340</v>
      </c>
      <c r="N77" s="14"/>
    </row>
    <row r="78" spans="1:14" ht="15.75" customHeight="1" x14ac:dyDescent="0.2">
      <c r="A78" s="157"/>
      <c r="B78" s="167"/>
      <c r="C78" s="165"/>
      <c r="D78" s="1562" t="s">
        <v>155</v>
      </c>
      <c r="E78" s="139"/>
      <c r="F78" s="1375"/>
      <c r="G78" s="1228"/>
      <c r="H78" s="1350"/>
      <c r="I78" s="1450"/>
      <c r="J78" s="1546" t="s">
        <v>122</v>
      </c>
      <c r="K78" s="1567">
        <v>12</v>
      </c>
      <c r="L78" s="1569">
        <v>14</v>
      </c>
      <c r="M78" s="1571">
        <v>16</v>
      </c>
      <c r="N78" s="14"/>
    </row>
    <row r="79" spans="1:14" ht="15.75" customHeight="1" thickBot="1" x14ac:dyDescent="0.25">
      <c r="A79" s="157"/>
      <c r="B79" s="167"/>
      <c r="C79" s="165"/>
      <c r="D79" s="1562"/>
      <c r="E79" s="139"/>
      <c r="F79" s="1375"/>
      <c r="G79" s="1228"/>
      <c r="H79" s="1350"/>
      <c r="I79" s="1450"/>
      <c r="J79" s="1560"/>
      <c r="K79" s="1568"/>
      <c r="L79" s="1570"/>
      <c r="M79" s="1572"/>
      <c r="N79" s="14"/>
    </row>
    <row r="80" spans="1:14" ht="29.25" customHeight="1" x14ac:dyDescent="0.2">
      <c r="A80" s="157"/>
      <c r="B80" s="167"/>
      <c r="C80" s="165"/>
      <c r="D80" s="1555" t="s">
        <v>531</v>
      </c>
      <c r="E80" s="166" t="s">
        <v>290</v>
      </c>
      <c r="F80" s="1375" t="s">
        <v>134</v>
      </c>
      <c r="G80" s="1451">
        <v>219.3</v>
      </c>
      <c r="H80" s="1350">
        <v>306.8</v>
      </c>
      <c r="I80" s="1452">
        <v>275.89999999999998</v>
      </c>
      <c r="J80" s="93" t="s">
        <v>106</v>
      </c>
      <c r="K80" s="1013">
        <v>8.8699999999999992</v>
      </c>
      <c r="L80" s="135">
        <v>12.1</v>
      </c>
      <c r="M80" s="147">
        <v>13.39</v>
      </c>
      <c r="N80" s="14"/>
    </row>
    <row r="81" spans="1:18" ht="29.25" customHeight="1" x14ac:dyDescent="0.2">
      <c r="A81" s="157"/>
      <c r="B81" s="167"/>
      <c r="C81" s="165"/>
      <c r="D81" s="1562"/>
      <c r="E81" s="139" t="s">
        <v>270</v>
      </c>
      <c r="F81" s="1375"/>
      <c r="G81" s="1228"/>
      <c r="H81" s="1350"/>
      <c r="I81" s="1452"/>
      <c r="J81" s="93" t="s">
        <v>316</v>
      </c>
      <c r="K81" s="71">
        <v>3</v>
      </c>
      <c r="L81" s="1395">
        <v>3</v>
      </c>
      <c r="M81" s="1411"/>
      <c r="N81" s="14"/>
    </row>
    <row r="82" spans="1:18" ht="27" customHeight="1" thickBot="1" x14ac:dyDescent="0.25">
      <c r="A82" s="157"/>
      <c r="B82" s="167"/>
      <c r="C82" s="165"/>
      <c r="D82" s="1556"/>
      <c r="E82" s="1015" t="s">
        <v>147</v>
      </c>
      <c r="F82" s="1375"/>
      <c r="G82" s="1228"/>
      <c r="H82" s="1350"/>
      <c r="I82" s="1452"/>
      <c r="J82" s="852" t="s">
        <v>501</v>
      </c>
      <c r="K82" s="1">
        <v>735</v>
      </c>
      <c r="L82" s="1359">
        <v>720</v>
      </c>
      <c r="M82" s="1404">
        <v>720</v>
      </c>
      <c r="N82" s="14"/>
    </row>
    <row r="83" spans="1:18" ht="53.25" customHeight="1" x14ac:dyDescent="0.2">
      <c r="A83" s="172"/>
      <c r="B83" s="164"/>
      <c r="C83" s="171"/>
      <c r="D83" s="1365" t="s">
        <v>53</v>
      </c>
      <c r="E83" s="144" t="s">
        <v>269</v>
      </c>
      <c r="F83" s="1375" t="s">
        <v>134</v>
      </c>
      <c r="G83" s="1451">
        <v>460.6</v>
      </c>
      <c r="H83" s="1350">
        <v>511.4</v>
      </c>
      <c r="I83" s="1458">
        <v>571.4</v>
      </c>
      <c r="J83" s="148" t="s">
        <v>89</v>
      </c>
      <c r="K83" s="11">
        <v>300</v>
      </c>
      <c r="L83" s="1394">
        <v>350</v>
      </c>
      <c r="M83" s="146">
        <v>400</v>
      </c>
      <c r="N83" s="14"/>
    </row>
    <row r="84" spans="1:18" ht="27.75" customHeight="1" thickBot="1" x14ac:dyDescent="0.25">
      <c r="A84" s="172"/>
      <c r="B84" s="164"/>
      <c r="C84" s="171"/>
      <c r="D84" s="1366"/>
      <c r="E84" s="139"/>
      <c r="F84" s="1375" t="s">
        <v>219</v>
      </c>
      <c r="G84" s="1451">
        <v>142.6</v>
      </c>
      <c r="H84" s="1350">
        <v>142.6</v>
      </c>
      <c r="I84" s="1458">
        <v>142.6</v>
      </c>
      <c r="J84" s="1014" t="s">
        <v>142</v>
      </c>
      <c r="K84" s="1">
        <v>8</v>
      </c>
      <c r="L84" s="1359">
        <v>8</v>
      </c>
      <c r="M84" s="1404">
        <v>8</v>
      </c>
      <c r="N84" s="14"/>
    </row>
    <row r="85" spans="1:18" ht="27.75" customHeight="1" x14ac:dyDescent="0.2">
      <c r="A85" s="172"/>
      <c r="B85" s="164"/>
      <c r="C85" s="171"/>
      <c r="D85" s="60" t="s">
        <v>41</v>
      </c>
      <c r="E85" s="139" t="s">
        <v>326</v>
      </c>
      <c r="F85" s="1375" t="s">
        <v>219</v>
      </c>
      <c r="G85" s="1451">
        <v>55.8</v>
      </c>
      <c r="H85" s="1350">
        <v>55.8</v>
      </c>
      <c r="I85" s="1452">
        <v>55.8</v>
      </c>
      <c r="J85" s="532" t="s">
        <v>76</v>
      </c>
      <c r="K85" s="11">
        <v>17</v>
      </c>
      <c r="L85" s="1394">
        <v>17</v>
      </c>
      <c r="M85" s="1363">
        <v>17</v>
      </c>
      <c r="N85" s="14"/>
    </row>
    <row r="86" spans="1:18" ht="18.75" customHeight="1" x14ac:dyDescent="0.2">
      <c r="A86" s="172"/>
      <c r="B86" s="164"/>
      <c r="C86" s="165"/>
      <c r="D86" s="1372" t="s">
        <v>67</v>
      </c>
      <c r="E86" s="139" t="s">
        <v>269</v>
      </c>
      <c r="F86" s="1375" t="s">
        <v>134</v>
      </c>
      <c r="G86" s="1451">
        <v>397.5</v>
      </c>
      <c r="H86" s="1350">
        <v>397.5</v>
      </c>
      <c r="I86" s="1452">
        <v>397.5</v>
      </c>
      <c r="J86" s="93" t="s">
        <v>71</v>
      </c>
      <c r="K86" s="13">
        <v>1215</v>
      </c>
      <c r="L86" s="90">
        <v>1215</v>
      </c>
      <c r="M86" s="126">
        <v>1215</v>
      </c>
      <c r="N86" s="14"/>
    </row>
    <row r="87" spans="1:18" ht="69" customHeight="1" x14ac:dyDescent="0.2">
      <c r="A87" s="172"/>
      <c r="B87" s="164"/>
      <c r="C87" s="165"/>
      <c r="D87" s="41" t="s">
        <v>78</v>
      </c>
      <c r="E87" s="648" t="s">
        <v>269</v>
      </c>
      <c r="F87" s="1375" t="s">
        <v>134</v>
      </c>
      <c r="G87" s="1451">
        <v>55.4</v>
      </c>
      <c r="H87" s="1350">
        <v>55.4</v>
      </c>
      <c r="I87" s="1452">
        <v>55.4</v>
      </c>
      <c r="J87" s="93" t="s">
        <v>308</v>
      </c>
      <c r="K87" s="13">
        <v>7950</v>
      </c>
      <c r="L87" s="90">
        <v>7950</v>
      </c>
      <c r="M87" s="126">
        <v>7950</v>
      </c>
    </row>
    <row r="88" spans="1:18" ht="56.65" customHeight="1" x14ac:dyDescent="0.2">
      <c r="A88" s="172"/>
      <c r="B88" s="164"/>
      <c r="C88" s="165"/>
      <c r="D88" s="1561" t="s">
        <v>228</v>
      </c>
      <c r="E88" s="1377" t="s">
        <v>269</v>
      </c>
      <c r="F88" s="1375" t="s">
        <v>134</v>
      </c>
      <c r="G88" s="1451">
        <v>185.5</v>
      </c>
      <c r="H88" s="1350">
        <v>183.4</v>
      </c>
      <c r="I88" s="1452">
        <v>183.4</v>
      </c>
      <c r="J88" s="96" t="s">
        <v>180</v>
      </c>
      <c r="K88" s="2">
        <v>36</v>
      </c>
      <c r="L88" s="91">
        <v>36</v>
      </c>
      <c r="M88" s="1411">
        <v>36</v>
      </c>
    </row>
    <row r="89" spans="1:18" ht="43.5" customHeight="1" x14ac:dyDescent="0.2">
      <c r="A89" s="172"/>
      <c r="B89" s="164"/>
      <c r="C89" s="165"/>
      <c r="D89" s="1563"/>
      <c r="E89" s="321" t="s">
        <v>270</v>
      </c>
      <c r="F89" s="1375"/>
      <c r="G89" s="1228"/>
      <c r="H89" s="1350"/>
      <c r="I89" s="1452"/>
      <c r="J89" s="125" t="s">
        <v>181</v>
      </c>
      <c r="K89" s="1">
        <v>20</v>
      </c>
      <c r="L89" s="1359">
        <v>20</v>
      </c>
      <c r="M89" s="1404">
        <v>20</v>
      </c>
    </row>
    <row r="90" spans="1:18" ht="40.5" customHeight="1" x14ac:dyDescent="0.2">
      <c r="A90" s="172"/>
      <c r="B90" s="164"/>
      <c r="C90" s="165"/>
      <c r="D90" s="1561" t="s">
        <v>279</v>
      </c>
      <c r="E90" s="168" t="s">
        <v>274</v>
      </c>
      <c r="F90" s="1032" t="s">
        <v>134</v>
      </c>
      <c r="G90" s="1459">
        <v>100</v>
      </c>
      <c r="H90" s="1033">
        <v>135</v>
      </c>
      <c r="I90" s="1460">
        <v>135</v>
      </c>
      <c r="J90" s="125" t="s">
        <v>70</v>
      </c>
      <c r="K90" s="1">
        <v>44</v>
      </c>
      <c r="L90" s="1359">
        <v>45</v>
      </c>
      <c r="M90" s="1404">
        <v>45</v>
      </c>
      <c r="N90" s="1652"/>
      <c r="O90" s="1653"/>
    </row>
    <row r="91" spans="1:18" ht="15.6" customHeight="1" thickBot="1" x14ac:dyDescent="0.25">
      <c r="A91" s="181"/>
      <c r="B91" s="182"/>
      <c r="C91" s="183"/>
      <c r="D91" s="1556"/>
      <c r="E91" s="1654" t="s">
        <v>12</v>
      </c>
      <c r="F91" s="1655"/>
      <c r="G91" s="36">
        <f>SUM(G15:G21)</f>
        <v>119344.99999999999</v>
      </c>
      <c r="H91" s="108">
        <f>SUM(H15:H21)</f>
        <v>119027</v>
      </c>
      <c r="I91" s="106">
        <f>SUM(I15:I21)</f>
        <v>118000.40000000001</v>
      </c>
      <c r="J91" s="852"/>
      <c r="K91" s="12"/>
      <c r="L91" s="1360"/>
      <c r="M91" s="1364"/>
    </row>
    <row r="92" spans="1:18" ht="15" customHeight="1" x14ac:dyDescent="0.2">
      <c r="A92" s="184" t="s">
        <v>10</v>
      </c>
      <c r="B92" s="185" t="s">
        <v>10</v>
      </c>
      <c r="C92" s="162" t="s">
        <v>13</v>
      </c>
      <c r="D92" s="1537" t="s">
        <v>54</v>
      </c>
      <c r="E92" s="144"/>
      <c r="F92" s="412" t="s">
        <v>11</v>
      </c>
      <c r="G92" s="179">
        <v>150</v>
      </c>
      <c r="H92" s="142">
        <v>170</v>
      </c>
      <c r="I92" s="143">
        <v>200</v>
      </c>
      <c r="J92" s="148"/>
      <c r="K92" s="11"/>
      <c r="L92" s="1394"/>
      <c r="M92" s="1363"/>
    </row>
    <row r="93" spans="1:18" ht="17.25" customHeight="1" x14ac:dyDescent="0.2">
      <c r="A93" s="172"/>
      <c r="B93" s="164"/>
      <c r="C93" s="171"/>
      <c r="D93" s="1538"/>
      <c r="E93" s="139"/>
      <c r="F93" s="1417" t="s">
        <v>14</v>
      </c>
      <c r="G93" s="1191">
        <v>1454.5</v>
      </c>
      <c r="H93" s="1353">
        <v>1454.5</v>
      </c>
      <c r="I93" s="1398">
        <v>1454.5</v>
      </c>
      <c r="J93" s="54"/>
      <c r="K93" s="71"/>
      <c r="L93" s="1395"/>
      <c r="M93" s="1396"/>
      <c r="N93" s="1030"/>
      <c r="O93" s="1030" t="s">
        <v>14</v>
      </c>
      <c r="P93" s="1031">
        <f>G94+G98</f>
        <v>1454.5</v>
      </c>
      <c r="Q93" s="1031">
        <f>H94+H98</f>
        <v>1454.5</v>
      </c>
      <c r="R93" s="1031">
        <f>I94+I98</f>
        <v>1454.5</v>
      </c>
    </row>
    <row r="94" spans="1:18" ht="29.65" customHeight="1" x14ac:dyDescent="0.2">
      <c r="A94" s="172"/>
      <c r="B94" s="164"/>
      <c r="C94" s="171"/>
      <c r="D94" s="76" t="s">
        <v>336</v>
      </c>
      <c r="E94" s="139" t="s">
        <v>269</v>
      </c>
      <c r="F94" s="1375" t="s">
        <v>219</v>
      </c>
      <c r="G94" s="1451">
        <v>297</v>
      </c>
      <c r="H94" s="1350">
        <v>297</v>
      </c>
      <c r="I94" s="1452">
        <v>297</v>
      </c>
      <c r="J94" s="93" t="s">
        <v>71</v>
      </c>
      <c r="K94" s="13">
        <v>3176</v>
      </c>
      <c r="L94" s="90">
        <v>3100</v>
      </c>
      <c r="M94" s="126">
        <v>3100</v>
      </c>
      <c r="N94" s="1650"/>
      <c r="O94" s="1651"/>
      <c r="P94" s="1651"/>
      <c r="Q94" s="1030"/>
      <c r="R94" s="1030"/>
    </row>
    <row r="95" spans="1:18" ht="16.149999999999999" customHeight="1" x14ac:dyDescent="0.2">
      <c r="A95" s="172"/>
      <c r="B95" s="164"/>
      <c r="C95" s="171"/>
      <c r="D95" s="1561" t="s">
        <v>40</v>
      </c>
      <c r="E95" s="1577" t="s">
        <v>290</v>
      </c>
      <c r="F95" s="1375" t="s">
        <v>134</v>
      </c>
      <c r="G95" s="1451">
        <v>150</v>
      </c>
      <c r="H95" s="1350">
        <v>170</v>
      </c>
      <c r="I95" s="1452">
        <v>200</v>
      </c>
      <c r="J95" s="1546" t="s">
        <v>90</v>
      </c>
      <c r="K95" s="71">
        <v>80</v>
      </c>
      <c r="L95" s="1395">
        <v>90</v>
      </c>
      <c r="M95" s="1396">
        <v>100</v>
      </c>
      <c r="N95" s="1650"/>
      <c r="O95" s="1651"/>
      <c r="P95" s="1651"/>
      <c r="Q95" s="1030"/>
      <c r="R95" s="1030"/>
    </row>
    <row r="96" spans="1:18" ht="9" customHeight="1" x14ac:dyDescent="0.2">
      <c r="A96" s="172"/>
      <c r="B96" s="164"/>
      <c r="C96" s="171"/>
      <c r="D96" s="1562"/>
      <c r="E96" s="1578"/>
      <c r="F96" s="1375"/>
      <c r="G96" s="1451"/>
      <c r="H96" s="1350"/>
      <c r="I96" s="1452"/>
      <c r="J96" s="1547"/>
      <c r="K96" s="71"/>
      <c r="L96" s="1395"/>
      <c r="M96" s="1396"/>
      <c r="N96" s="1030"/>
      <c r="O96" s="1030"/>
      <c r="P96" s="1031">
        <f>+P93+G92</f>
        <v>1604.5</v>
      </c>
      <c r="Q96" s="1031">
        <f>+Q93+H92</f>
        <v>1624.5</v>
      </c>
      <c r="R96" s="1031">
        <f>+R93+I92</f>
        <v>1654.5</v>
      </c>
    </row>
    <row r="97" spans="1:13" ht="16.149999999999999" customHeight="1" x14ac:dyDescent="0.2">
      <c r="A97" s="172"/>
      <c r="B97" s="164"/>
      <c r="C97" s="171"/>
      <c r="D97" s="1368"/>
      <c r="E97" s="1377" t="s">
        <v>270</v>
      </c>
      <c r="F97" s="1375"/>
      <c r="G97" s="1228"/>
      <c r="H97" s="1350"/>
      <c r="I97" s="1374"/>
      <c r="J97" s="1386"/>
      <c r="K97" s="71"/>
      <c r="L97" s="1395"/>
      <c r="M97" s="1396"/>
    </row>
    <row r="98" spans="1:13" ht="15.75" customHeight="1" x14ac:dyDescent="0.2">
      <c r="A98" s="172"/>
      <c r="B98" s="164"/>
      <c r="C98" s="171"/>
      <c r="D98" s="1561" t="s">
        <v>50</v>
      </c>
      <c r="E98" s="1376" t="s">
        <v>269</v>
      </c>
      <c r="F98" s="1375" t="s">
        <v>219</v>
      </c>
      <c r="G98" s="1451">
        <v>1157.5</v>
      </c>
      <c r="H98" s="1350">
        <v>1157.5</v>
      </c>
      <c r="I98" s="1452">
        <v>1157.5</v>
      </c>
      <c r="J98" s="1361" t="s">
        <v>90</v>
      </c>
      <c r="K98" s="1">
        <v>100</v>
      </c>
      <c r="L98" s="1359">
        <v>100</v>
      </c>
      <c r="M98" s="355">
        <v>100</v>
      </c>
    </row>
    <row r="99" spans="1:13" ht="15.75" customHeight="1" x14ac:dyDescent="0.2">
      <c r="A99" s="172"/>
      <c r="B99" s="164"/>
      <c r="C99" s="171"/>
      <c r="D99" s="1562"/>
      <c r="E99" s="139" t="s">
        <v>270</v>
      </c>
      <c r="F99" s="1375"/>
      <c r="G99" s="1228"/>
      <c r="H99" s="1350"/>
      <c r="I99" s="1374"/>
      <c r="J99" s="1546" t="s">
        <v>317</v>
      </c>
      <c r="K99" s="1">
        <v>5800</v>
      </c>
      <c r="L99" s="1359">
        <v>5800</v>
      </c>
      <c r="M99" s="1404">
        <v>5800</v>
      </c>
    </row>
    <row r="100" spans="1:13" ht="15.75" customHeight="1" x14ac:dyDescent="0.2">
      <c r="A100" s="172"/>
      <c r="B100" s="164"/>
      <c r="C100" s="171"/>
      <c r="D100" s="1562"/>
      <c r="E100" s="139"/>
      <c r="F100" s="1032"/>
      <c r="G100" s="1459"/>
      <c r="H100" s="1033"/>
      <c r="I100" s="1460"/>
      <c r="J100" s="1547"/>
      <c r="K100" s="71"/>
      <c r="L100" s="1395"/>
      <c r="M100" s="1396"/>
    </row>
    <row r="101" spans="1:13" ht="15.75" customHeight="1" thickBot="1" x14ac:dyDescent="0.25">
      <c r="A101" s="188"/>
      <c r="B101" s="189"/>
      <c r="C101" s="190"/>
      <c r="D101" s="1556"/>
      <c r="E101" s="1015"/>
      <c r="F101" s="39" t="s">
        <v>12</v>
      </c>
      <c r="G101" s="106">
        <f>SUM(G92:G93)</f>
        <v>1604.5</v>
      </c>
      <c r="H101" s="108">
        <f>SUM(H92:H93)</f>
        <v>1624.5</v>
      </c>
      <c r="I101" s="106">
        <f>SUM(I92:I93)</f>
        <v>1654.5</v>
      </c>
      <c r="J101" s="1560"/>
      <c r="K101" s="12"/>
      <c r="L101" s="1360"/>
      <c r="M101" s="1364"/>
    </row>
    <row r="102" spans="1:13" ht="30.6" customHeight="1" x14ac:dyDescent="0.2">
      <c r="A102" s="184" t="s">
        <v>10</v>
      </c>
      <c r="B102" s="185" t="s">
        <v>10</v>
      </c>
      <c r="C102" s="162" t="s">
        <v>15</v>
      </c>
      <c r="D102" s="1555" t="s">
        <v>44</v>
      </c>
      <c r="E102" s="139" t="s">
        <v>269</v>
      </c>
      <c r="F102" s="1382" t="s">
        <v>11</v>
      </c>
      <c r="G102" s="1641">
        <v>3.9</v>
      </c>
      <c r="H102" s="1644">
        <v>3.9</v>
      </c>
      <c r="I102" s="1647">
        <v>3.9</v>
      </c>
      <c r="J102" s="148" t="s">
        <v>77</v>
      </c>
      <c r="K102" s="11">
        <v>10</v>
      </c>
      <c r="L102" s="1394">
        <v>10</v>
      </c>
      <c r="M102" s="1363">
        <v>10</v>
      </c>
    </row>
    <row r="103" spans="1:13" ht="16.5" customHeight="1" x14ac:dyDescent="0.2">
      <c r="A103" s="172"/>
      <c r="B103" s="164"/>
      <c r="C103" s="171"/>
      <c r="D103" s="1562"/>
      <c r="E103" s="139"/>
      <c r="F103" s="1417"/>
      <c r="G103" s="1642"/>
      <c r="H103" s="1645"/>
      <c r="I103" s="1648"/>
      <c r="J103" s="125" t="s">
        <v>72</v>
      </c>
      <c r="K103" s="13">
        <v>860</v>
      </c>
      <c r="L103" s="90">
        <v>860</v>
      </c>
      <c r="M103" s="126">
        <v>860</v>
      </c>
    </row>
    <row r="104" spans="1:13" ht="38.25" customHeight="1" x14ac:dyDescent="0.2">
      <c r="A104" s="172"/>
      <c r="B104" s="164"/>
      <c r="C104" s="171"/>
      <c r="D104" s="1562"/>
      <c r="E104" s="139"/>
      <c r="F104" s="1417"/>
      <c r="G104" s="1643"/>
      <c r="H104" s="1646"/>
      <c r="I104" s="1649"/>
      <c r="J104" s="1546" t="s">
        <v>323</v>
      </c>
      <c r="K104" s="1567">
        <v>3</v>
      </c>
      <c r="L104" s="1569">
        <v>3</v>
      </c>
      <c r="M104" s="1608">
        <v>3</v>
      </c>
    </row>
    <row r="105" spans="1:13" ht="13.5" thickBot="1" x14ac:dyDescent="0.25">
      <c r="A105" s="188"/>
      <c r="B105" s="182"/>
      <c r="C105" s="190"/>
      <c r="D105" s="1556"/>
      <c r="E105" s="1015"/>
      <c r="F105" s="39" t="s">
        <v>12</v>
      </c>
      <c r="G105" s="305">
        <f t="shared" ref="G105:I105" si="0">G102</f>
        <v>3.9</v>
      </c>
      <c r="H105" s="263">
        <f t="shared" si="0"/>
        <v>3.9</v>
      </c>
      <c r="I105" s="264">
        <f t="shared" si="0"/>
        <v>3.9</v>
      </c>
      <c r="J105" s="1560"/>
      <c r="K105" s="1568"/>
      <c r="L105" s="1570"/>
      <c r="M105" s="1640"/>
    </row>
    <row r="106" spans="1:13" ht="25.5" customHeight="1" x14ac:dyDescent="0.2">
      <c r="A106" s="184" t="s">
        <v>10</v>
      </c>
      <c r="B106" s="185" t="s">
        <v>10</v>
      </c>
      <c r="C106" s="162" t="s">
        <v>17</v>
      </c>
      <c r="D106" s="1555" t="s">
        <v>81</v>
      </c>
      <c r="E106" s="144" t="s">
        <v>269</v>
      </c>
      <c r="F106" s="1382" t="s">
        <v>11</v>
      </c>
      <c r="G106" s="1191">
        <v>53.5</v>
      </c>
      <c r="H106" s="1353">
        <v>56.7</v>
      </c>
      <c r="I106" s="1442">
        <v>60.1</v>
      </c>
      <c r="J106" s="1559" t="s">
        <v>91</v>
      </c>
      <c r="K106" s="11">
        <v>39</v>
      </c>
      <c r="L106" s="1394">
        <v>39</v>
      </c>
      <c r="M106" s="356">
        <v>39</v>
      </c>
    </row>
    <row r="107" spans="1:13" ht="14.25" customHeight="1" thickBot="1" x14ac:dyDescent="0.25">
      <c r="A107" s="188"/>
      <c r="B107" s="189"/>
      <c r="C107" s="190"/>
      <c r="D107" s="1556"/>
      <c r="E107" s="1015"/>
      <c r="F107" s="39" t="s">
        <v>12</v>
      </c>
      <c r="G107" s="106">
        <f t="shared" ref="G107:I107" si="1">SUM(G106)</f>
        <v>53.5</v>
      </c>
      <c r="H107" s="108">
        <f t="shared" si="1"/>
        <v>56.7</v>
      </c>
      <c r="I107" s="111">
        <f t="shared" si="1"/>
        <v>60.1</v>
      </c>
      <c r="J107" s="1560"/>
      <c r="K107" s="12"/>
      <c r="L107" s="1360"/>
      <c r="M107" s="357"/>
    </row>
    <row r="108" spans="1:13" ht="28.9" customHeight="1" x14ac:dyDescent="0.2">
      <c r="A108" s="184" t="s">
        <v>10</v>
      </c>
      <c r="B108" s="185" t="s">
        <v>10</v>
      </c>
      <c r="C108" s="162" t="s">
        <v>18</v>
      </c>
      <c r="D108" s="1555" t="s">
        <v>170</v>
      </c>
      <c r="E108" s="144" t="s">
        <v>269</v>
      </c>
      <c r="F108" s="1382" t="s">
        <v>11</v>
      </c>
      <c r="G108" s="110">
        <v>2.7</v>
      </c>
      <c r="H108" s="1352">
        <v>2.7</v>
      </c>
      <c r="I108" s="143">
        <v>2.7</v>
      </c>
      <c r="J108" s="1559" t="s">
        <v>169</v>
      </c>
      <c r="K108" s="11">
        <v>1</v>
      </c>
      <c r="L108" s="1394">
        <v>1</v>
      </c>
      <c r="M108" s="1363">
        <v>1</v>
      </c>
    </row>
    <row r="109" spans="1:13" ht="15.75" customHeight="1" thickBot="1" x14ac:dyDescent="0.25">
      <c r="A109" s="188"/>
      <c r="B109" s="189"/>
      <c r="C109" s="190"/>
      <c r="D109" s="1556"/>
      <c r="E109" s="1015"/>
      <c r="F109" s="39" t="s">
        <v>12</v>
      </c>
      <c r="G109" s="106">
        <f t="shared" ref="G109:I109" si="2">SUM(G108:G108)</f>
        <v>2.7</v>
      </c>
      <c r="H109" s="108">
        <f t="shared" si="2"/>
        <v>2.7</v>
      </c>
      <c r="I109" s="111">
        <f t="shared" si="2"/>
        <v>2.7</v>
      </c>
      <c r="J109" s="1560"/>
      <c r="K109" s="12"/>
      <c r="L109" s="1360"/>
      <c r="M109" s="1364"/>
    </row>
    <row r="110" spans="1:13" ht="16.899999999999999" customHeight="1" x14ac:dyDescent="0.2">
      <c r="A110" s="184" t="s">
        <v>10</v>
      </c>
      <c r="B110" s="185" t="s">
        <v>10</v>
      </c>
      <c r="C110" s="162" t="s">
        <v>61</v>
      </c>
      <c r="D110" s="1555" t="s">
        <v>86</v>
      </c>
      <c r="E110" s="1016" t="s">
        <v>269</v>
      </c>
      <c r="F110" s="1424" t="s">
        <v>11</v>
      </c>
      <c r="G110" s="153">
        <v>5</v>
      </c>
      <c r="H110" s="152">
        <v>5</v>
      </c>
      <c r="I110" s="143">
        <v>8</v>
      </c>
      <c r="J110" s="1381" t="s">
        <v>70</v>
      </c>
      <c r="K110" s="11">
        <v>89</v>
      </c>
      <c r="L110" s="1394">
        <v>86</v>
      </c>
      <c r="M110" s="1363">
        <v>87</v>
      </c>
    </row>
    <row r="111" spans="1:13" ht="16.149999999999999" customHeight="1" thickBot="1" x14ac:dyDescent="0.25">
      <c r="A111" s="188"/>
      <c r="B111" s="189"/>
      <c r="C111" s="190"/>
      <c r="D111" s="1556"/>
      <c r="E111" s="1017"/>
      <c r="F111" s="39" t="s">
        <v>12</v>
      </c>
      <c r="G111" s="106">
        <f t="shared" ref="G111:I111" si="3">SUM(G110)</f>
        <v>5</v>
      </c>
      <c r="H111" s="108">
        <f t="shared" si="3"/>
        <v>5</v>
      </c>
      <c r="I111" s="111">
        <f t="shared" si="3"/>
        <v>8</v>
      </c>
      <c r="J111" s="1369"/>
      <c r="K111" s="12"/>
      <c r="L111" s="1360"/>
      <c r="M111" s="1364"/>
    </row>
    <row r="112" spans="1:13" ht="13.5" customHeight="1" thickBot="1" x14ac:dyDescent="0.25">
      <c r="A112" s="194" t="s">
        <v>10</v>
      </c>
      <c r="B112" s="195" t="s">
        <v>10</v>
      </c>
      <c r="C112" s="1548" t="s">
        <v>16</v>
      </c>
      <c r="D112" s="1549"/>
      <c r="E112" s="1549"/>
      <c r="F112" s="1550"/>
      <c r="G112" s="196">
        <f>G91+G101+G107+G109+G111+G105</f>
        <v>121014.59999999998</v>
      </c>
      <c r="H112" s="197">
        <f>H91+H101+H107+H109+H111+H105</f>
        <v>120719.79999999999</v>
      </c>
      <c r="I112" s="198">
        <f>I91+I101+I107+I109+I111+I105</f>
        <v>119729.60000000001</v>
      </c>
      <c r="J112" s="1002"/>
      <c r="K112" s="1003"/>
      <c r="L112" s="1003"/>
      <c r="M112" s="1004"/>
    </row>
    <row r="113" spans="1:18" ht="15.75" customHeight="1" thickBot="1" x14ac:dyDescent="0.25">
      <c r="A113" s="194" t="s">
        <v>10</v>
      </c>
      <c r="B113" s="1523" t="s">
        <v>5</v>
      </c>
      <c r="C113" s="1524"/>
      <c r="D113" s="1524"/>
      <c r="E113" s="1524"/>
      <c r="F113" s="1525"/>
      <c r="G113" s="199">
        <f t="shared" ref="G113:I113" si="4">G112</f>
        <v>121014.59999999998</v>
      </c>
      <c r="H113" s="200">
        <f t="shared" si="4"/>
        <v>120719.79999999999</v>
      </c>
      <c r="I113" s="201">
        <f t="shared" si="4"/>
        <v>119729.60000000001</v>
      </c>
      <c r="J113" s="1005"/>
      <c r="K113" s="1006"/>
      <c r="L113" s="1006"/>
      <c r="M113" s="1007"/>
    </row>
    <row r="114" spans="1:18" ht="15.75" customHeight="1" thickBot="1" x14ac:dyDescent="0.25">
      <c r="A114" s="184" t="s">
        <v>13</v>
      </c>
      <c r="B114" s="1629" t="s">
        <v>28</v>
      </c>
      <c r="C114" s="1630"/>
      <c r="D114" s="1630"/>
      <c r="E114" s="1630"/>
      <c r="F114" s="1630"/>
      <c r="G114" s="1006"/>
      <c r="H114" s="1006"/>
      <c r="I114" s="1006"/>
      <c r="J114" s="1006"/>
      <c r="K114" s="1006"/>
      <c r="L114" s="1006"/>
      <c r="M114" s="1007"/>
    </row>
    <row r="115" spans="1:18" ht="15.75" customHeight="1" thickBot="1" x14ac:dyDescent="0.25">
      <c r="A115" s="194" t="s">
        <v>13</v>
      </c>
      <c r="B115" s="204" t="s">
        <v>10</v>
      </c>
      <c r="C115" s="1573" t="s">
        <v>24</v>
      </c>
      <c r="D115" s="1574"/>
      <c r="E115" s="1574"/>
      <c r="F115" s="1574"/>
      <c r="G115" s="1574"/>
      <c r="H115" s="1003"/>
      <c r="I115" s="1003"/>
      <c r="J115" s="1003"/>
      <c r="K115" s="1003"/>
      <c r="L115" s="1003"/>
      <c r="M115" s="1004"/>
    </row>
    <row r="116" spans="1:18" s="205" customFormat="1" ht="14.25" customHeight="1" x14ac:dyDescent="0.2">
      <c r="A116" s="1551" t="s">
        <v>13</v>
      </c>
      <c r="B116" s="1632" t="s">
        <v>10</v>
      </c>
      <c r="C116" s="1635" t="s">
        <v>10</v>
      </c>
      <c r="D116" s="1555" t="s">
        <v>107</v>
      </c>
      <c r="E116" s="1638" t="s">
        <v>144</v>
      </c>
      <c r="F116" s="1619" t="s">
        <v>11</v>
      </c>
      <c r="G116" s="1621">
        <v>56.7</v>
      </c>
      <c r="H116" s="1623">
        <v>71.8</v>
      </c>
      <c r="I116" s="1625">
        <v>71.8</v>
      </c>
      <c r="J116" s="1559" t="s">
        <v>334</v>
      </c>
      <c r="K116" s="1627">
        <v>4</v>
      </c>
      <c r="L116" s="1612">
        <v>4</v>
      </c>
      <c r="M116" s="1614">
        <v>4</v>
      </c>
    </row>
    <row r="117" spans="1:18" s="205" customFormat="1" ht="15" hidden="1" customHeight="1" x14ac:dyDescent="0.2">
      <c r="A117" s="1631"/>
      <c r="B117" s="1633"/>
      <c r="C117" s="1636"/>
      <c r="D117" s="1562"/>
      <c r="E117" s="1578"/>
      <c r="F117" s="1620"/>
      <c r="G117" s="1622"/>
      <c r="H117" s="1624"/>
      <c r="I117" s="1626"/>
      <c r="J117" s="1547"/>
      <c r="K117" s="1628"/>
      <c r="L117" s="1613"/>
      <c r="M117" s="1615"/>
    </row>
    <row r="118" spans="1:18" s="205" customFormat="1" ht="15.6" customHeight="1" x14ac:dyDescent="0.2">
      <c r="A118" s="1631"/>
      <c r="B118" s="1633"/>
      <c r="C118" s="1636"/>
      <c r="D118" s="1562"/>
      <c r="E118" s="1578"/>
      <c r="F118" s="279" t="s">
        <v>63</v>
      </c>
      <c r="G118" s="404">
        <v>15.1</v>
      </c>
      <c r="H118" s="430"/>
      <c r="I118" s="354"/>
      <c r="J118" s="1547"/>
      <c r="K118" s="1628"/>
      <c r="L118" s="1613"/>
      <c r="M118" s="1615"/>
    </row>
    <row r="119" spans="1:18" s="205" customFormat="1" ht="14.65" customHeight="1" thickBot="1" x14ac:dyDescent="0.25">
      <c r="A119" s="1552"/>
      <c r="B119" s="1634"/>
      <c r="C119" s="1637"/>
      <c r="D119" s="1556"/>
      <c r="E119" s="1639"/>
      <c r="F119" s="39" t="s">
        <v>12</v>
      </c>
      <c r="G119" s="106">
        <f>SUM(G116:G118)</f>
        <v>71.8</v>
      </c>
      <c r="H119" s="108">
        <f>SUM(H116:H118)</f>
        <v>71.8</v>
      </c>
      <c r="I119" s="111">
        <f>SUM(I116:I118)</f>
        <v>71.8</v>
      </c>
      <c r="J119" s="1369"/>
      <c r="K119" s="12"/>
      <c r="L119" s="1360"/>
      <c r="M119" s="1364"/>
    </row>
    <row r="120" spans="1:18" ht="15" customHeight="1" x14ac:dyDescent="0.2">
      <c r="A120" s="184" t="s">
        <v>13</v>
      </c>
      <c r="B120" s="185" t="s">
        <v>10</v>
      </c>
      <c r="C120" s="162" t="s">
        <v>13</v>
      </c>
      <c r="D120" s="1537" t="s">
        <v>150</v>
      </c>
      <c r="E120" s="144"/>
      <c r="F120" s="412" t="s">
        <v>11</v>
      </c>
      <c r="G120" s="1461">
        <v>2514</v>
      </c>
      <c r="H120" s="1462">
        <f>6632+200+400</f>
        <v>7232</v>
      </c>
      <c r="I120" s="1463">
        <f>3307.4+200+400</f>
        <v>3907.4</v>
      </c>
      <c r="J120" s="1382"/>
      <c r="K120" s="11"/>
      <c r="L120" s="1394"/>
      <c r="M120" s="1363"/>
    </row>
    <row r="121" spans="1:18" ht="18" customHeight="1" x14ac:dyDescent="0.2">
      <c r="A121" s="172"/>
      <c r="B121" s="164"/>
      <c r="C121" s="171"/>
      <c r="D121" s="1616"/>
      <c r="E121" s="139"/>
      <c r="F121" s="38" t="s">
        <v>14</v>
      </c>
      <c r="G121" s="769">
        <v>256</v>
      </c>
      <c r="H121" s="1211"/>
      <c r="I121" s="771"/>
      <c r="J121" s="1417"/>
      <c r="K121" s="71"/>
      <c r="L121" s="1395"/>
      <c r="M121" s="1396"/>
      <c r="O121" s="1030" t="s">
        <v>11</v>
      </c>
      <c r="P121" s="1031">
        <f>G131+G137+G145+G147+G149+G153+G158+G160+G162+G175</f>
        <v>2514</v>
      </c>
      <c r="Q121" s="1031">
        <f>H134+H137+H145+H147+H153+H156+H158+H160+H165+H171+H177+H178</f>
        <v>7232</v>
      </c>
      <c r="R121" s="1031">
        <f>I137+I145+I153+I158+I160+I171+I177+I178</f>
        <v>3907.4</v>
      </c>
    </row>
    <row r="122" spans="1:18" ht="15.75" customHeight="1" x14ac:dyDescent="0.2">
      <c r="A122" s="172"/>
      <c r="B122" s="164"/>
      <c r="C122" s="171"/>
      <c r="D122" s="1616"/>
      <c r="E122" s="139"/>
      <c r="F122" s="38" t="s">
        <v>63</v>
      </c>
      <c r="G122" s="769">
        <v>6575.9</v>
      </c>
      <c r="H122" s="1211"/>
      <c r="I122" s="771"/>
      <c r="J122" s="1417"/>
      <c r="K122" s="71"/>
      <c r="L122" s="1395"/>
      <c r="M122" s="1396"/>
      <c r="O122" s="1030" t="s">
        <v>14</v>
      </c>
      <c r="P122" s="1031">
        <f>G133+G143</f>
        <v>256</v>
      </c>
      <c r="Q122" s="1031"/>
      <c r="R122" s="1031"/>
    </row>
    <row r="123" spans="1:18" ht="14.25" customHeight="1" x14ac:dyDescent="0.2">
      <c r="A123" s="172"/>
      <c r="B123" s="164"/>
      <c r="C123" s="171"/>
      <c r="D123" s="1036"/>
      <c r="E123" s="139"/>
      <c r="F123" s="38" t="s">
        <v>189</v>
      </c>
      <c r="G123" s="769">
        <v>3395.5</v>
      </c>
      <c r="H123" s="1211"/>
      <c r="I123" s="771"/>
      <c r="J123" s="1417"/>
      <c r="K123" s="71"/>
      <c r="L123" s="1395"/>
      <c r="M123" s="1396"/>
      <c r="O123" s="1030" t="s">
        <v>63</v>
      </c>
      <c r="P123" s="1031">
        <f>G135+G138+G140+G161+G166+G172+G176+G183</f>
        <v>6575.9000000000005</v>
      </c>
      <c r="Q123" s="1031"/>
      <c r="R123" s="1031"/>
    </row>
    <row r="124" spans="1:18" ht="16.5" customHeight="1" x14ac:dyDescent="0.2">
      <c r="A124" s="172"/>
      <c r="B124" s="164"/>
      <c r="C124" s="171"/>
      <c r="D124" s="1036"/>
      <c r="E124" s="139"/>
      <c r="F124" s="38" t="s">
        <v>133</v>
      </c>
      <c r="G124" s="769">
        <v>1.1000000000000001</v>
      </c>
      <c r="H124" s="1211"/>
      <c r="I124" s="771"/>
      <c r="J124" s="1417"/>
      <c r="K124" s="71"/>
      <c r="L124" s="1395"/>
      <c r="M124" s="1396"/>
      <c r="O124" s="1030" t="s">
        <v>189</v>
      </c>
      <c r="P124" s="1031">
        <f>G136</f>
        <v>3395.5</v>
      </c>
      <c r="Q124" s="1031"/>
      <c r="R124" s="1031"/>
    </row>
    <row r="125" spans="1:18" ht="15.75" customHeight="1" x14ac:dyDescent="0.2">
      <c r="A125" s="172"/>
      <c r="B125" s="164"/>
      <c r="C125" s="171"/>
      <c r="D125" s="1036"/>
      <c r="E125" s="139"/>
      <c r="F125" s="38" t="s">
        <v>65</v>
      </c>
      <c r="G125" s="769">
        <v>817.6</v>
      </c>
      <c r="H125" s="1211">
        <v>239.1</v>
      </c>
      <c r="I125" s="771"/>
      <c r="J125" s="1417"/>
      <c r="K125" s="71"/>
      <c r="L125" s="1395"/>
      <c r="M125" s="1396"/>
      <c r="O125" s="1030" t="s">
        <v>133</v>
      </c>
      <c r="P125" s="1031">
        <f>G144</f>
        <v>1.1000000000000001</v>
      </c>
      <c r="Q125" s="1031"/>
      <c r="R125" s="1031"/>
    </row>
    <row r="126" spans="1:18" ht="17.25" customHeight="1" x14ac:dyDescent="0.2">
      <c r="A126" s="172"/>
      <c r="B126" s="164"/>
      <c r="C126" s="171"/>
      <c r="D126" s="1036"/>
      <c r="E126" s="139"/>
      <c r="F126" s="38" t="s">
        <v>132</v>
      </c>
      <c r="G126" s="769">
        <v>41.8</v>
      </c>
      <c r="H126" s="1211"/>
      <c r="I126" s="771"/>
      <c r="J126" s="1417"/>
      <c r="K126" s="71"/>
      <c r="L126" s="1395"/>
      <c r="M126" s="1396"/>
      <c r="O126" s="1030" t="s">
        <v>65</v>
      </c>
      <c r="P126" s="1031">
        <f>G141+G167</f>
        <v>817.6</v>
      </c>
      <c r="Q126" s="1031">
        <f>H167</f>
        <v>239.1</v>
      </c>
      <c r="R126" s="1031"/>
    </row>
    <row r="127" spans="1:18" ht="15.75" customHeight="1" x14ac:dyDescent="0.2">
      <c r="A127" s="172"/>
      <c r="B127" s="164"/>
      <c r="C127" s="171"/>
      <c r="D127" s="1036"/>
      <c r="E127" s="139"/>
      <c r="F127" s="38" t="s">
        <v>271</v>
      </c>
      <c r="G127" s="769"/>
      <c r="H127" s="1211">
        <v>1988</v>
      </c>
      <c r="I127" s="771">
        <v>2322.4</v>
      </c>
      <c r="J127" s="1417"/>
      <c r="K127" s="71"/>
      <c r="L127" s="1395"/>
      <c r="M127" s="1396"/>
      <c r="O127" s="1030" t="s">
        <v>132</v>
      </c>
      <c r="P127" s="1031">
        <f>G142+G184</f>
        <v>41.8</v>
      </c>
      <c r="Q127" s="1031"/>
      <c r="R127" s="1031"/>
    </row>
    <row r="128" spans="1:18" ht="13.5" customHeight="1" x14ac:dyDescent="0.2">
      <c r="A128" s="172"/>
      <c r="B128" s="164"/>
      <c r="C128" s="171"/>
      <c r="D128" s="1036"/>
      <c r="E128" s="139"/>
      <c r="F128" s="38" t="s">
        <v>182</v>
      </c>
      <c r="G128" s="769">
        <v>189.9</v>
      </c>
      <c r="H128" s="1211"/>
      <c r="I128" s="771"/>
      <c r="J128" s="1417"/>
      <c r="K128" s="71"/>
      <c r="L128" s="1395"/>
      <c r="M128" s="1396"/>
      <c r="O128" s="1030" t="s">
        <v>271</v>
      </c>
      <c r="P128" s="1031"/>
      <c r="Q128" s="1031">
        <f>H179</f>
        <v>1988</v>
      </c>
      <c r="R128" s="1031">
        <f>I154+I179</f>
        <v>2322.4</v>
      </c>
    </row>
    <row r="129" spans="1:18" ht="16.5" customHeight="1" x14ac:dyDescent="0.2">
      <c r="A129" s="172"/>
      <c r="B129" s="164"/>
      <c r="C129" s="171"/>
      <c r="D129" s="1036"/>
      <c r="E129" s="139"/>
      <c r="F129" s="1418" t="s">
        <v>3</v>
      </c>
      <c r="G129" s="1037"/>
      <c r="H129" s="1038">
        <v>1343</v>
      </c>
      <c r="I129" s="1464"/>
      <c r="J129" s="1383"/>
      <c r="K129" s="2"/>
      <c r="L129" s="91"/>
      <c r="M129" s="1411"/>
      <c r="O129" s="1030"/>
      <c r="P129" s="1031"/>
      <c r="Q129" s="1031"/>
      <c r="R129" s="1031"/>
    </row>
    <row r="130" spans="1:18" s="67" customFormat="1" ht="43.5" customHeight="1" x14ac:dyDescent="0.2">
      <c r="A130" s="206"/>
      <c r="B130" s="207"/>
      <c r="C130" s="208"/>
      <c r="D130" s="69" t="s">
        <v>92</v>
      </c>
      <c r="E130" s="209"/>
      <c r="F130" s="288"/>
      <c r="G130" s="1465"/>
      <c r="H130" s="289"/>
      <c r="I130" s="1466"/>
      <c r="J130" s="288"/>
      <c r="K130" s="79"/>
      <c r="L130" s="431"/>
      <c r="M130" s="358"/>
      <c r="O130" s="1039" t="s">
        <v>182</v>
      </c>
      <c r="P130" s="1040">
        <f>G139+G146</f>
        <v>189.9</v>
      </c>
      <c r="Q130" s="1040"/>
      <c r="R130" s="1040"/>
    </row>
    <row r="131" spans="1:18" ht="13.5" customHeight="1" x14ac:dyDescent="0.2">
      <c r="A131" s="172"/>
      <c r="B131" s="164"/>
      <c r="C131" s="171"/>
      <c r="D131" s="1561" t="s">
        <v>199</v>
      </c>
      <c r="E131" s="1376" t="s">
        <v>144</v>
      </c>
      <c r="F131" s="1600" t="s">
        <v>134</v>
      </c>
      <c r="G131" s="1617">
        <v>505.5</v>
      </c>
      <c r="H131" s="1618"/>
      <c r="I131" s="1603"/>
      <c r="J131" s="1597" t="s">
        <v>191</v>
      </c>
      <c r="K131" s="457">
        <v>100</v>
      </c>
      <c r="L131" s="1414"/>
      <c r="M131" s="556"/>
      <c r="O131" s="1030" t="s">
        <v>3</v>
      </c>
      <c r="P131" s="1031"/>
      <c r="Q131" s="1031">
        <f>H151+H155+H157</f>
        <v>1343</v>
      </c>
      <c r="R131" s="1031"/>
    </row>
    <row r="132" spans="1:18" ht="12" customHeight="1" x14ac:dyDescent="0.2">
      <c r="A132" s="172"/>
      <c r="B132" s="164"/>
      <c r="C132" s="171"/>
      <c r="D132" s="1562"/>
      <c r="E132" s="1377" t="s">
        <v>2</v>
      </c>
      <c r="F132" s="1600"/>
      <c r="G132" s="1617"/>
      <c r="H132" s="1618"/>
      <c r="I132" s="1603"/>
      <c r="J132" s="1593"/>
      <c r="K132" s="457"/>
      <c r="L132" s="1414"/>
      <c r="M132" s="1025"/>
      <c r="O132" s="1030" t="s">
        <v>527</v>
      </c>
      <c r="P132" s="1031">
        <f>SUM(P121:P131)</f>
        <v>13791.800000000001</v>
      </c>
      <c r="Q132" s="1031">
        <f>SUM(Q121:Q131)</f>
        <v>10802.1</v>
      </c>
      <c r="R132" s="1031">
        <f>SUM(R121:R131)</f>
        <v>6229.8</v>
      </c>
    </row>
    <row r="133" spans="1:18" ht="14.25" customHeight="1" x14ac:dyDescent="0.2">
      <c r="A133" s="172"/>
      <c r="B133" s="164"/>
      <c r="C133" s="171"/>
      <c r="D133" s="1563"/>
      <c r="E133" s="1377" t="s">
        <v>270</v>
      </c>
      <c r="F133" s="1380" t="s">
        <v>219</v>
      </c>
      <c r="G133" s="1228">
        <v>240</v>
      </c>
      <c r="H133" s="1350"/>
      <c r="I133" s="1452"/>
      <c r="J133" s="996"/>
      <c r="K133" s="1024"/>
      <c r="L133" s="95"/>
      <c r="M133" s="647"/>
      <c r="O133" s="1030"/>
      <c r="P133" s="1031">
        <f>P132-G185</f>
        <v>0</v>
      </c>
      <c r="Q133" s="1031">
        <f>Q132-H185</f>
        <v>0</v>
      </c>
      <c r="R133" s="1031">
        <f>R132-I185</f>
        <v>0</v>
      </c>
    </row>
    <row r="134" spans="1:18" ht="12" customHeight="1" x14ac:dyDescent="0.2">
      <c r="A134" s="172"/>
      <c r="B134" s="164"/>
      <c r="C134" s="171"/>
      <c r="D134" s="1561" t="s">
        <v>200</v>
      </c>
      <c r="E134" s="300" t="s">
        <v>144</v>
      </c>
      <c r="F134" s="1043" t="s">
        <v>134</v>
      </c>
      <c r="G134" s="1467"/>
      <c r="H134" s="1044">
        <v>3088.7</v>
      </c>
      <c r="I134" s="1468"/>
      <c r="J134" s="306" t="s">
        <v>191</v>
      </c>
      <c r="K134" s="838">
        <v>80</v>
      </c>
      <c r="L134" s="854">
        <v>100</v>
      </c>
      <c r="M134" s="567"/>
      <c r="O134" s="1030"/>
      <c r="P134" s="1030"/>
      <c r="Q134" s="1030"/>
      <c r="R134" s="1030"/>
    </row>
    <row r="135" spans="1:18" ht="15" customHeight="1" x14ac:dyDescent="0.2">
      <c r="A135" s="172"/>
      <c r="B135" s="164"/>
      <c r="C135" s="171"/>
      <c r="D135" s="1562"/>
      <c r="E135" s="1377" t="s">
        <v>2</v>
      </c>
      <c r="F135" s="1043" t="s">
        <v>221</v>
      </c>
      <c r="G135" s="1467">
        <v>3569.4</v>
      </c>
      <c r="H135" s="1044"/>
      <c r="I135" s="1468"/>
      <c r="J135" s="307"/>
      <c r="K135" s="571"/>
      <c r="L135" s="572"/>
      <c r="M135" s="573"/>
    </row>
    <row r="136" spans="1:18" ht="14.25" customHeight="1" x14ac:dyDescent="0.2">
      <c r="A136" s="172"/>
      <c r="B136" s="164"/>
      <c r="C136" s="171"/>
      <c r="D136" s="1562"/>
      <c r="E136" s="1377" t="s">
        <v>270</v>
      </c>
      <c r="F136" s="1043" t="s">
        <v>528</v>
      </c>
      <c r="G136" s="1467">
        <v>3395.5</v>
      </c>
      <c r="H136" s="1044"/>
      <c r="I136" s="1469"/>
      <c r="J136" s="307"/>
      <c r="K136" s="571"/>
      <c r="L136" s="572"/>
      <c r="M136" s="573"/>
    </row>
    <row r="137" spans="1:18" ht="28.15" customHeight="1" x14ac:dyDescent="0.2">
      <c r="A137" s="172"/>
      <c r="B137" s="164"/>
      <c r="C137" s="165"/>
      <c r="D137" s="1561" t="s">
        <v>539</v>
      </c>
      <c r="E137" s="1376" t="s">
        <v>270</v>
      </c>
      <c r="F137" s="1445" t="s">
        <v>134</v>
      </c>
      <c r="G137" s="1454">
        <f>1080.1+40</f>
        <v>1120.0999999999999</v>
      </c>
      <c r="H137" s="1448">
        <f>590+200</f>
        <v>790</v>
      </c>
      <c r="I137" s="1455">
        <f>820+200</f>
        <v>1020</v>
      </c>
      <c r="J137" s="93" t="s">
        <v>98</v>
      </c>
      <c r="K137" s="13">
        <v>2</v>
      </c>
      <c r="L137" s="90">
        <v>1</v>
      </c>
      <c r="M137" s="126">
        <v>1</v>
      </c>
    </row>
    <row r="138" spans="1:18" ht="20.45" customHeight="1" x14ac:dyDescent="0.2">
      <c r="A138" s="172"/>
      <c r="B138" s="164"/>
      <c r="C138" s="165"/>
      <c r="D138" s="1562"/>
      <c r="E138" s="139" t="s">
        <v>269</v>
      </c>
      <c r="F138" s="1445" t="s">
        <v>221</v>
      </c>
      <c r="G138" s="1454">
        <v>157.4</v>
      </c>
      <c r="H138" s="1045"/>
      <c r="I138" s="1455"/>
      <c r="J138" s="125" t="s">
        <v>183</v>
      </c>
      <c r="K138" s="1">
        <v>5</v>
      </c>
      <c r="L138" s="1359">
        <v>2</v>
      </c>
      <c r="M138" s="1404">
        <v>2</v>
      </c>
    </row>
    <row r="139" spans="1:18" ht="54" customHeight="1" x14ac:dyDescent="0.2">
      <c r="A139" s="172"/>
      <c r="B139" s="164"/>
      <c r="C139" s="165"/>
      <c r="D139" s="1562"/>
      <c r="E139" s="139" t="s">
        <v>2</v>
      </c>
      <c r="F139" s="1445" t="s">
        <v>226</v>
      </c>
      <c r="G139" s="1454">
        <v>89.9</v>
      </c>
      <c r="H139" s="1045"/>
      <c r="I139" s="1455"/>
      <c r="J139" s="54"/>
      <c r="K139" s="71"/>
      <c r="L139" s="1395"/>
      <c r="M139" s="1396"/>
    </row>
    <row r="140" spans="1:18" ht="19.899999999999999" customHeight="1" x14ac:dyDescent="0.2">
      <c r="A140" s="172"/>
      <c r="B140" s="164"/>
      <c r="C140" s="171"/>
      <c r="D140" s="1561" t="s">
        <v>512</v>
      </c>
      <c r="E140" s="1376" t="s">
        <v>144</v>
      </c>
      <c r="F140" s="1380" t="s">
        <v>221</v>
      </c>
      <c r="G140" s="1470">
        <v>43.5</v>
      </c>
      <c r="H140" s="1351"/>
      <c r="I140" s="1471"/>
      <c r="J140" s="1597" t="s">
        <v>318</v>
      </c>
      <c r="K140" s="459">
        <v>5</v>
      </c>
      <c r="L140" s="1409"/>
      <c r="M140" s="673"/>
    </row>
    <row r="141" spans="1:18" ht="19.899999999999999" customHeight="1" x14ac:dyDescent="0.2">
      <c r="A141" s="172"/>
      <c r="B141" s="164"/>
      <c r="C141" s="171"/>
      <c r="D141" s="1562"/>
      <c r="E141" s="1377" t="s">
        <v>2</v>
      </c>
      <c r="F141" s="1380" t="s">
        <v>223</v>
      </c>
      <c r="G141" s="1470">
        <v>177.6</v>
      </c>
      <c r="H141" s="1351"/>
      <c r="I141" s="1471"/>
      <c r="J141" s="1598"/>
      <c r="K141" s="460"/>
      <c r="L141" s="1410"/>
      <c r="M141" s="1411"/>
    </row>
    <row r="142" spans="1:18" ht="19.899999999999999" customHeight="1" x14ac:dyDescent="0.2">
      <c r="A142" s="172"/>
      <c r="B142" s="164"/>
      <c r="C142" s="171"/>
      <c r="D142" s="1562"/>
      <c r="E142" s="1377"/>
      <c r="F142" s="1380" t="s">
        <v>224</v>
      </c>
      <c r="G142" s="1472">
        <v>12</v>
      </c>
      <c r="H142" s="1351"/>
      <c r="I142" s="1471"/>
      <c r="J142" s="310" t="s">
        <v>191</v>
      </c>
      <c r="K142" s="457">
        <v>100</v>
      </c>
      <c r="L142" s="1414"/>
      <c r="M142" s="1415"/>
    </row>
    <row r="143" spans="1:18" ht="19.899999999999999" customHeight="1" x14ac:dyDescent="0.2">
      <c r="A143" s="172"/>
      <c r="B143" s="164"/>
      <c r="C143" s="171"/>
      <c r="D143" s="1562"/>
      <c r="E143" s="1377"/>
      <c r="F143" s="1380" t="s">
        <v>219</v>
      </c>
      <c r="G143" s="1472">
        <v>16</v>
      </c>
      <c r="H143" s="1351"/>
      <c r="I143" s="1471"/>
      <c r="J143" s="310"/>
      <c r="K143" s="457"/>
      <c r="L143" s="1414"/>
      <c r="M143" s="1396"/>
    </row>
    <row r="144" spans="1:18" ht="16.149999999999999" customHeight="1" x14ac:dyDescent="0.2">
      <c r="A144" s="172"/>
      <c r="B144" s="164"/>
      <c r="C144" s="171"/>
      <c r="D144" s="1563"/>
      <c r="E144" s="321"/>
      <c r="F144" s="1380" t="s">
        <v>225</v>
      </c>
      <c r="G144" s="1470">
        <v>1.1000000000000001</v>
      </c>
      <c r="H144" s="1351"/>
      <c r="I144" s="1468"/>
      <c r="J144" s="1379"/>
      <c r="K144" s="460"/>
      <c r="L144" s="1410"/>
      <c r="M144" s="1411"/>
    </row>
    <row r="145" spans="1:16" ht="24.75" customHeight="1" x14ac:dyDescent="0.2">
      <c r="A145" s="172"/>
      <c r="B145" s="164"/>
      <c r="C145" s="171"/>
      <c r="D145" s="1561" t="s">
        <v>513</v>
      </c>
      <c r="E145" s="1376" t="s">
        <v>144</v>
      </c>
      <c r="F145" s="1444" t="s">
        <v>134</v>
      </c>
      <c r="G145" s="1472">
        <v>500</v>
      </c>
      <c r="H145" s="1447">
        <f>300+400</f>
        <v>700</v>
      </c>
      <c r="I145" s="1468">
        <f>300+400</f>
        <v>700</v>
      </c>
      <c r="J145" s="1378" t="s">
        <v>254</v>
      </c>
      <c r="K145" s="459">
        <v>4</v>
      </c>
      <c r="L145" s="1409">
        <v>4</v>
      </c>
      <c r="M145" s="1404">
        <v>4</v>
      </c>
    </row>
    <row r="146" spans="1:16" ht="29.25" customHeight="1" x14ac:dyDescent="0.2">
      <c r="A146" s="172"/>
      <c r="B146" s="164"/>
      <c r="C146" s="171"/>
      <c r="D146" s="1563"/>
      <c r="E146" s="321" t="s">
        <v>269</v>
      </c>
      <c r="F146" s="1444" t="s">
        <v>226</v>
      </c>
      <c r="G146" s="1472">
        <v>100</v>
      </c>
      <c r="H146" s="1042"/>
      <c r="I146" s="1473"/>
      <c r="J146" s="1379"/>
      <c r="K146" s="460"/>
      <c r="L146" s="1410"/>
      <c r="M146" s="1411"/>
    </row>
    <row r="147" spans="1:16" ht="29.25" customHeight="1" x14ac:dyDescent="0.2">
      <c r="A147" s="172"/>
      <c r="B147" s="164"/>
      <c r="C147" s="171"/>
      <c r="D147" s="1561" t="s">
        <v>515</v>
      </c>
      <c r="E147" s="1376" t="s">
        <v>2</v>
      </c>
      <c r="F147" s="1380" t="s">
        <v>134</v>
      </c>
      <c r="G147" s="1472">
        <v>112.9</v>
      </c>
      <c r="H147" s="1046">
        <v>249.5</v>
      </c>
      <c r="I147" s="1473"/>
      <c r="J147" s="1379" t="s">
        <v>39</v>
      </c>
      <c r="K147" s="460">
        <v>1</v>
      </c>
      <c r="L147" s="1410"/>
      <c r="M147" s="1411"/>
    </row>
    <row r="148" spans="1:16" ht="25.9" customHeight="1" x14ac:dyDescent="0.2">
      <c r="A148" s="172"/>
      <c r="B148" s="164"/>
      <c r="C148" s="171"/>
      <c r="D148" s="1563"/>
      <c r="E148" s="321" t="s">
        <v>274</v>
      </c>
      <c r="F148" s="1380"/>
      <c r="G148" s="1474"/>
      <c r="H148" s="1042"/>
      <c r="I148" s="1473"/>
      <c r="J148" s="1379" t="s">
        <v>191</v>
      </c>
      <c r="K148" s="460">
        <v>30</v>
      </c>
      <c r="L148" s="1410">
        <v>100</v>
      </c>
      <c r="M148" s="1411"/>
    </row>
    <row r="149" spans="1:16" ht="15" customHeight="1" x14ac:dyDescent="0.2">
      <c r="A149" s="172"/>
      <c r="B149" s="164"/>
      <c r="C149" s="171"/>
      <c r="D149" s="1561" t="s">
        <v>514</v>
      </c>
      <c r="E149" s="1377" t="s">
        <v>274</v>
      </c>
      <c r="F149" s="1380" t="s">
        <v>134</v>
      </c>
      <c r="G149" s="1472">
        <f>200-100-80</f>
        <v>20</v>
      </c>
      <c r="H149" s="1042"/>
      <c r="I149" s="1473"/>
      <c r="J149" s="1378" t="s">
        <v>191</v>
      </c>
      <c r="K149" s="459">
        <v>100</v>
      </c>
      <c r="L149" s="1409"/>
      <c r="M149" s="1404"/>
    </row>
    <row r="150" spans="1:16" ht="12" customHeight="1" x14ac:dyDescent="0.2">
      <c r="A150" s="172"/>
      <c r="B150" s="164"/>
      <c r="C150" s="171"/>
      <c r="D150" s="1563"/>
      <c r="E150" s="1377"/>
      <c r="F150" s="1380"/>
      <c r="G150" s="1474"/>
      <c r="H150" s="1042"/>
      <c r="I150" s="1473"/>
      <c r="J150" s="1379"/>
      <c r="K150" s="460"/>
      <c r="L150" s="1410"/>
      <c r="M150" s="1411"/>
    </row>
    <row r="151" spans="1:16" ht="28.5" customHeight="1" x14ac:dyDescent="0.2">
      <c r="A151" s="172"/>
      <c r="B151" s="164"/>
      <c r="C151" s="171"/>
      <c r="D151" s="1561" t="s">
        <v>186</v>
      </c>
      <c r="E151" s="1376" t="s">
        <v>187</v>
      </c>
      <c r="F151" s="1600" t="s">
        <v>222</v>
      </c>
      <c r="G151" s="1610"/>
      <c r="H151" s="1611">
        <v>843</v>
      </c>
      <c r="I151" s="1603"/>
      <c r="J151" s="1020" t="s">
        <v>188</v>
      </c>
      <c r="K151" s="597"/>
      <c r="L151" s="598">
        <v>1</v>
      </c>
      <c r="M151" s="126"/>
    </row>
    <row r="152" spans="1:16" ht="24.75" customHeight="1" x14ac:dyDescent="0.2">
      <c r="A152" s="172"/>
      <c r="B152" s="164"/>
      <c r="C152" s="171"/>
      <c r="D152" s="1563"/>
      <c r="E152" s="321" t="s">
        <v>324</v>
      </c>
      <c r="F152" s="1600"/>
      <c r="G152" s="1610"/>
      <c r="H152" s="1611"/>
      <c r="I152" s="1603"/>
      <c r="J152" s="1020" t="s">
        <v>191</v>
      </c>
      <c r="K152" s="597"/>
      <c r="L152" s="598">
        <v>100</v>
      </c>
      <c r="M152" s="126"/>
    </row>
    <row r="153" spans="1:16" ht="26.25" customHeight="1" x14ac:dyDescent="0.2">
      <c r="A153" s="172"/>
      <c r="B153" s="164"/>
      <c r="C153" s="171"/>
      <c r="D153" s="1561" t="s">
        <v>190</v>
      </c>
      <c r="E153" s="1376" t="s">
        <v>258</v>
      </c>
      <c r="F153" s="1380" t="s">
        <v>134</v>
      </c>
      <c r="G153" s="1475">
        <v>40</v>
      </c>
      <c r="H153" s="1408">
        <v>76.8</v>
      </c>
      <c r="I153" s="1468">
        <v>57</v>
      </c>
      <c r="J153" s="603" t="s">
        <v>310</v>
      </c>
      <c r="K153" s="1018"/>
      <c r="L153" s="598">
        <v>2</v>
      </c>
      <c r="M153" s="605"/>
      <c r="N153" s="1587"/>
      <c r="O153" s="1588"/>
      <c r="P153" s="1588"/>
    </row>
    <row r="154" spans="1:16" ht="27.75" customHeight="1" x14ac:dyDescent="0.2">
      <c r="A154" s="172"/>
      <c r="B154" s="164"/>
      <c r="C154" s="171"/>
      <c r="D154" s="1562"/>
      <c r="E154" s="1377" t="s">
        <v>270</v>
      </c>
      <c r="F154" s="1380" t="s">
        <v>529</v>
      </c>
      <c r="G154" s="1476"/>
      <c r="H154" s="1351"/>
      <c r="I154" s="1468">
        <v>323</v>
      </c>
      <c r="J154" s="606" t="s">
        <v>211</v>
      </c>
      <c r="K154" s="1018"/>
      <c r="L154" s="598">
        <v>100</v>
      </c>
      <c r="M154" s="605"/>
      <c r="N154" s="1587"/>
      <c r="O154" s="1588"/>
      <c r="P154" s="1588"/>
    </row>
    <row r="155" spans="1:16" ht="27" customHeight="1" x14ac:dyDescent="0.2">
      <c r="A155" s="172"/>
      <c r="B155" s="164"/>
      <c r="C155" s="171"/>
      <c r="D155" s="1563"/>
      <c r="E155" s="321" t="s">
        <v>2</v>
      </c>
      <c r="F155" s="1380" t="s">
        <v>222</v>
      </c>
      <c r="G155" s="1476"/>
      <c r="H155" s="1348">
        <v>200</v>
      </c>
      <c r="I155" s="1468"/>
      <c r="J155" s="606" t="s">
        <v>309</v>
      </c>
      <c r="K155" s="1019"/>
      <c r="L155" s="608"/>
      <c r="M155" s="1411">
        <v>20</v>
      </c>
    </row>
    <row r="156" spans="1:16" ht="15" customHeight="1" x14ac:dyDescent="0.2">
      <c r="A156" s="172"/>
      <c r="B156" s="164"/>
      <c r="C156" s="171"/>
      <c r="D156" s="1561" t="s">
        <v>229</v>
      </c>
      <c r="E156" s="1376" t="s">
        <v>258</v>
      </c>
      <c r="F156" s="1380" t="s">
        <v>134</v>
      </c>
      <c r="G156" s="1477"/>
      <c r="H156" s="1408">
        <v>58.6</v>
      </c>
      <c r="I156" s="1468"/>
      <c r="J156" s="1597" t="s">
        <v>191</v>
      </c>
      <c r="K156" s="1604"/>
      <c r="L156" s="1606">
        <v>100</v>
      </c>
      <c r="M156" s="1608"/>
      <c r="N156" s="1587"/>
      <c r="O156" s="1588"/>
      <c r="P156" s="1588"/>
    </row>
    <row r="157" spans="1:16" ht="24.75" customHeight="1" x14ac:dyDescent="0.2">
      <c r="A157" s="172"/>
      <c r="B157" s="164"/>
      <c r="C157" s="171"/>
      <c r="D157" s="1563"/>
      <c r="E157" s="321" t="s">
        <v>324</v>
      </c>
      <c r="F157" s="1380" t="s">
        <v>222</v>
      </c>
      <c r="G157" s="1477"/>
      <c r="H157" s="1408">
        <v>300</v>
      </c>
      <c r="I157" s="1468"/>
      <c r="J157" s="1598"/>
      <c r="K157" s="1605"/>
      <c r="L157" s="1607"/>
      <c r="M157" s="1609"/>
      <c r="N157" s="1587"/>
      <c r="O157" s="1588"/>
      <c r="P157" s="1588"/>
    </row>
    <row r="158" spans="1:16" ht="27" customHeight="1" x14ac:dyDescent="0.2">
      <c r="A158" s="172"/>
      <c r="B158" s="164"/>
      <c r="C158" s="171"/>
      <c r="D158" s="1368" t="s">
        <v>300</v>
      </c>
      <c r="E158" s="1377" t="s">
        <v>301</v>
      </c>
      <c r="F158" s="1600" t="s">
        <v>134</v>
      </c>
      <c r="G158" s="1601">
        <v>85.6</v>
      </c>
      <c r="H158" s="1602">
        <v>305.3</v>
      </c>
      <c r="I158" s="1603">
        <v>711.5</v>
      </c>
      <c r="J158" s="1020" t="s">
        <v>188</v>
      </c>
      <c r="K158" s="597">
        <v>1</v>
      </c>
      <c r="L158" s="598"/>
      <c r="M158" s="126"/>
      <c r="N158" s="1587"/>
      <c r="O158" s="1588"/>
      <c r="P158" s="1588"/>
    </row>
    <row r="159" spans="1:16" ht="24" customHeight="1" x14ac:dyDescent="0.2">
      <c r="A159" s="172"/>
      <c r="B159" s="164"/>
      <c r="C159" s="171"/>
      <c r="D159" s="1368"/>
      <c r="E159" s="321" t="s">
        <v>288</v>
      </c>
      <c r="F159" s="1600"/>
      <c r="G159" s="1601"/>
      <c r="H159" s="1602"/>
      <c r="I159" s="1603"/>
      <c r="J159" s="1392" t="s">
        <v>191</v>
      </c>
      <c r="K159" s="457"/>
      <c r="L159" s="1414">
        <v>20</v>
      </c>
      <c r="M159" s="1396">
        <v>100</v>
      </c>
      <c r="N159" s="1587"/>
      <c r="O159" s="1588"/>
      <c r="P159" s="1588"/>
    </row>
    <row r="160" spans="1:16" ht="22.5" customHeight="1" x14ac:dyDescent="0.2">
      <c r="A160" s="172"/>
      <c r="B160" s="164"/>
      <c r="C160" s="171"/>
      <c r="D160" s="1561" t="s">
        <v>262</v>
      </c>
      <c r="E160" s="1376" t="s">
        <v>269</v>
      </c>
      <c r="F160" s="1380" t="s">
        <v>134</v>
      </c>
      <c r="G160" s="1477">
        <v>51.4</v>
      </c>
      <c r="H160" s="1408">
        <v>51.4</v>
      </c>
      <c r="I160" s="1468">
        <v>52.7</v>
      </c>
      <c r="J160" s="1597" t="s">
        <v>337</v>
      </c>
      <c r="K160" s="459">
        <v>81</v>
      </c>
      <c r="L160" s="1409">
        <v>81</v>
      </c>
      <c r="M160" s="1404">
        <v>83</v>
      </c>
    </row>
    <row r="161" spans="1:17" ht="11.25" customHeight="1" x14ac:dyDescent="0.2">
      <c r="A161" s="172"/>
      <c r="B161" s="164"/>
      <c r="C161" s="171"/>
      <c r="D161" s="1563"/>
      <c r="E161" s="321"/>
      <c r="F161" s="1380" t="s">
        <v>221</v>
      </c>
      <c r="G161" s="1477">
        <v>82.3</v>
      </c>
      <c r="H161" s="1408"/>
      <c r="I161" s="1468"/>
      <c r="J161" s="1598"/>
      <c r="K161" s="460"/>
      <c r="L161" s="1410"/>
      <c r="M161" s="1411"/>
    </row>
    <row r="162" spans="1:17" ht="42" customHeight="1" x14ac:dyDescent="0.2">
      <c r="A162" s="172"/>
      <c r="B162" s="164"/>
      <c r="C162" s="171"/>
      <c r="D162" s="41" t="s">
        <v>497</v>
      </c>
      <c r="E162" s="1377" t="s">
        <v>274</v>
      </c>
      <c r="F162" s="1380" t="s">
        <v>134</v>
      </c>
      <c r="G162" s="1477">
        <v>40</v>
      </c>
      <c r="H162" s="1408"/>
      <c r="I162" s="1468"/>
      <c r="J162" s="603" t="s">
        <v>191</v>
      </c>
      <c r="K162" s="597">
        <v>100</v>
      </c>
      <c r="L162" s="598"/>
      <c r="M162" s="126"/>
    </row>
    <row r="163" spans="1:17" ht="14.65" customHeight="1" x14ac:dyDescent="0.2">
      <c r="A163" s="172"/>
      <c r="B163" s="164"/>
      <c r="C163" s="171"/>
      <c r="D163" s="1589" t="s">
        <v>94</v>
      </c>
      <c r="E163" s="1377"/>
      <c r="F163" s="1417"/>
      <c r="G163" s="1393"/>
      <c r="H163" s="1395"/>
      <c r="I163" s="380"/>
      <c r="J163" s="1417"/>
      <c r="K163" s="71"/>
      <c r="L163" s="1395"/>
      <c r="M163" s="360"/>
    </row>
    <row r="164" spans="1:17" ht="14.65" customHeight="1" x14ac:dyDescent="0.2">
      <c r="A164" s="172"/>
      <c r="B164" s="164"/>
      <c r="C164" s="171"/>
      <c r="D164" s="1590"/>
      <c r="E164" s="1377"/>
      <c r="F164" s="732"/>
      <c r="G164" s="589"/>
      <c r="H164" s="590"/>
      <c r="I164" s="1442"/>
      <c r="J164" s="1383"/>
      <c r="K164" s="2"/>
      <c r="L164" s="91"/>
      <c r="M164" s="1097"/>
    </row>
    <row r="165" spans="1:17" ht="17.45" customHeight="1" x14ac:dyDescent="0.2">
      <c r="A165" s="172"/>
      <c r="B165" s="164"/>
      <c r="C165" s="171"/>
      <c r="D165" s="1562" t="s">
        <v>126</v>
      </c>
      <c r="E165" s="150" t="s">
        <v>144</v>
      </c>
      <c r="F165" s="1380" t="s">
        <v>134</v>
      </c>
      <c r="G165" s="1477"/>
      <c r="H165" s="1408">
        <v>425.4</v>
      </c>
      <c r="I165" s="1468"/>
      <c r="J165" s="309" t="s">
        <v>69</v>
      </c>
      <c r="K165" s="1047">
        <v>70</v>
      </c>
      <c r="L165" s="617">
        <v>100</v>
      </c>
      <c r="M165" s="618"/>
    </row>
    <row r="166" spans="1:17" ht="14.65" customHeight="1" x14ac:dyDescent="0.2">
      <c r="A166" s="172"/>
      <c r="B166" s="164"/>
      <c r="C166" s="171"/>
      <c r="D166" s="1562"/>
      <c r="E166" s="1377" t="s">
        <v>270</v>
      </c>
      <c r="F166" s="1380" t="s">
        <v>221</v>
      </c>
      <c r="G166" s="1477">
        <v>1436</v>
      </c>
      <c r="H166" s="1408"/>
      <c r="I166" s="1468"/>
      <c r="J166" s="309"/>
      <c r="K166" s="616"/>
      <c r="L166" s="617"/>
      <c r="M166" s="618"/>
    </row>
    <row r="167" spans="1:17" ht="14.65" customHeight="1" x14ac:dyDescent="0.2">
      <c r="A167" s="172"/>
      <c r="B167" s="164"/>
      <c r="C167" s="171"/>
      <c r="D167" s="1562"/>
      <c r="E167" s="301" t="s">
        <v>214</v>
      </c>
      <c r="F167" s="1380" t="s">
        <v>223</v>
      </c>
      <c r="G167" s="1477">
        <f>800.1-160.1</f>
        <v>640</v>
      </c>
      <c r="H167" s="1408">
        <v>239.1</v>
      </c>
      <c r="I167" s="1468"/>
      <c r="J167" s="309"/>
      <c r="K167" s="616"/>
      <c r="L167" s="617"/>
      <c r="M167" s="618"/>
    </row>
    <row r="168" spans="1:17" x14ac:dyDescent="0.2">
      <c r="A168" s="172"/>
      <c r="B168" s="164"/>
      <c r="C168" s="171"/>
      <c r="D168" s="1563"/>
      <c r="E168" s="321" t="s">
        <v>272</v>
      </c>
      <c r="F168" s="1380"/>
      <c r="G168" s="1477"/>
      <c r="H168" s="1408"/>
      <c r="I168" s="1468"/>
      <c r="J168" s="1021"/>
      <c r="K168" s="624"/>
      <c r="L168" s="625"/>
      <c r="M168" s="626"/>
    </row>
    <row r="169" spans="1:17" ht="13.9" customHeight="1" x14ac:dyDescent="0.2">
      <c r="A169" s="172"/>
      <c r="B169" s="164"/>
      <c r="C169" s="171"/>
      <c r="D169" s="1539" t="s">
        <v>171</v>
      </c>
      <c r="E169" s="1377" t="s">
        <v>144</v>
      </c>
      <c r="F169" s="1599"/>
      <c r="G169" s="1478"/>
      <c r="H169" s="1049"/>
      <c r="I169" s="1479"/>
      <c r="J169" s="1392"/>
      <c r="K169" s="457"/>
      <c r="L169" s="1414"/>
      <c r="M169" s="573"/>
    </row>
    <row r="170" spans="1:17" ht="13.9" customHeight="1" x14ac:dyDescent="0.2">
      <c r="A170" s="172"/>
      <c r="B170" s="164"/>
      <c r="C170" s="171"/>
      <c r="D170" s="1540"/>
      <c r="E170" s="1377"/>
      <c r="F170" s="1599"/>
      <c r="G170" s="1051"/>
      <c r="H170" s="1049"/>
      <c r="I170" s="1479"/>
      <c r="J170" s="1379"/>
      <c r="K170" s="460"/>
      <c r="L170" s="1410"/>
      <c r="M170" s="647"/>
    </row>
    <row r="171" spans="1:17" ht="13.9" customHeight="1" x14ac:dyDescent="0.2">
      <c r="A171" s="172"/>
      <c r="B171" s="164"/>
      <c r="C171" s="171"/>
      <c r="D171" s="1541" t="s">
        <v>516</v>
      </c>
      <c r="E171" s="1377" t="s">
        <v>2</v>
      </c>
      <c r="F171" s="1380" t="s">
        <v>134</v>
      </c>
      <c r="G171" s="1477"/>
      <c r="H171" s="1408">
        <v>767.6</v>
      </c>
      <c r="I171" s="1471">
        <v>608.6</v>
      </c>
      <c r="J171" s="1593" t="s">
        <v>98</v>
      </c>
      <c r="K171" s="1059">
        <v>1</v>
      </c>
      <c r="L171" s="1060">
        <v>1</v>
      </c>
      <c r="M171" s="573">
        <v>3</v>
      </c>
      <c r="N171" s="1587"/>
      <c r="O171" s="1588"/>
      <c r="P171" s="1588"/>
      <c r="Q171" s="1588"/>
    </row>
    <row r="172" spans="1:17" ht="13.9" customHeight="1" x14ac:dyDescent="0.2">
      <c r="A172" s="172"/>
      <c r="B172" s="164"/>
      <c r="C172" s="171"/>
      <c r="D172" s="1541"/>
      <c r="E172" s="1377" t="s">
        <v>270</v>
      </c>
      <c r="F172" s="1380" t="s">
        <v>221</v>
      </c>
      <c r="G172" s="1477">
        <v>346.8</v>
      </c>
      <c r="H172" s="1049"/>
      <c r="I172" s="1479"/>
      <c r="J172" s="1598"/>
      <c r="K172" s="638"/>
      <c r="L172" s="639"/>
      <c r="M172" s="640"/>
      <c r="N172" s="1587"/>
      <c r="O172" s="1588"/>
      <c r="P172" s="1588"/>
      <c r="Q172" s="1588"/>
    </row>
    <row r="173" spans="1:17" ht="13.9" customHeight="1" x14ac:dyDescent="0.2">
      <c r="A173" s="172"/>
      <c r="B173" s="164"/>
      <c r="C173" s="171"/>
      <c r="D173" s="1541"/>
      <c r="E173" s="1377"/>
      <c r="F173" s="1390"/>
      <c r="G173" s="1051"/>
      <c r="H173" s="1049"/>
      <c r="I173" s="1479"/>
      <c r="J173" s="1597" t="s">
        <v>191</v>
      </c>
      <c r="K173" s="642"/>
      <c r="L173" s="1409">
        <v>30</v>
      </c>
      <c r="M173" s="567">
        <v>50</v>
      </c>
      <c r="N173" s="1587"/>
      <c r="O173" s="1588"/>
      <c r="P173" s="1588"/>
      <c r="Q173" s="1588"/>
    </row>
    <row r="174" spans="1:17" ht="24" customHeight="1" x14ac:dyDescent="0.2">
      <c r="A174" s="172"/>
      <c r="B174" s="164"/>
      <c r="C174" s="171"/>
      <c r="D174" s="1540"/>
      <c r="E174" s="321"/>
      <c r="F174" s="1390"/>
      <c r="G174" s="1478"/>
      <c r="H174" s="1049"/>
      <c r="I174" s="1479"/>
      <c r="J174" s="1598"/>
      <c r="K174" s="638"/>
      <c r="L174" s="639"/>
      <c r="M174" s="640"/>
      <c r="N174" s="1587"/>
      <c r="O174" s="1588"/>
      <c r="P174" s="1588"/>
      <c r="Q174" s="1588"/>
    </row>
    <row r="175" spans="1:17" ht="15.75" customHeight="1" x14ac:dyDescent="0.2">
      <c r="A175" s="172"/>
      <c r="B175" s="164"/>
      <c r="C175" s="171"/>
      <c r="D175" s="1539" t="s">
        <v>338</v>
      </c>
      <c r="E175" s="1376" t="s">
        <v>270</v>
      </c>
      <c r="F175" s="1380" t="s">
        <v>134</v>
      </c>
      <c r="G175" s="1048">
        <v>38.5</v>
      </c>
      <c r="H175" s="1408"/>
      <c r="I175" s="1471"/>
      <c r="J175" s="1597" t="s">
        <v>312</v>
      </c>
      <c r="K175" s="459">
        <v>100</v>
      </c>
      <c r="L175" s="1409"/>
      <c r="M175" s="567"/>
    </row>
    <row r="176" spans="1:17" ht="14.25" customHeight="1" x14ac:dyDescent="0.2">
      <c r="A176" s="172"/>
      <c r="B176" s="164"/>
      <c r="C176" s="171"/>
      <c r="D176" s="1540"/>
      <c r="E176" s="321" t="s">
        <v>269</v>
      </c>
      <c r="F176" s="1380" t="s">
        <v>221</v>
      </c>
      <c r="G176" s="1477">
        <v>931.6</v>
      </c>
      <c r="H176" s="1408"/>
      <c r="I176" s="1471"/>
      <c r="J176" s="1598"/>
      <c r="K176" s="460"/>
      <c r="L176" s="1410"/>
      <c r="M176" s="647"/>
    </row>
    <row r="177" spans="1:18" ht="29.25" customHeight="1" x14ac:dyDescent="0.2">
      <c r="A177" s="172"/>
      <c r="B177" s="164"/>
      <c r="C177" s="171"/>
      <c r="D177" s="151" t="s">
        <v>193</v>
      </c>
      <c r="E177" s="648" t="s">
        <v>313</v>
      </c>
      <c r="F177" s="1380" t="s">
        <v>134</v>
      </c>
      <c r="G177" s="1048"/>
      <c r="H177" s="1408">
        <v>367.8</v>
      </c>
      <c r="I177" s="1471">
        <v>304.8</v>
      </c>
      <c r="J177" s="1379" t="s">
        <v>191</v>
      </c>
      <c r="K177" s="597"/>
      <c r="L177" s="598">
        <v>50</v>
      </c>
      <c r="M177" s="290">
        <v>100</v>
      </c>
    </row>
    <row r="178" spans="1:18" ht="24" customHeight="1" x14ac:dyDescent="0.2">
      <c r="A178" s="172"/>
      <c r="B178" s="164"/>
      <c r="C178" s="171"/>
      <c r="D178" s="1539" t="s">
        <v>255</v>
      </c>
      <c r="E178" s="1377" t="s">
        <v>256</v>
      </c>
      <c r="F178" s="1380" t="s">
        <v>134</v>
      </c>
      <c r="G178" s="1477"/>
      <c r="H178" s="1408">
        <v>350.9</v>
      </c>
      <c r="I178" s="1471">
        <v>452.8</v>
      </c>
      <c r="J178" s="1597" t="s">
        <v>191</v>
      </c>
      <c r="K178" s="457"/>
      <c r="L178" s="1414">
        <v>50</v>
      </c>
      <c r="M178" s="573">
        <v>100</v>
      </c>
      <c r="N178" s="1587"/>
      <c r="O178" s="1588"/>
    </row>
    <row r="179" spans="1:18" ht="17.25" customHeight="1" x14ac:dyDescent="0.2">
      <c r="A179" s="172"/>
      <c r="B179" s="164"/>
      <c r="C179" s="171"/>
      <c r="D179" s="1541"/>
      <c r="E179" s="1377" t="s">
        <v>270</v>
      </c>
      <c r="F179" s="1380" t="s">
        <v>529</v>
      </c>
      <c r="G179" s="1477"/>
      <c r="H179" s="1408">
        <v>1988</v>
      </c>
      <c r="I179" s="1471">
        <v>1999.4</v>
      </c>
      <c r="J179" s="1593"/>
      <c r="K179" s="457"/>
      <c r="L179" s="1414"/>
      <c r="M179" s="573"/>
      <c r="N179" s="1587"/>
      <c r="O179" s="1588"/>
    </row>
    <row r="180" spans="1:18" ht="15.75" customHeight="1" x14ac:dyDescent="0.2">
      <c r="A180" s="172"/>
      <c r="B180" s="164"/>
      <c r="C180" s="171"/>
      <c r="D180" s="1540"/>
      <c r="E180" s="1377" t="s">
        <v>2</v>
      </c>
      <c r="F180" s="1055"/>
      <c r="G180" s="1480"/>
      <c r="H180" s="1058"/>
      <c r="I180" s="1453"/>
      <c r="J180" s="1598"/>
      <c r="K180" s="457"/>
      <c r="L180" s="1414"/>
      <c r="M180" s="573"/>
      <c r="N180" s="1587"/>
      <c r="O180" s="1588"/>
    </row>
    <row r="181" spans="1:18" ht="15" customHeight="1" x14ac:dyDescent="0.2">
      <c r="A181" s="172"/>
      <c r="B181" s="164"/>
      <c r="C181" s="171"/>
      <c r="D181" s="1589" t="s">
        <v>95</v>
      </c>
      <c r="E181" s="1376"/>
      <c r="F181" s="1375"/>
      <c r="G181" s="1481"/>
      <c r="H181" s="1045"/>
      <c r="I181" s="1468"/>
      <c r="J181" s="1361"/>
      <c r="K181" s="1"/>
      <c r="L181" s="1359"/>
      <c r="M181" s="1404"/>
      <c r="N181" s="14"/>
      <c r="O181" s="14"/>
      <c r="P181" s="14"/>
      <c r="Q181" s="14"/>
      <c r="R181" s="14"/>
    </row>
    <row r="182" spans="1:18" ht="15" customHeight="1" x14ac:dyDescent="0.2">
      <c r="A182" s="172"/>
      <c r="B182" s="164"/>
      <c r="C182" s="171"/>
      <c r="D182" s="1590"/>
      <c r="E182" s="1377"/>
      <c r="F182" s="1375"/>
      <c r="G182" s="1052"/>
      <c r="H182" s="1045"/>
      <c r="I182" s="1468"/>
      <c r="J182" s="1362"/>
      <c r="K182" s="2"/>
      <c r="L182" s="91"/>
      <c r="M182" s="1411"/>
      <c r="N182" s="1591"/>
      <c r="O182" s="1592"/>
      <c r="P182" s="1592"/>
      <c r="Q182" s="1592"/>
      <c r="R182" s="1592"/>
    </row>
    <row r="183" spans="1:18" ht="27.75" customHeight="1" x14ac:dyDescent="0.2">
      <c r="A183" s="172"/>
      <c r="B183" s="164"/>
      <c r="C183" s="171"/>
      <c r="D183" s="1562" t="s">
        <v>96</v>
      </c>
      <c r="E183" s="1376" t="s">
        <v>144</v>
      </c>
      <c r="F183" s="1054" t="s">
        <v>221</v>
      </c>
      <c r="G183" s="1482">
        <v>8.9</v>
      </c>
      <c r="H183" s="1057"/>
      <c r="I183" s="1468"/>
      <c r="J183" s="1593" t="s">
        <v>68</v>
      </c>
      <c r="K183" s="1594">
        <v>100</v>
      </c>
      <c r="L183" s="1595"/>
      <c r="M183" s="1596"/>
      <c r="N183" s="1591"/>
      <c r="O183" s="1592"/>
      <c r="P183" s="1592"/>
      <c r="Q183" s="1592"/>
      <c r="R183" s="1592"/>
    </row>
    <row r="184" spans="1:18" ht="26.25" customHeight="1" x14ac:dyDescent="0.2">
      <c r="A184" s="172"/>
      <c r="B184" s="164"/>
      <c r="C184" s="170"/>
      <c r="D184" s="1562"/>
      <c r="E184" s="1377" t="s">
        <v>2</v>
      </c>
      <c r="F184" s="1053" t="s">
        <v>224</v>
      </c>
      <c r="G184" s="1483">
        <v>29.8</v>
      </c>
      <c r="H184" s="1056"/>
      <c r="I184" s="1484"/>
      <c r="J184" s="1593"/>
      <c r="K184" s="1594"/>
      <c r="L184" s="1595"/>
      <c r="M184" s="1596"/>
      <c r="N184" s="14"/>
      <c r="O184" s="14"/>
      <c r="P184" s="14"/>
      <c r="Q184" s="14"/>
      <c r="R184" s="14"/>
    </row>
    <row r="185" spans="1:18" ht="14.25" customHeight="1" thickBot="1" x14ac:dyDescent="0.25">
      <c r="A185" s="188"/>
      <c r="B185" s="189"/>
      <c r="C185" s="190"/>
      <c r="D185" s="805"/>
      <c r="E185" s="1585" t="s">
        <v>12</v>
      </c>
      <c r="F185" s="1586"/>
      <c r="G185" s="36">
        <f>SUM(G120:G129)</f>
        <v>13791.8</v>
      </c>
      <c r="H185" s="108">
        <f>SUM(H120:H129)</f>
        <v>10802.1</v>
      </c>
      <c r="I185" s="106">
        <f>SUM(I120:I129)</f>
        <v>6229.8</v>
      </c>
      <c r="J185" s="311"/>
      <c r="K185" s="1026"/>
      <c r="L185" s="678"/>
      <c r="M185" s="1364"/>
    </row>
    <row r="186" spans="1:18" ht="29.25" customHeight="1" x14ac:dyDescent="0.2">
      <c r="A186" s="184" t="s">
        <v>13</v>
      </c>
      <c r="B186" s="185" t="s">
        <v>10</v>
      </c>
      <c r="C186" s="162" t="s">
        <v>15</v>
      </c>
      <c r="D186" s="1367" t="s">
        <v>60</v>
      </c>
      <c r="E186" s="1401"/>
      <c r="F186" s="1382" t="s">
        <v>11</v>
      </c>
      <c r="G186" s="1061">
        <v>452.1</v>
      </c>
      <c r="H186" s="1354">
        <v>876.6</v>
      </c>
      <c r="I186" s="1485">
        <v>528.20000000000005</v>
      </c>
      <c r="J186" s="1381"/>
      <c r="K186" s="1437"/>
      <c r="L186" s="1365"/>
      <c r="M186" s="362"/>
    </row>
    <row r="187" spans="1:18" ht="21" customHeight="1" x14ac:dyDescent="0.2">
      <c r="A187" s="172"/>
      <c r="B187" s="164"/>
      <c r="C187" s="165"/>
      <c r="D187" s="1561" t="s">
        <v>127</v>
      </c>
      <c r="E187" s="1377" t="s">
        <v>269</v>
      </c>
      <c r="F187" s="1375" t="s">
        <v>134</v>
      </c>
      <c r="G187" s="1451">
        <v>131</v>
      </c>
      <c r="H187" s="1350">
        <v>158.80000000000001</v>
      </c>
      <c r="I187" s="1450">
        <v>150</v>
      </c>
      <c r="J187" s="1361" t="s">
        <v>70</v>
      </c>
      <c r="K187" s="1">
        <v>11</v>
      </c>
      <c r="L187" s="1359">
        <v>15</v>
      </c>
      <c r="M187" s="1357">
        <v>14</v>
      </c>
      <c r="O187" s="1030" t="s">
        <v>11</v>
      </c>
      <c r="P187" s="1031">
        <f>G187+G189+G191+G194</f>
        <v>452.1</v>
      </c>
      <c r="Q187" s="1031">
        <f>H187+H189+H191+H192+H193+H194+H195+H197</f>
        <v>876.60000000000014</v>
      </c>
      <c r="R187" s="1031">
        <f>I187+I189+I194</f>
        <v>528.20000000000005</v>
      </c>
    </row>
    <row r="188" spans="1:18" ht="21" customHeight="1" x14ac:dyDescent="0.2">
      <c r="A188" s="172"/>
      <c r="B188" s="164"/>
      <c r="C188" s="165"/>
      <c r="D188" s="1563"/>
      <c r="E188" s="1377"/>
      <c r="F188" s="1375"/>
      <c r="G188" s="1451"/>
      <c r="H188" s="1350"/>
      <c r="I188" s="1452"/>
      <c r="J188" s="96"/>
      <c r="K188" s="2"/>
      <c r="L188" s="91"/>
      <c r="M188" s="1411"/>
      <c r="P188" s="292"/>
      <c r="Q188" s="292"/>
      <c r="R188" s="292"/>
    </row>
    <row r="189" spans="1:18" ht="16.5" customHeight="1" x14ac:dyDescent="0.2">
      <c r="A189" s="172"/>
      <c r="B189" s="164"/>
      <c r="C189" s="210"/>
      <c r="D189" s="1561" t="s">
        <v>128</v>
      </c>
      <c r="E189" s="139" t="s">
        <v>269</v>
      </c>
      <c r="F189" s="1581" t="s">
        <v>134</v>
      </c>
      <c r="G189" s="1451">
        <v>205</v>
      </c>
      <c r="H189" s="1350">
        <v>230</v>
      </c>
      <c r="I189" s="1450">
        <v>230</v>
      </c>
      <c r="J189" s="1386" t="s">
        <v>70</v>
      </c>
      <c r="K189" s="71">
        <v>17</v>
      </c>
      <c r="L189" s="1395">
        <v>23</v>
      </c>
      <c r="M189" s="215">
        <v>23</v>
      </c>
    </row>
    <row r="190" spans="1:18" ht="12" customHeight="1" x14ac:dyDescent="0.2">
      <c r="A190" s="172"/>
      <c r="B190" s="164"/>
      <c r="C190" s="463"/>
      <c r="D190" s="1563"/>
      <c r="E190" s="139" t="s">
        <v>270</v>
      </c>
      <c r="F190" s="1581"/>
      <c r="G190" s="1228"/>
      <c r="H190" s="1350"/>
      <c r="I190" s="1450"/>
      <c r="J190" s="1362"/>
      <c r="K190" s="2"/>
      <c r="L190" s="91"/>
      <c r="M190" s="276"/>
    </row>
    <row r="191" spans="1:18" ht="29.25" customHeight="1" x14ac:dyDescent="0.2">
      <c r="A191" s="172"/>
      <c r="B191" s="164"/>
      <c r="C191" s="463"/>
      <c r="D191" s="41" t="s">
        <v>136</v>
      </c>
      <c r="E191" s="139" t="s">
        <v>328</v>
      </c>
      <c r="F191" s="1375" t="s">
        <v>134</v>
      </c>
      <c r="G191" s="1451">
        <v>19</v>
      </c>
      <c r="H191" s="1350">
        <v>15</v>
      </c>
      <c r="I191" s="1450"/>
      <c r="J191" s="999" t="s">
        <v>70</v>
      </c>
      <c r="K191" s="13">
        <v>5</v>
      </c>
      <c r="L191" s="90">
        <v>3</v>
      </c>
      <c r="M191" s="275"/>
    </row>
    <row r="192" spans="1:18" ht="29.25" customHeight="1" x14ac:dyDescent="0.2">
      <c r="A192" s="172"/>
      <c r="B192" s="164"/>
      <c r="C192" s="463"/>
      <c r="D192" s="961" t="s">
        <v>517</v>
      </c>
      <c r="E192" s="139" t="s">
        <v>274</v>
      </c>
      <c r="F192" s="1375" t="s">
        <v>134</v>
      </c>
      <c r="G192" s="1451"/>
      <c r="H192" s="1350">
        <v>20</v>
      </c>
      <c r="I192" s="1450"/>
      <c r="J192" s="999" t="s">
        <v>280</v>
      </c>
      <c r="K192" s="13"/>
      <c r="L192" s="90">
        <v>1</v>
      </c>
      <c r="M192" s="275"/>
    </row>
    <row r="193" spans="1:16" ht="42.75" customHeight="1" x14ac:dyDescent="0.2">
      <c r="A193" s="172"/>
      <c r="B193" s="164"/>
      <c r="C193" s="463"/>
      <c r="D193" s="76" t="s">
        <v>518</v>
      </c>
      <c r="E193" s="139" t="s">
        <v>274</v>
      </c>
      <c r="F193" s="1375" t="s">
        <v>134</v>
      </c>
      <c r="G193" s="1451"/>
      <c r="H193" s="1350">
        <v>124.4</v>
      </c>
      <c r="I193" s="1450"/>
      <c r="J193" s="999" t="s">
        <v>173</v>
      </c>
      <c r="K193" s="13"/>
      <c r="L193" s="90">
        <v>1</v>
      </c>
      <c r="M193" s="275"/>
    </row>
    <row r="194" spans="1:16" ht="53.25" customHeight="1" x14ac:dyDescent="0.2">
      <c r="A194" s="172"/>
      <c r="B194" s="164"/>
      <c r="C194" s="463"/>
      <c r="D194" s="76" t="s">
        <v>281</v>
      </c>
      <c r="E194" s="139" t="s">
        <v>274</v>
      </c>
      <c r="F194" s="1375" t="s">
        <v>134</v>
      </c>
      <c r="G194" s="1451">
        <v>97.1</v>
      </c>
      <c r="H194" s="1350">
        <v>122.2</v>
      </c>
      <c r="I194" s="1450">
        <v>148.19999999999999</v>
      </c>
      <c r="J194" s="999" t="s">
        <v>282</v>
      </c>
      <c r="K194" s="13">
        <v>2</v>
      </c>
      <c r="L194" s="90">
        <v>3</v>
      </c>
      <c r="M194" s="275">
        <v>3</v>
      </c>
    </row>
    <row r="195" spans="1:16" ht="30" customHeight="1" x14ac:dyDescent="0.2">
      <c r="A195" s="172"/>
      <c r="B195" s="164"/>
      <c r="C195" s="463"/>
      <c r="D195" s="1561" t="s">
        <v>519</v>
      </c>
      <c r="E195" s="139" t="s">
        <v>269</v>
      </c>
      <c r="F195" s="1375" t="s">
        <v>134</v>
      </c>
      <c r="G195" s="1228"/>
      <c r="H195" s="1350">
        <v>158.19999999999999</v>
      </c>
      <c r="I195" s="1450"/>
      <c r="J195" s="999" t="s">
        <v>283</v>
      </c>
      <c r="K195" s="13"/>
      <c r="L195" s="90">
        <v>4</v>
      </c>
      <c r="M195" s="537"/>
    </row>
    <row r="196" spans="1:16" ht="18.75" customHeight="1" x14ac:dyDescent="0.2">
      <c r="A196" s="172"/>
      <c r="B196" s="164"/>
      <c r="C196" s="463"/>
      <c r="D196" s="1563"/>
      <c r="E196" s="549"/>
      <c r="F196" s="1375"/>
      <c r="G196" s="1228"/>
      <c r="H196" s="1350"/>
      <c r="I196" s="1450"/>
      <c r="J196" s="999" t="s">
        <v>173</v>
      </c>
      <c r="K196" s="13"/>
      <c r="L196" s="90">
        <v>4</v>
      </c>
      <c r="M196" s="537"/>
    </row>
    <row r="197" spans="1:16" ht="37.5" customHeight="1" x14ac:dyDescent="0.2">
      <c r="A197" s="172"/>
      <c r="B197" s="164"/>
      <c r="C197" s="463"/>
      <c r="D197" s="1561" t="s">
        <v>530</v>
      </c>
      <c r="E197" s="139" t="s">
        <v>269</v>
      </c>
      <c r="F197" s="1032" t="s">
        <v>134</v>
      </c>
      <c r="G197" s="1459"/>
      <c r="H197" s="1033">
        <v>48</v>
      </c>
      <c r="I197" s="1486"/>
      <c r="J197" s="1546" t="s">
        <v>314</v>
      </c>
      <c r="K197" s="71"/>
      <c r="L197" s="1395">
        <v>1</v>
      </c>
      <c r="M197" s="215"/>
    </row>
    <row r="198" spans="1:16" ht="13.5" customHeight="1" thickBot="1" x14ac:dyDescent="0.25">
      <c r="A198" s="172"/>
      <c r="B198" s="164"/>
      <c r="C198" s="170"/>
      <c r="D198" s="1556"/>
      <c r="E198" s="1585" t="s">
        <v>12</v>
      </c>
      <c r="F198" s="1586"/>
      <c r="G198" s="36">
        <f>G186</f>
        <v>452.1</v>
      </c>
      <c r="H198" s="108">
        <f>H186</f>
        <v>876.6</v>
      </c>
      <c r="I198" s="106">
        <f>I186</f>
        <v>528.20000000000005</v>
      </c>
      <c r="J198" s="1560"/>
      <c r="K198" s="1438"/>
      <c r="L198" s="1366"/>
      <c r="M198" s="1364"/>
    </row>
    <row r="199" spans="1:16" ht="15.75" customHeight="1" thickBot="1" x14ac:dyDescent="0.25">
      <c r="A199" s="194" t="s">
        <v>13</v>
      </c>
      <c r="B199" s="195" t="s">
        <v>10</v>
      </c>
      <c r="C199" s="1548" t="s">
        <v>16</v>
      </c>
      <c r="D199" s="1549"/>
      <c r="E199" s="1549"/>
      <c r="F199" s="1550"/>
      <c r="G199" s="196">
        <f>+G198+G185+G119</f>
        <v>14315.699999999999</v>
      </c>
      <c r="H199" s="197">
        <f>+H198+H185+H119</f>
        <v>11750.5</v>
      </c>
      <c r="I199" s="198">
        <f>+I198+I185+I119</f>
        <v>6829.8</v>
      </c>
      <c r="J199" s="1439"/>
      <c r="K199" s="1440"/>
      <c r="L199" s="1440"/>
      <c r="M199" s="1441"/>
    </row>
    <row r="200" spans="1:16" ht="17.25" customHeight="1" thickBot="1" x14ac:dyDescent="0.25">
      <c r="A200" s="172" t="s">
        <v>13</v>
      </c>
      <c r="B200" s="195" t="s">
        <v>13</v>
      </c>
      <c r="C200" s="1573" t="s">
        <v>47</v>
      </c>
      <c r="D200" s="1574"/>
      <c r="E200" s="1574"/>
      <c r="F200" s="1574"/>
      <c r="G200" s="1574"/>
      <c r="H200" s="1574"/>
      <c r="I200" s="1003"/>
      <c r="J200" s="1003"/>
      <c r="K200" s="1003"/>
      <c r="L200" s="1003"/>
      <c r="M200" s="1004"/>
    </row>
    <row r="201" spans="1:16" ht="16.149999999999999" customHeight="1" x14ac:dyDescent="0.2">
      <c r="A201" s="184" t="s">
        <v>13</v>
      </c>
      <c r="B201" s="185" t="s">
        <v>13</v>
      </c>
      <c r="C201" s="218" t="s">
        <v>10</v>
      </c>
      <c r="D201" s="47" t="s">
        <v>55</v>
      </c>
      <c r="E201" s="546"/>
      <c r="F201" s="1430" t="s">
        <v>11</v>
      </c>
      <c r="G201" s="1487">
        <v>43.6</v>
      </c>
      <c r="H201" s="277">
        <v>2058.6999999999998</v>
      </c>
      <c r="I201" s="1485">
        <v>20</v>
      </c>
      <c r="J201" s="1381"/>
      <c r="K201" s="11"/>
      <c r="L201" s="1394"/>
      <c r="M201" s="362"/>
    </row>
    <row r="202" spans="1:16" ht="30" customHeight="1" x14ac:dyDescent="0.2">
      <c r="A202" s="172"/>
      <c r="B202" s="164"/>
      <c r="C202" s="165"/>
      <c r="D202" s="1368" t="s">
        <v>284</v>
      </c>
      <c r="E202" s="139" t="s">
        <v>274</v>
      </c>
      <c r="F202" s="1065" t="s">
        <v>134</v>
      </c>
      <c r="G202" s="1191"/>
      <c r="H202" s="1350">
        <f>2008.7+30</f>
        <v>2038.7</v>
      </c>
      <c r="I202" s="380"/>
      <c r="J202" s="1361" t="s">
        <v>493</v>
      </c>
      <c r="K202" s="817"/>
      <c r="L202" s="1359">
        <v>1</v>
      </c>
      <c r="M202" s="361"/>
      <c r="N202" s="1587"/>
      <c r="O202" s="1588"/>
      <c r="P202" s="1588"/>
    </row>
    <row r="203" spans="1:16" ht="16.5" customHeight="1" x14ac:dyDescent="0.2">
      <c r="A203" s="172"/>
      <c r="B203" s="164"/>
      <c r="C203" s="165"/>
      <c r="D203" s="1368"/>
      <c r="E203" s="139"/>
      <c r="F203" s="1421"/>
      <c r="G203" s="1488"/>
      <c r="H203" s="542"/>
      <c r="I203" s="380"/>
      <c r="J203" s="1361" t="s">
        <v>285</v>
      </c>
      <c r="K203" s="1"/>
      <c r="L203" s="1359">
        <v>7960</v>
      </c>
      <c r="M203" s="361"/>
    </row>
    <row r="204" spans="1:16" ht="15.6" customHeight="1" x14ac:dyDescent="0.2">
      <c r="A204" s="172"/>
      <c r="B204" s="164"/>
      <c r="C204" s="165"/>
      <c r="D204" s="1561" t="s">
        <v>521</v>
      </c>
      <c r="E204" s="548" t="s">
        <v>269</v>
      </c>
      <c r="F204" s="1062" t="s">
        <v>134</v>
      </c>
      <c r="G204" s="1489">
        <v>39</v>
      </c>
      <c r="H204" s="1063"/>
      <c r="I204" s="1490"/>
      <c r="J204" s="999" t="s">
        <v>70</v>
      </c>
      <c r="K204" s="13">
        <v>10</v>
      </c>
      <c r="L204" s="90"/>
      <c r="M204" s="126"/>
    </row>
    <row r="205" spans="1:16" ht="15.6" customHeight="1" x14ac:dyDescent="0.2">
      <c r="A205" s="172"/>
      <c r="B205" s="164"/>
      <c r="C205" s="165"/>
      <c r="D205" s="1563"/>
      <c r="E205" s="547"/>
      <c r="F205" s="1062"/>
      <c r="G205" s="1489"/>
      <c r="H205" s="1063"/>
      <c r="I205" s="1490"/>
      <c r="J205" s="125" t="s">
        <v>174</v>
      </c>
      <c r="K205" s="1">
        <v>211</v>
      </c>
      <c r="L205" s="1359"/>
      <c r="M205" s="1404"/>
    </row>
    <row r="206" spans="1:16" s="205" customFormat="1" ht="15.6" customHeight="1" x14ac:dyDescent="0.2">
      <c r="A206" s="1422"/>
      <c r="B206" s="216"/>
      <c r="C206" s="219"/>
      <c r="D206" s="1561" t="s">
        <v>522</v>
      </c>
      <c r="E206" s="139" t="s">
        <v>269</v>
      </c>
      <c r="F206" s="1062" t="s">
        <v>134</v>
      </c>
      <c r="G206" s="1491">
        <v>4.5999999999999996</v>
      </c>
      <c r="H206" s="1063">
        <v>20</v>
      </c>
      <c r="I206" s="1492">
        <v>20</v>
      </c>
      <c r="J206" s="93" t="s">
        <v>70</v>
      </c>
      <c r="K206" s="13">
        <v>2</v>
      </c>
      <c r="L206" s="90">
        <v>6</v>
      </c>
      <c r="M206" s="126">
        <v>6</v>
      </c>
    </row>
    <row r="207" spans="1:16" s="205" customFormat="1" ht="14.25" customHeight="1" x14ac:dyDescent="0.2">
      <c r="A207" s="1422"/>
      <c r="B207" s="216"/>
      <c r="C207" s="219"/>
      <c r="D207" s="1562"/>
      <c r="E207" s="139"/>
      <c r="F207" s="1062"/>
      <c r="G207" s="1489"/>
      <c r="H207" s="1063"/>
      <c r="I207" s="1406"/>
      <c r="J207" s="1546" t="s">
        <v>502</v>
      </c>
      <c r="K207" s="71">
        <v>3</v>
      </c>
      <c r="L207" s="1395">
        <v>10</v>
      </c>
      <c r="M207" s="215">
        <v>10</v>
      </c>
    </row>
    <row r="208" spans="1:16" s="205" customFormat="1" ht="15.6" customHeight="1" thickBot="1" x14ac:dyDescent="0.25">
      <c r="A208" s="1422"/>
      <c r="B208" s="216"/>
      <c r="C208" s="219"/>
      <c r="D208" s="1556"/>
      <c r="E208" s="139"/>
      <c r="F208" s="299" t="s">
        <v>12</v>
      </c>
      <c r="G208" s="106">
        <f>G201</f>
        <v>43.6</v>
      </c>
      <c r="H208" s="108">
        <f>H201</f>
        <v>2058.6999999999998</v>
      </c>
      <c r="I208" s="106">
        <f>I201</f>
        <v>20</v>
      </c>
      <c r="J208" s="1560"/>
      <c r="K208" s="71"/>
      <c r="L208" s="1395"/>
      <c r="M208" s="215"/>
    </row>
    <row r="209" spans="1:16" s="205" customFormat="1" ht="14.25" customHeight="1" x14ac:dyDescent="0.2">
      <c r="A209" s="1435" t="s">
        <v>13</v>
      </c>
      <c r="B209" s="1384" t="s">
        <v>13</v>
      </c>
      <c r="C209" s="221" t="s">
        <v>13</v>
      </c>
      <c r="D209" s="1537" t="s">
        <v>212</v>
      </c>
      <c r="E209" s="1401" t="s">
        <v>2</v>
      </c>
      <c r="F209" s="412" t="s">
        <v>11</v>
      </c>
      <c r="G209" s="179">
        <v>316.3</v>
      </c>
      <c r="H209" s="142">
        <v>165</v>
      </c>
      <c r="I209" s="471">
        <v>137</v>
      </c>
      <c r="J209" s="313"/>
      <c r="K209" s="405"/>
      <c r="L209" s="445"/>
      <c r="M209" s="466"/>
      <c r="O209" s="1068" t="s">
        <v>11</v>
      </c>
      <c r="P209" s="1069">
        <f>G213+G215+G217</f>
        <v>316.3</v>
      </c>
    </row>
    <row r="210" spans="1:16" s="205" customFormat="1" ht="15.75" customHeight="1" x14ac:dyDescent="0.2">
      <c r="A210" s="1422"/>
      <c r="B210" s="216"/>
      <c r="C210" s="219"/>
      <c r="D210" s="1538"/>
      <c r="E210" s="1377"/>
      <c r="F210" s="1417" t="s">
        <v>63</v>
      </c>
      <c r="G210" s="1191">
        <v>24.1</v>
      </c>
      <c r="H210" s="1353"/>
      <c r="I210" s="739"/>
      <c r="J210" s="314"/>
      <c r="K210" s="379"/>
      <c r="L210" s="1066"/>
      <c r="M210" s="1067"/>
    </row>
    <row r="211" spans="1:16" s="205" customFormat="1" ht="16.899999999999999" customHeight="1" x14ac:dyDescent="0.2">
      <c r="A211" s="1422"/>
      <c r="B211" s="216"/>
      <c r="C211" s="219"/>
      <c r="D211" s="1561" t="s">
        <v>109</v>
      </c>
      <c r="E211" s="1377" t="s">
        <v>269</v>
      </c>
      <c r="F211" s="1581" t="s">
        <v>134</v>
      </c>
      <c r="G211" s="1582"/>
      <c r="H211" s="1583">
        <v>55</v>
      </c>
      <c r="I211" s="1584">
        <v>35</v>
      </c>
      <c r="J211" s="125" t="s">
        <v>74</v>
      </c>
      <c r="K211" s="13"/>
      <c r="L211" s="90">
        <v>11</v>
      </c>
      <c r="M211" s="365">
        <v>7</v>
      </c>
    </row>
    <row r="212" spans="1:16" s="205" customFormat="1" ht="16.899999999999999" customHeight="1" x14ac:dyDescent="0.2">
      <c r="A212" s="1422"/>
      <c r="B212" s="216"/>
      <c r="C212" s="219"/>
      <c r="D212" s="1563"/>
      <c r="E212" s="1377"/>
      <c r="F212" s="1581"/>
      <c r="G212" s="1582"/>
      <c r="H212" s="1583"/>
      <c r="I212" s="1584"/>
      <c r="J212" s="125" t="s">
        <v>141</v>
      </c>
      <c r="K212" s="13"/>
      <c r="L212" s="90">
        <v>55</v>
      </c>
      <c r="M212" s="365">
        <v>35</v>
      </c>
    </row>
    <row r="213" spans="1:16" s="205" customFormat="1" ht="24" customHeight="1" x14ac:dyDescent="0.2">
      <c r="A213" s="1422"/>
      <c r="B213" s="216"/>
      <c r="C213" s="219"/>
      <c r="D213" s="1561" t="s">
        <v>286</v>
      </c>
      <c r="E213" s="1377" t="s">
        <v>274</v>
      </c>
      <c r="F213" s="1375" t="s">
        <v>134</v>
      </c>
      <c r="G213" s="1451">
        <v>100</v>
      </c>
      <c r="H213" s="1350">
        <v>100</v>
      </c>
      <c r="I213" s="1492">
        <v>102</v>
      </c>
      <c r="J213" s="125" t="s">
        <v>141</v>
      </c>
      <c r="K213" s="13">
        <v>100</v>
      </c>
      <c r="L213" s="90">
        <v>100</v>
      </c>
      <c r="M213" s="275">
        <v>102</v>
      </c>
    </row>
    <row r="214" spans="1:16" s="205" customFormat="1" ht="18.75" customHeight="1" x14ac:dyDescent="0.2">
      <c r="A214" s="1422"/>
      <c r="B214" s="216"/>
      <c r="C214" s="219"/>
      <c r="D214" s="1563"/>
      <c r="E214" s="1377"/>
      <c r="F214" s="1375"/>
      <c r="G214" s="1228"/>
      <c r="H214" s="1350"/>
      <c r="I214" s="1406"/>
      <c r="J214" s="125" t="s">
        <v>70</v>
      </c>
      <c r="K214" s="13">
        <v>53</v>
      </c>
      <c r="L214" s="90">
        <v>53</v>
      </c>
      <c r="M214" s="275">
        <v>53</v>
      </c>
    </row>
    <row r="215" spans="1:16" s="205" customFormat="1" ht="16.899999999999999" customHeight="1" x14ac:dyDescent="0.2">
      <c r="A215" s="1422"/>
      <c r="B215" s="216"/>
      <c r="C215" s="219"/>
      <c r="D215" s="1561" t="s">
        <v>108</v>
      </c>
      <c r="E215" s="1577" t="s">
        <v>329</v>
      </c>
      <c r="F215" s="1375" t="s">
        <v>134</v>
      </c>
      <c r="G215" s="1451">
        <v>122.3</v>
      </c>
      <c r="H215" s="1350"/>
      <c r="I215" s="1492"/>
      <c r="J215" s="125" t="s">
        <v>70</v>
      </c>
      <c r="K215" s="71">
        <v>10</v>
      </c>
      <c r="L215" s="1395"/>
      <c r="M215" s="215"/>
    </row>
    <row r="216" spans="1:16" s="205" customFormat="1" ht="20.25" customHeight="1" x14ac:dyDescent="0.2">
      <c r="A216" s="1422"/>
      <c r="B216" s="216"/>
      <c r="C216" s="219"/>
      <c r="D216" s="1563"/>
      <c r="E216" s="1578"/>
      <c r="F216" s="1375" t="s">
        <v>221</v>
      </c>
      <c r="G216" s="1451">
        <v>24.1</v>
      </c>
      <c r="H216" s="1350"/>
      <c r="I216" s="1450"/>
      <c r="J216" s="96"/>
      <c r="K216" s="1027"/>
      <c r="L216" s="1028"/>
      <c r="M216" s="1029"/>
    </row>
    <row r="217" spans="1:16" s="205" customFormat="1" ht="18" customHeight="1" x14ac:dyDescent="0.2">
      <c r="A217" s="1422"/>
      <c r="B217" s="216"/>
      <c r="C217" s="219"/>
      <c r="D217" s="1561" t="s">
        <v>175</v>
      </c>
      <c r="E217" s="139" t="s">
        <v>274</v>
      </c>
      <c r="F217" s="1375" t="s">
        <v>134</v>
      </c>
      <c r="G217" s="1451">
        <v>94</v>
      </c>
      <c r="H217" s="1350">
        <v>10</v>
      </c>
      <c r="I217" s="1579"/>
      <c r="J217" s="93" t="s">
        <v>70</v>
      </c>
      <c r="K217" s="13">
        <v>44</v>
      </c>
      <c r="L217" s="90">
        <v>5</v>
      </c>
      <c r="M217" s="365"/>
    </row>
    <row r="218" spans="1:16" s="205" customFormat="1" ht="18" customHeight="1" x14ac:dyDescent="0.2">
      <c r="A218" s="1422"/>
      <c r="B218" s="216"/>
      <c r="C218" s="219"/>
      <c r="D218" s="1562"/>
      <c r="E218" s="139"/>
      <c r="F218" s="1375"/>
      <c r="G218" s="1228"/>
      <c r="H218" s="1350"/>
      <c r="I218" s="1579"/>
      <c r="J218" s="93" t="s">
        <v>141</v>
      </c>
      <c r="K218" s="13">
        <v>47</v>
      </c>
      <c r="L218" s="90">
        <v>5</v>
      </c>
      <c r="M218" s="365"/>
    </row>
    <row r="219" spans="1:16" s="205" customFormat="1" ht="15" customHeight="1" x14ac:dyDescent="0.2">
      <c r="A219" s="1422"/>
      <c r="B219" s="216"/>
      <c r="C219" s="219"/>
      <c r="D219" s="1562"/>
      <c r="E219" s="139"/>
      <c r="F219" s="1375"/>
      <c r="G219" s="1228"/>
      <c r="H219" s="1350"/>
      <c r="I219" s="1580"/>
      <c r="J219" s="1546" t="s">
        <v>287</v>
      </c>
      <c r="K219" s="1567">
        <v>47</v>
      </c>
      <c r="L219" s="1569">
        <v>5</v>
      </c>
      <c r="M219" s="1571"/>
    </row>
    <row r="220" spans="1:16" s="205" customFormat="1" ht="13.5" customHeight="1" thickBot="1" x14ac:dyDescent="0.25">
      <c r="A220" s="1423"/>
      <c r="B220" s="1385"/>
      <c r="C220" s="226"/>
      <c r="D220" s="1556"/>
      <c r="E220" s="1015"/>
      <c r="F220" s="39" t="s">
        <v>12</v>
      </c>
      <c r="G220" s="1202">
        <f>SUM(G209:G210)</f>
        <v>340.40000000000003</v>
      </c>
      <c r="H220" s="1201">
        <f>SUM(H209:H210)</f>
        <v>165</v>
      </c>
      <c r="I220" s="1202">
        <f>SUM(I209:I210)</f>
        <v>137</v>
      </c>
      <c r="J220" s="1560"/>
      <c r="K220" s="1568"/>
      <c r="L220" s="1570"/>
      <c r="M220" s="1572"/>
    </row>
    <row r="221" spans="1:16" ht="15.75" customHeight="1" thickBot="1" x14ac:dyDescent="0.25">
      <c r="A221" s="194" t="s">
        <v>13</v>
      </c>
      <c r="B221" s="189" t="s">
        <v>13</v>
      </c>
      <c r="C221" s="1548" t="s">
        <v>16</v>
      </c>
      <c r="D221" s="1549"/>
      <c r="E221" s="1549"/>
      <c r="F221" s="1550"/>
      <c r="G221" s="228">
        <f>G208+G220</f>
        <v>384.00000000000006</v>
      </c>
      <c r="H221" s="229">
        <f>H208+H220</f>
        <v>2223.6999999999998</v>
      </c>
      <c r="I221" s="475">
        <f>I208+I220</f>
        <v>157</v>
      </c>
      <c r="J221" s="230"/>
      <c r="K221" s="231"/>
      <c r="L221" s="231"/>
      <c r="M221" s="1441"/>
    </row>
    <row r="222" spans="1:16" ht="15.75" customHeight="1" thickBot="1" x14ac:dyDescent="0.25">
      <c r="A222" s="194" t="s">
        <v>13</v>
      </c>
      <c r="B222" s="232" t="s">
        <v>15</v>
      </c>
      <c r="C222" s="1573" t="s">
        <v>25</v>
      </c>
      <c r="D222" s="1574"/>
      <c r="E222" s="1574"/>
      <c r="F222" s="1574"/>
      <c r="G222" s="1574"/>
      <c r="H222" s="1574"/>
      <c r="I222" s="1003"/>
      <c r="J222" s="1003"/>
      <c r="K222" s="1003"/>
      <c r="L222" s="1003"/>
      <c r="M222" s="1004"/>
    </row>
    <row r="223" spans="1:16" ht="15.6" customHeight="1" x14ac:dyDescent="0.2">
      <c r="A223" s="184" t="s">
        <v>13</v>
      </c>
      <c r="B223" s="185" t="s">
        <v>15</v>
      </c>
      <c r="C223" s="162" t="s">
        <v>10</v>
      </c>
      <c r="D223" s="1575" t="s">
        <v>26</v>
      </c>
      <c r="E223" s="282"/>
      <c r="F223" s="1070" t="s">
        <v>11</v>
      </c>
      <c r="G223" s="1072">
        <v>2252.1</v>
      </c>
      <c r="H223" s="1073">
        <v>2274.9</v>
      </c>
      <c r="I223" s="1493">
        <v>2281.8000000000002</v>
      </c>
      <c r="J223" s="1419"/>
      <c r="K223" s="407"/>
      <c r="L223" s="450"/>
      <c r="M223" s="362"/>
    </row>
    <row r="224" spans="1:16" ht="13.15" customHeight="1" x14ac:dyDescent="0.2">
      <c r="A224" s="172"/>
      <c r="B224" s="164"/>
      <c r="C224" s="171"/>
      <c r="D224" s="1576"/>
      <c r="E224" s="1000"/>
      <c r="F224" s="1071" t="s">
        <v>63</v>
      </c>
      <c r="G224" s="1494">
        <v>458.4</v>
      </c>
      <c r="H224" s="1074"/>
      <c r="I224" s="1495"/>
      <c r="J224" s="1420"/>
      <c r="K224" s="408"/>
      <c r="L224" s="451"/>
      <c r="M224" s="360"/>
    </row>
    <row r="225" spans="1:18" ht="13.15" customHeight="1" x14ac:dyDescent="0.2">
      <c r="A225" s="172"/>
      <c r="B225" s="164"/>
      <c r="C225" s="171"/>
      <c r="D225" s="1388"/>
      <c r="E225" s="1000"/>
      <c r="F225" s="1429" t="s">
        <v>14</v>
      </c>
      <c r="G225" s="1075">
        <v>2.9</v>
      </c>
      <c r="H225" s="1076">
        <v>2.9</v>
      </c>
      <c r="I225" s="1496">
        <v>2.9</v>
      </c>
      <c r="J225" s="1420"/>
      <c r="K225" s="408"/>
      <c r="L225" s="451"/>
      <c r="M225" s="360"/>
    </row>
    <row r="226" spans="1:18" ht="29.45" customHeight="1" x14ac:dyDescent="0.2">
      <c r="A226" s="172"/>
      <c r="B226" s="164"/>
      <c r="C226" s="233"/>
      <c r="D226" s="1561" t="s">
        <v>339</v>
      </c>
      <c r="E226" s="1436" t="s">
        <v>269</v>
      </c>
      <c r="F226" s="1375" t="s">
        <v>134</v>
      </c>
      <c r="G226" s="1451">
        <v>710</v>
      </c>
      <c r="H226" s="1350">
        <v>760</v>
      </c>
      <c r="I226" s="1452">
        <v>760</v>
      </c>
      <c r="J226" s="93" t="s">
        <v>320</v>
      </c>
      <c r="K226" s="13">
        <v>26</v>
      </c>
      <c r="L226" s="90">
        <v>27</v>
      </c>
      <c r="M226" s="275">
        <v>27</v>
      </c>
      <c r="N226" s="292"/>
      <c r="O226" s="1030" t="s">
        <v>11</v>
      </c>
      <c r="P226" s="1031">
        <f>G226+G228+G229+G231+G232+G233+G234+G236+G237+G238+G239+G241+G242+G243</f>
        <v>2252.1</v>
      </c>
      <c r="Q226" s="1031">
        <f>H226+H228+H229+H231+H232+H234+H236+H237+H238+H239+H241+H242+H243</f>
        <v>2274.9</v>
      </c>
      <c r="R226" s="1031">
        <f>I226+I228+I229+I231+I232+I234+I236+I237+I238+I239+I241+I242+I243</f>
        <v>2281.7999999999997</v>
      </c>
    </row>
    <row r="227" spans="1:18" ht="26.45" customHeight="1" x14ac:dyDescent="0.2">
      <c r="A227" s="172"/>
      <c r="B227" s="164"/>
      <c r="C227" s="233"/>
      <c r="D227" s="1562"/>
      <c r="E227" s="679"/>
      <c r="F227" s="1375" t="s">
        <v>221</v>
      </c>
      <c r="G227" s="1451">
        <v>432.7</v>
      </c>
      <c r="H227" s="1045"/>
      <c r="I227" s="1450"/>
      <c r="J227" s="54" t="s">
        <v>265</v>
      </c>
      <c r="K227" s="71">
        <v>41</v>
      </c>
      <c r="L227" s="1395"/>
      <c r="M227" s="215"/>
      <c r="O227" s="1030" t="s">
        <v>63</v>
      </c>
      <c r="P227" s="1031">
        <f>G227+G230+G240</f>
        <v>458.4</v>
      </c>
      <c r="Q227" s="1031"/>
      <c r="R227" s="1031"/>
    </row>
    <row r="228" spans="1:18" s="234" customFormat="1" ht="30" customHeight="1" x14ac:dyDescent="0.2">
      <c r="A228" s="172"/>
      <c r="B228" s="164"/>
      <c r="C228" s="233"/>
      <c r="D228" s="1372" t="s">
        <v>57</v>
      </c>
      <c r="E228" s="1436" t="s">
        <v>269</v>
      </c>
      <c r="F228" s="1375" t="s">
        <v>134</v>
      </c>
      <c r="G228" s="1451">
        <v>34.5</v>
      </c>
      <c r="H228" s="1350">
        <v>34.5</v>
      </c>
      <c r="I228" s="1450">
        <v>41.4</v>
      </c>
      <c r="J228" s="1361" t="s">
        <v>70</v>
      </c>
      <c r="K228" s="1">
        <v>93</v>
      </c>
      <c r="L228" s="1359">
        <v>93</v>
      </c>
      <c r="M228" s="1357">
        <v>94</v>
      </c>
      <c r="O228" s="1077" t="s">
        <v>14</v>
      </c>
      <c r="P228" s="1078">
        <f>G235</f>
        <v>2.9</v>
      </c>
      <c r="Q228" s="1078">
        <f>H235</f>
        <v>2.9</v>
      </c>
      <c r="R228" s="1078">
        <f>I235</f>
        <v>2.9</v>
      </c>
    </row>
    <row r="229" spans="1:18" ht="16.5" customHeight="1" x14ac:dyDescent="0.2">
      <c r="A229" s="172"/>
      <c r="B229" s="164"/>
      <c r="C229" s="233"/>
      <c r="D229" s="1561" t="s">
        <v>30</v>
      </c>
      <c r="E229" s="1436" t="s">
        <v>269</v>
      </c>
      <c r="F229" s="1375" t="s">
        <v>134</v>
      </c>
      <c r="G229" s="1451">
        <v>98</v>
      </c>
      <c r="H229" s="1350">
        <v>107.8</v>
      </c>
      <c r="I229" s="1450">
        <v>107.8</v>
      </c>
      <c r="J229" s="1546" t="s">
        <v>504</v>
      </c>
      <c r="K229" s="1">
        <v>31</v>
      </c>
      <c r="L229" s="1359">
        <v>30</v>
      </c>
      <c r="M229" s="1357">
        <v>30</v>
      </c>
      <c r="O229" s="1030" t="s">
        <v>527</v>
      </c>
      <c r="P229" s="1031">
        <f>SUM(P226:P228)</f>
        <v>2713.4</v>
      </c>
      <c r="Q229" s="1031">
        <f>SUM(Q226:Q228)</f>
        <v>2277.8000000000002</v>
      </c>
      <c r="R229" s="1031">
        <f>SUM(R226:R228)</f>
        <v>2284.6999999999998</v>
      </c>
    </row>
    <row r="230" spans="1:18" ht="16.5" customHeight="1" x14ac:dyDescent="0.2">
      <c r="A230" s="172"/>
      <c r="B230" s="164"/>
      <c r="C230" s="233"/>
      <c r="D230" s="1563"/>
      <c r="E230" s="1436"/>
      <c r="F230" s="1375" t="s">
        <v>221</v>
      </c>
      <c r="G230" s="1451">
        <v>15.8</v>
      </c>
      <c r="H230" s="1350"/>
      <c r="I230" s="1450"/>
      <c r="J230" s="1564"/>
      <c r="K230" s="2"/>
      <c r="L230" s="91"/>
      <c r="M230" s="276"/>
      <c r="P230" s="292"/>
      <c r="Q230" s="292"/>
      <c r="R230" s="292"/>
    </row>
    <row r="231" spans="1:18" ht="29.25" customHeight="1" x14ac:dyDescent="0.2">
      <c r="A231" s="172"/>
      <c r="B231" s="164"/>
      <c r="C231" s="233"/>
      <c r="D231" s="998" t="s">
        <v>32</v>
      </c>
      <c r="E231" s="1436" t="s">
        <v>269</v>
      </c>
      <c r="F231" s="1375" t="s">
        <v>134</v>
      </c>
      <c r="G231" s="1451">
        <v>56</v>
      </c>
      <c r="H231" s="1350">
        <v>56</v>
      </c>
      <c r="I231" s="1450">
        <v>56</v>
      </c>
      <c r="J231" s="1362" t="s">
        <v>321</v>
      </c>
      <c r="K231" s="2">
        <v>4</v>
      </c>
      <c r="L231" s="91">
        <v>4</v>
      </c>
      <c r="M231" s="276">
        <v>4</v>
      </c>
    </row>
    <row r="232" spans="1:18" ht="18" customHeight="1" x14ac:dyDescent="0.2">
      <c r="A232" s="172"/>
      <c r="B232" s="164"/>
      <c r="C232" s="233"/>
      <c r="D232" s="41" t="s">
        <v>29</v>
      </c>
      <c r="E232" s="1436" t="s">
        <v>269</v>
      </c>
      <c r="F232" s="1375" t="s">
        <v>134</v>
      </c>
      <c r="G232" s="1451">
        <v>17.5</v>
      </c>
      <c r="H232" s="1350">
        <v>17.5</v>
      </c>
      <c r="I232" s="1450">
        <v>17.5</v>
      </c>
      <c r="J232" s="999" t="s">
        <v>33</v>
      </c>
      <c r="K232" s="13">
        <v>38</v>
      </c>
      <c r="L232" s="90">
        <v>38</v>
      </c>
      <c r="M232" s="682">
        <v>38</v>
      </c>
    </row>
    <row r="233" spans="1:18" ht="18" customHeight="1" x14ac:dyDescent="0.2">
      <c r="A233" s="172"/>
      <c r="B233" s="164"/>
      <c r="C233" s="171"/>
      <c r="D233" s="961" t="s">
        <v>330</v>
      </c>
      <c r="E233" s="1436" t="s">
        <v>269</v>
      </c>
      <c r="F233" s="1375" t="s">
        <v>134</v>
      </c>
      <c r="G233" s="1451">
        <v>3</v>
      </c>
      <c r="H233" s="1350"/>
      <c r="I233" s="1450"/>
      <c r="J233" s="1361" t="s">
        <v>331</v>
      </c>
      <c r="K233" s="13">
        <v>70</v>
      </c>
      <c r="L233" s="90"/>
      <c r="M233" s="682"/>
    </row>
    <row r="234" spans="1:18" ht="18" customHeight="1" x14ac:dyDescent="0.2">
      <c r="A234" s="172"/>
      <c r="B234" s="164"/>
      <c r="C234" s="171"/>
      <c r="D234" s="1372" t="s">
        <v>31</v>
      </c>
      <c r="E234" s="1436" t="s">
        <v>269</v>
      </c>
      <c r="F234" s="1375" t="s">
        <v>134</v>
      </c>
      <c r="G234" s="1497">
        <v>312.7</v>
      </c>
      <c r="H234" s="1349">
        <v>312.7</v>
      </c>
      <c r="I234" s="1371">
        <v>312.7</v>
      </c>
      <c r="J234" s="1546" t="s">
        <v>97</v>
      </c>
      <c r="K234" s="71">
        <v>103</v>
      </c>
      <c r="L234" s="1395">
        <v>104</v>
      </c>
      <c r="M234" s="215">
        <v>104</v>
      </c>
    </row>
    <row r="235" spans="1:18" ht="14.45" customHeight="1" x14ac:dyDescent="0.2">
      <c r="A235" s="172"/>
      <c r="B235" s="164"/>
      <c r="C235" s="171"/>
      <c r="D235" s="1373"/>
      <c r="E235" s="679"/>
      <c r="F235" s="1079" t="s">
        <v>219</v>
      </c>
      <c r="G235" s="1497">
        <v>2.9</v>
      </c>
      <c r="H235" s="1349">
        <v>2.9</v>
      </c>
      <c r="I235" s="1450">
        <v>2.9</v>
      </c>
      <c r="J235" s="1564"/>
      <c r="K235" s="71"/>
      <c r="L235" s="1395"/>
      <c r="M235" s="215"/>
    </row>
    <row r="236" spans="1:18" ht="27" customHeight="1" x14ac:dyDescent="0.2">
      <c r="A236" s="172"/>
      <c r="B236" s="164"/>
      <c r="C236" s="233"/>
      <c r="D236" s="997" t="s">
        <v>36</v>
      </c>
      <c r="E236" s="1436" t="s">
        <v>269</v>
      </c>
      <c r="F236" s="1375" t="s">
        <v>134</v>
      </c>
      <c r="G236" s="1407">
        <v>205</v>
      </c>
      <c r="H236" s="1349">
        <v>205</v>
      </c>
      <c r="I236" s="1450">
        <v>205</v>
      </c>
      <c r="J236" s="93" t="s">
        <v>70</v>
      </c>
      <c r="K236" s="13">
        <v>10</v>
      </c>
      <c r="L236" s="90">
        <v>10</v>
      </c>
      <c r="M236" s="275">
        <v>10</v>
      </c>
    </row>
    <row r="237" spans="1:18" ht="27" customHeight="1" x14ac:dyDescent="0.2">
      <c r="A237" s="172"/>
      <c r="B237" s="164"/>
      <c r="C237" s="233"/>
      <c r="D237" s="76" t="s">
        <v>153</v>
      </c>
      <c r="E237" s="1412" t="s">
        <v>269</v>
      </c>
      <c r="F237" s="1375" t="s">
        <v>134</v>
      </c>
      <c r="G237" s="1497">
        <v>300</v>
      </c>
      <c r="H237" s="1349">
        <v>300</v>
      </c>
      <c r="I237" s="1450">
        <v>300</v>
      </c>
      <c r="J237" s="93" t="s">
        <v>70</v>
      </c>
      <c r="K237" s="2">
        <v>9</v>
      </c>
      <c r="L237" s="91">
        <v>9</v>
      </c>
      <c r="M237" s="689">
        <v>9</v>
      </c>
    </row>
    <row r="238" spans="1:18" ht="18" customHeight="1" x14ac:dyDescent="0.2">
      <c r="A238" s="172"/>
      <c r="B238" s="164"/>
      <c r="C238" s="233"/>
      <c r="D238" s="1373" t="s">
        <v>51</v>
      </c>
      <c r="E238" s="690" t="s">
        <v>269</v>
      </c>
      <c r="F238" s="1375" t="s">
        <v>134</v>
      </c>
      <c r="G238" s="1497">
        <v>200</v>
      </c>
      <c r="H238" s="1349">
        <v>200</v>
      </c>
      <c r="I238" s="1450">
        <v>200</v>
      </c>
      <c r="J238" s="93" t="s">
        <v>70</v>
      </c>
      <c r="K238" s="2">
        <v>10</v>
      </c>
      <c r="L238" s="91">
        <v>10</v>
      </c>
      <c r="M238" s="276">
        <v>10</v>
      </c>
    </row>
    <row r="239" spans="1:18" ht="27.75" customHeight="1" x14ac:dyDescent="0.2">
      <c r="A239" s="172"/>
      <c r="B239" s="164"/>
      <c r="C239" s="171"/>
      <c r="D239" s="1561" t="s">
        <v>340</v>
      </c>
      <c r="E239" s="1565" t="s">
        <v>269</v>
      </c>
      <c r="F239" s="1375" t="s">
        <v>134</v>
      </c>
      <c r="G239" s="1497">
        <v>184</v>
      </c>
      <c r="H239" s="1349">
        <v>150</v>
      </c>
      <c r="I239" s="1450">
        <v>150</v>
      </c>
      <c r="J239" s="1386" t="s">
        <v>99</v>
      </c>
      <c r="K239" s="71">
        <v>2</v>
      </c>
      <c r="L239" s="1216"/>
      <c r="M239" s="276"/>
    </row>
    <row r="240" spans="1:18" ht="27.75" customHeight="1" x14ac:dyDescent="0.2">
      <c r="A240" s="172"/>
      <c r="B240" s="164"/>
      <c r="C240" s="171"/>
      <c r="D240" s="1563"/>
      <c r="E240" s="1566"/>
      <c r="F240" s="1375" t="s">
        <v>221</v>
      </c>
      <c r="G240" s="1451">
        <v>9.9</v>
      </c>
      <c r="H240" s="1045"/>
      <c r="I240" s="1450"/>
      <c r="J240" s="999" t="s">
        <v>102</v>
      </c>
      <c r="K240" s="1">
        <v>2</v>
      </c>
      <c r="L240" s="1359">
        <v>2</v>
      </c>
      <c r="M240" s="1357">
        <v>2</v>
      </c>
    </row>
    <row r="241" spans="1:16" ht="28.5" customHeight="1" x14ac:dyDescent="0.2">
      <c r="A241" s="172"/>
      <c r="B241" s="164"/>
      <c r="C241" s="171"/>
      <c r="D241" s="41" t="s">
        <v>85</v>
      </c>
      <c r="E241" s="694" t="s">
        <v>269</v>
      </c>
      <c r="F241" s="1375" t="s">
        <v>134</v>
      </c>
      <c r="G241" s="1497">
        <v>40</v>
      </c>
      <c r="H241" s="1349">
        <v>40</v>
      </c>
      <c r="I241" s="1450">
        <v>40</v>
      </c>
      <c r="J241" s="1361" t="s">
        <v>70</v>
      </c>
      <c r="K241" s="1">
        <v>33</v>
      </c>
      <c r="L241" s="1359">
        <v>33</v>
      </c>
      <c r="M241" s="1357">
        <v>33</v>
      </c>
    </row>
    <row r="242" spans="1:16" ht="18" customHeight="1" x14ac:dyDescent="0.2">
      <c r="A242" s="172"/>
      <c r="B242" s="164"/>
      <c r="C242" s="171"/>
      <c r="D242" s="41" t="s">
        <v>341</v>
      </c>
      <c r="E242" s="695" t="s">
        <v>269</v>
      </c>
      <c r="F242" s="1375" t="s">
        <v>134</v>
      </c>
      <c r="G242" s="1497">
        <v>75</v>
      </c>
      <c r="H242" s="1349">
        <v>75</v>
      </c>
      <c r="I242" s="1450">
        <v>75</v>
      </c>
      <c r="J242" s="93" t="s">
        <v>70</v>
      </c>
      <c r="K242" s="13">
        <v>3</v>
      </c>
      <c r="L242" s="90">
        <v>3</v>
      </c>
      <c r="M242" s="275">
        <v>3</v>
      </c>
    </row>
    <row r="243" spans="1:16" ht="18" customHeight="1" x14ac:dyDescent="0.2">
      <c r="A243" s="172"/>
      <c r="B243" s="164"/>
      <c r="C243" s="171"/>
      <c r="D243" s="997" t="s">
        <v>335</v>
      </c>
      <c r="E243" s="1425" t="s">
        <v>274</v>
      </c>
      <c r="F243" s="1032" t="s">
        <v>134</v>
      </c>
      <c r="G243" s="1459">
        <v>16.399999999999999</v>
      </c>
      <c r="H243" s="1033">
        <v>16.399999999999999</v>
      </c>
      <c r="I243" s="1486">
        <v>16.399999999999999</v>
      </c>
      <c r="J243" s="54" t="s">
        <v>70</v>
      </c>
      <c r="K243" s="71">
        <v>90</v>
      </c>
      <c r="L243" s="1395">
        <v>90</v>
      </c>
      <c r="M243" s="215">
        <v>90</v>
      </c>
    </row>
    <row r="244" spans="1:16" ht="16.899999999999999" customHeight="1" thickBot="1" x14ac:dyDescent="0.25">
      <c r="A244" s="188"/>
      <c r="B244" s="189"/>
      <c r="C244" s="190"/>
      <c r="D244" s="315"/>
      <c r="E244" s="959"/>
      <c r="F244" s="39" t="s">
        <v>12</v>
      </c>
      <c r="G244" s="106">
        <f>SUM(G223:G225)</f>
        <v>2713.4</v>
      </c>
      <c r="H244" s="108">
        <f>SUM(H223:H225)</f>
        <v>2277.8000000000002</v>
      </c>
      <c r="I244" s="106">
        <f>SUM(I223:I225)</f>
        <v>2284.7000000000003</v>
      </c>
      <c r="J244" s="852"/>
      <c r="K244" s="12"/>
      <c r="L244" s="1360"/>
      <c r="M244" s="367"/>
    </row>
    <row r="245" spans="1:16" s="205" customFormat="1" ht="19.5" customHeight="1" x14ac:dyDescent="0.2">
      <c r="A245" s="1551" t="s">
        <v>13</v>
      </c>
      <c r="B245" s="1553" t="s">
        <v>15</v>
      </c>
      <c r="C245" s="219" t="s">
        <v>13</v>
      </c>
      <c r="D245" s="1555" t="s">
        <v>140</v>
      </c>
      <c r="E245" s="1557" t="s">
        <v>269</v>
      </c>
      <c r="F245" s="465" t="s">
        <v>11</v>
      </c>
      <c r="G245" s="728">
        <v>33</v>
      </c>
      <c r="H245" s="729">
        <v>33</v>
      </c>
      <c r="I245" s="1218">
        <v>33</v>
      </c>
      <c r="J245" s="1559" t="s">
        <v>124</v>
      </c>
      <c r="K245" s="11">
        <v>300</v>
      </c>
      <c r="L245" s="1394">
        <v>300</v>
      </c>
      <c r="M245" s="368">
        <v>300</v>
      </c>
    </row>
    <row r="246" spans="1:16" s="205" customFormat="1" ht="15" customHeight="1" thickBot="1" x14ac:dyDescent="0.25">
      <c r="A246" s="1552"/>
      <c r="B246" s="1554"/>
      <c r="C246" s="236"/>
      <c r="D246" s="1556"/>
      <c r="E246" s="1558"/>
      <c r="F246" s="39" t="s">
        <v>12</v>
      </c>
      <c r="G246" s="1202">
        <f t="shared" ref="G246:I246" si="5">SUM(G245:G245)</f>
        <v>33</v>
      </c>
      <c r="H246" s="1201">
        <f t="shared" si="5"/>
        <v>33</v>
      </c>
      <c r="I246" s="1199">
        <f t="shared" si="5"/>
        <v>33</v>
      </c>
      <c r="J246" s="1560"/>
      <c r="K246" s="12"/>
      <c r="L246" s="1360"/>
      <c r="M246" s="1358"/>
    </row>
    <row r="247" spans="1:16" ht="27" customHeight="1" x14ac:dyDescent="0.2">
      <c r="A247" s="184" t="s">
        <v>13</v>
      </c>
      <c r="B247" s="185" t="s">
        <v>15</v>
      </c>
      <c r="C247" s="218" t="s">
        <v>15</v>
      </c>
      <c r="D247" s="1365" t="s">
        <v>84</v>
      </c>
      <c r="E247" s="1557" t="s">
        <v>269</v>
      </c>
      <c r="F247" s="1382" t="s">
        <v>11</v>
      </c>
      <c r="G247" s="110">
        <v>30</v>
      </c>
      <c r="H247" s="1352">
        <v>30</v>
      </c>
      <c r="I247" s="1397">
        <v>30</v>
      </c>
      <c r="J247" s="148" t="s">
        <v>100</v>
      </c>
      <c r="K247" s="11">
        <v>2</v>
      </c>
      <c r="L247" s="1394">
        <v>2</v>
      </c>
      <c r="M247" s="1363">
        <v>2</v>
      </c>
    </row>
    <row r="248" spans="1:16" ht="15" customHeight="1" thickBot="1" x14ac:dyDescent="0.25">
      <c r="A248" s="188"/>
      <c r="B248" s="189"/>
      <c r="C248" s="237"/>
      <c r="D248" s="1366"/>
      <c r="E248" s="1558"/>
      <c r="F248" s="39" t="s">
        <v>12</v>
      </c>
      <c r="G248" s="106">
        <f>SUM(G247:G247)</f>
        <v>30</v>
      </c>
      <c r="H248" s="108">
        <f>SUM(H247:H247)</f>
        <v>30</v>
      </c>
      <c r="I248" s="111">
        <f>SUM(I247:I247)</f>
        <v>30</v>
      </c>
      <c r="J248" s="852"/>
      <c r="K248" s="14"/>
      <c r="L248" s="997"/>
      <c r="M248" s="360"/>
    </row>
    <row r="249" spans="1:16" ht="15.75" customHeight="1" x14ac:dyDescent="0.2">
      <c r="A249" s="184" t="s">
        <v>13</v>
      </c>
      <c r="B249" s="185" t="s">
        <v>15</v>
      </c>
      <c r="C249" s="83" t="s">
        <v>17</v>
      </c>
      <c r="D249" s="1537" t="s">
        <v>58</v>
      </c>
      <c r="E249" s="238"/>
      <c r="F249" s="412" t="s">
        <v>11</v>
      </c>
      <c r="G249" s="179">
        <v>109.6</v>
      </c>
      <c r="H249" s="142">
        <v>49.7</v>
      </c>
      <c r="I249" s="372">
        <v>49.7</v>
      </c>
      <c r="J249" s="1381"/>
      <c r="K249" s="1437"/>
      <c r="L249" s="1365"/>
      <c r="M249" s="362"/>
    </row>
    <row r="250" spans="1:16" ht="17.25" customHeight="1" x14ac:dyDescent="0.2">
      <c r="A250" s="172"/>
      <c r="B250" s="164"/>
      <c r="C250" s="233"/>
      <c r="D250" s="1538"/>
      <c r="E250" s="131"/>
      <c r="F250" s="1417" t="s">
        <v>63</v>
      </c>
      <c r="G250" s="1191">
        <v>18.5</v>
      </c>
      <c r="H250" s="1353"/>
      <c r="I250" s="1398"/>
      <c r="J250" s="1386"/>
      <c r="K250" s="1391"/>
      <c r="L250" s="1368"/>
      <c r="M250" s="360"/>
      <c r="O250" s="1030" t="s">
        <v>11</v>
      </c>
      <c r="P250" s="1081">
        <f>G251+G252+G253+G254</f>
        <v>109.6</v>
      </c>
    </row>
    <row r="251" spans="1:16" s="19" customFormat="1" ht="31.15" customHeight="1" x14ac:dyDescent="0.2">
      <c r="A251" s="172"/>
      <c r="B251" s="164"/>
      <c r="C251" s="213"/>
      <c r="D251" s="1539" t="s">
        <v>56</v>
      </c>
      <c r="E251" s="501" t="s">
        <v>269</v>
      </c>
      <c r="F251" s="1084" t="s">
        <v>134</v>
      </c>
      <c r="G251" s="1497">
        <v>12.7</v>
      </c>
      <c r="H251" s="1349">
        <v>12.7</v>
      </c>
      <c r="I251" s="1450">
        <v>12.7</v>
      </c>
      <c r="J251" s="308" t="s">
        <v>101</v>
      </c>
      <c r="K251" s="580">
        <v>79</v>
      </c>
      <c r="L251" s="781">
        <v>79</v>
      </c>
      <c r="M251" s="275">
        <v>79</v>
      </c>
      <c r="O251" s="1082"/>
      <c r="P251" s="1081"/>
    </row>
    <row r="252" spans="1:16" s="19" customFormat="1" ht="43.9" customHeight="1" x14ac:dyDescent="0.2">
      <c r="A252" s="172"/>
      <c r="B252" s="164"/>
      <c r="C252" s="213"/>
      <c r="D252" s="1540"/>
      <c r="E252" s="239"/>
      <c r="F252" s="1084" t="s">
        <v>134</v>
      </c>
      <c r="G252" s="1497">
        <v>37</v>
      </c>
      <c r="H252" s="1349">
        <v>37</v>
      </c>
      <c r="I252" s="1450">
        <v>37</v>
      </c>
      <c r="J252" s="308" t="s">
        <v>322</v>
      </c>
      <c r="K252" s="580">
        <v>27</v>
      </c>
      <c r="L252" s="781">
        <v>27</v>
      </c>
      <c r="M252" s="1357">
        <v>27</v>
      </c>
    </row>
    <row r="253" spans="1:16" s="19" customFormat="1" ht="29.25" customHeight="1" x14ac:dyDescent="0.2">
      <c r="A253" s="172"/>
      <c r="B253" s="167"/>
      <c r="C253" s="213"/>
      <c r="D253" s="1539" t="s">
        <v>342</v>
      </c>
      <c r="E253" s="1428" t="s">
        <v>270</v>
      </c>
      <c r="F253" s="1084" t="s">
        <v>134</v>
      </c>
      <c r="G253" s="1451">
        <v>0.5</v>
      </c>
      <c r="H253" s="1350"/>
      <c r="I253" s="1450"/>
      <c r="J253" s="316" t="s">
        <v>299</v>
      </c>
      <c r="K253" s="1022">
        <v>2</v>
      </c>
      <c r="L253" s="265"/>
      <c r="M253" s="126"/>
      <c r="N253" s="292"/>
    </row>
    <row r="254" spans="1:16" ht="19.5" customHeight="1" x14ac:dyDescent="0.2">
      <c r="A254" s="172"/>
      <c r="B254" s="167"/>
      <c r="C254" s="213"/>
      <c r="D254" s="1541"/>
      <c r="E254" s="701"/>
      <c r="F254" s="1084" t="s">
        <v>134</v>
      </c>
      <c r="G254" s="1498">
        <v>59.4</v>
      </c>
      <c r="H254" s="1350"/>
      <c r="I254" s="1450"/>
      <c r="J254" s="1543" t="s">
        <v>125</v>
      </c>
      <c r="K254" s="580">
        <v>5</v>
      </c>
      <c r="L254" s="755"/>
      <c r="M254" s="1357"/>
      <c r="N254" s="292"/>
    </row>
    <row r="255" spans="1:16" ht="19.5" customHeight="1" x14ac:dyDescent="0.2">
      <c r="A255" s="172"/>
      <c r="B255" s="167"/>
      <c r="C255" s="213"/>
      <c r="D255" s="1541"/>
      <c r="E255" s="141"/>
      <c r="F255" s="1083" t="s">
        <v>221</v>
      </c>
      <c r="G255" s="1499">
        <v>18.5</v>
      </c>
      <c r="H255" s="1033"/>
      <c r="I255" s="1486"/>
      <c r="J255" s="1544"/>
      <c r="K255" s="281"/>
      <c r="L255" s="765"/>
      <c r="M255" s="215"/>
      <c r="N255" s="292"/>
    </row>
    <row r="256" spans="1:16" ht="14.25" customHeight="1" thickBot="1" x14ac:dyDescent="0.25">
      <c r="A256" s="172"/>
      <c r="B256" s="164"/>
      <c r="C256" s="212"/>
      <c r="D256" s="1542"/>
      <c r="E256" s="141"/>
      <c r="F256" s="317" t="s">
        <v>12</v>
      </c>
      <c r="G256" s="106">
        <f>SUM(G251:G255)</f>
        <v>128.1</v>
      </c>
      <c r="H256" s="108">
        <f>SUM(H251:H255)</f>
        <v>49.7</v>
      </c>
      <c r="I256" s="111">
        <f>SUM(I251:I255)</f>
        <v>49.7</v>
      </c>
      <c r="J256" s="1545"/>
      <c r="K256" s="406"/>
      <c r="L256" s="1389"/>
      <c r="M256" s="1396"/>
      <c r="N256" s="292"/>
    </row>
    <row r="257" spans="1:18" ht="16.149999999999999" customHeight="1" x14ac:dyDescent="0.2">
      <c r="A257" s="184" t="s">
        <v>13</v>
      </c>
      <c r="B257" s="185" t="s">
        <v>15</v>
      </c>
      <c r="C257" s="240" t="s">
        <v>18</v>
      </c>
      <c r="D257" s="274" t="s">
        <v>206</v>
      </c>
      <c r="E257" s="704" t="s">
        <v>269</v>
      </c>
      <c r="F257" s="412" t="s">
        <v>11</v>
      </c>
      <c r="G257" s="179">
        <v>3796.2</v>
      </c>
      <c r="H257" s="142">
        <f>3809.1-200</f>
        <v>3609.1</v>
      </c>
      <c r="I257" s="372">
        <f>3809.1-200</f>
        <v>3609.1</v>
      </c>
      <c r="J257" s="148"/>
      <c r="K257" s="186"/>
      <c r="L257" s="274"/>
      <c r="M257" s="1363"/>
      <c r="O257" s="1088"/>
      <c r="P257" s="1088"/>
      <c r="Q257" s="1088"/>
      <c r="R257" s="1088"/>
    </row>
    <row r="258" spans="1:18" ht="11.25" customHeight="1" x14ac:dyDescent="0.2">
      <c r="A258" s="172"/>
      <c r="B258" s="164"/>
      <c r="C258" s="165"/>
      <c r="D258" s="997"/>
      <c r="E258" s="224"/>
      <c r="F258" s="1417" t="s">
        <v>14</v>
      </c>
      <c r="G258" s="1191">
        <v>11.5</v>
      </c>
      <c r="H258" s="1353">
        <v>12</v>
      </c>
      <c r="I258" s="1398">
        <v>12</v>
      </c>
      <c r="J258" s="54"/>
      <c r="K258" s="14"/>
      <c r="L258" s="997"/>
      <c r="M258" s="1396"/>
      <c r="O258" s="1030" t="s">
        <v>11</v>
      </c>
      <c r="P258" s="1081">
        <f>G259+G260+G261</f>
        <v>3796.2</v>
      </c>
      <c r="Q258" s="1081">
        <f>H259+H260+H261</f>
        <v>3609.1</v>
      </c>
      <c r="R258" s="1081">
        <f>I259+I260+I261</f>
        <v>3609.1</v>
      </c>
    </row>
    <row r="259" spans="1:18" ht="15.75" customHeight="1" x14ac:dyDescent="0.2">
      <c r="A259" s="172"/>
      <c r="B259" s="164"/>
      <c r="C259" s="171"/>
      <c r="D259" s="998" t="s">
        <v>207</v>
      </c>
      <c r="E259" s="224"/>
      <c r="F259" s="1445" t="s">
        <v>134</v>
      </c>
      <c r="G259" s="1228">
        <v>3036.7</v>
      </c>
      <c r="H259" s="1448">
        <f>3040-200</f>
        <v>2840</v>
      </c>
      <c r="I259" s="1446">
        <f>3040-200</f>
        <v>2840</v>
      </c>
      <c r="J259" s="54" t="s">
        <v>70</v>
      </c>
      <c r="K259" s="71">
        <v>92</v>
      </c>
      <c r="L259" s="1395">
        <v>92</v>
      </c>
      <c r="M259" s="1396">
        <v>92</v>
      </c>
      <c r="O259" s="1088"/>
      <c r="P259" s="1089"/>
      <c r="Q259" s="1089"/>
      <c r="R259" s="1089"/>
    </row>
    <row r="260" spans="1:18" ht="16.149999999999999" customHeight="1" x14ac:dyDescent="0.2">
      <c r="A260" s="172"/>
      <c r="B260" s="164"/>
      <c r="C260" s="171"/>
      <c r="D260" s="997" t="s">
        <v>208</v>
      </c>
      <c r="E260" s="139" t="s">
        <v>269</v>
      </c>
      <c r="F260" s="1375" t="s">
        <v>134</v>
      </c>
      <c r="G260" s="1497">
        <v>750.4</v>
      </c>
      <c r="H260" s="1349">
        <v>760</v>
      </c>
      <c r="I260" s="1450">
        <v>760</v>
      </c>
      <c r="J260" s="1546" t="s">
        <v>325</v>
      </c>
      <c r="K260" s="1">
        <v>90</v>
      </c>
      <c r="L260" s="1359">
        <v>90</v>
      </c>
      <c r="M260" s="1404">
        <v>90</v>
      </c>
      <c r="O260" s="1088"/>
      <c r="P260" s="1089"/>
      <c r="Q260" s="1089"/>
      <c r="R260" s="1080"/>
    </row>
    <row r="261" spans="1:18" ht="16.149999999999999" customHeight="1" x14ac:dyDescent="0.2">
      <c r="A261" s="172"/>
      <c r="B261" s="164"/>
      <c r="C261" s="171"/>
      <c r="D261" s="997"/>
      <c r="E261" s="145"/>
      <c r="F261" s="1375" t="s">
        <v>134</v>
      </c>
      <c r="G261" s="1498">
        <v>9.1</v>
      </c>
      <c r="H261" s="1086">
        <v>9.1</v>
      </c>
      <c r="I261" s="1500">
        <v>9.1</v>
      </c>
      <c r="J261" s="1547"/>
      <c r="K261" s="1391"/>
      <c r="L261" s="1368"/>
      <c r="M261" s="1396"/>
    </row>
    <row r="262" spans="1:18" ht="15" customHeight="1" x14ac:dyDescent="0.2">
      <c r="A262" s="172"/>
      <c r="B262" s="164"/>
      <c r="C262" s="171"/>
      <c r="D262" s="997"/>
      <c r="E262" s="145"/>
      <c r="F262" s="1032" t="s">
        <v>219</v>
      </c>
      <c r="G262" s="1499">
        <v>11.5</v>
      </c>
      <c r="H262" s="1085">
        <v>12</v>
      </c>
      <c r="I262" s="1501">
        <v>12</v>
      </c>
      <c r="J262" s="1547"/>
      <c r="K262" s="1087"/>
      <c r="L262" s="1368"/>
      <c r="M262" s="1396"/>
    </row>
    <row r="263" spans="1:18" ht="15" customHeight="1" thickBot="1" x14ac:dyDescent="0.25">
      <c r="A263" s="172"/>
      <c r="B263" s="164"/>
      <c r="C263" s="212"/>
      <c r="D263" s="1366"/>
      <c r="E263" s="141"/>
      <c r="F263" s="317" t="s">
        <v>12</v>
      </c>
      <c r="G263" s="106">
        <f>SUM(G257:G258)</f>
        <v>3807.7</v>
      </c>
      <c r="H263" s="108">
        <f>SUM(H257:H258)</f>
        <v>3621.1</v>
      </c>
      <c r="I263" s="106">
        <f>SUM(I257:I258)</f>
        <v>3621.1</v>
      </c>
      <c r="J263" s="1369"/>
      <c r="K263" s="1438"/>
      <c r="L263" s="1366"/>
      <c r="M263" s="1364"/>
    </row>
    <row r="264" spans="1:18" ht="14.25" customHeight="1" thickBot="1" x14ac:dyDescent="0.25">
      <c r="A264" s="241" t="s">
        <v>13</v>
      </c>
      <c r="B264" s="242" t="s">
        <v>15</v>
      </c>
      <c r="C264" s="1548" t="s">
        <v>16</v>
      </c>
      <c r="D264" s="1549"/>
      <c r="E264" s="1549"/>
      <c r="F264" s="1550"/>
      <c r="G264" s="196">
        <f>G246+G248+G256+G244+G263</f>
        <v>6712.2</v>
      </c>
      <c r="H264" s="197">
        <f>H246+H248+H256+H244+H263</f>
        <v>6011.6</v>
      </c>
      <c r="I264" s="198">
        <f>I246+I248+I256+I244+I263</f>
        <v>6018.5</v>
      </c>
      <c r="J264" s="1439"/>
      <c r="K264" s="1440"/>
      <c r="L264" s="1440"/>
      <c r="M264" s="1441"/>
    </row>
    <row r="265" spans="1:18" s="64" customFormat="1" ht="14.25" customHeight="1" thickBot="1" x14ac:dyDescent="0.25">
      <c r="A265" s="241" t="s">
        <v>13</v>
      </c>
      <c r="B265" s="1523" t="s">
        <v>5</v>
      </c>
      <c r="C265" s="1524"/>
      <c r="D265" s="1524"/>
      <c r="E265" s="1524"/>
      <c r="F265" s="1525"/>
      <c r="G265" s="243">
        <f>G264+G221+G199</f>
        <v>21411.899999999998</v>
      </c>
      <c r="H265" s="244">
        <f>H264+H221+H199</f>
        <v>19985.8</v>
      </c>
      <c r="I265" s="318">
        <f>I264+I221+I199</f>
        <v>13005.3</v>
      </c>
      <c r="J265" s="1432"/>
      <c r="K265" s="1433"/>
      <c r="L265" s="1433"/>
      <c r="M265" s="1434"/>
    </row>
    <row r="266" spans="1:18" s="64" customFormat="1" ht="14.25" customHeight="1" thickBot="1" x14ac:dyDescent="0.25">
      <c r="A266" s="246" t="s">
        <v>4</v>
      </c>
      <c r="B266" s="1526" t="s">
        <v>6</v>
      </c>
      <c r="C266" s="1527"/>
      <c r="D266" s="1527"/>
      <c r="E266" s="1527"/>
      <c r="F266" s="1528"/>
      <c r="G266" s="247">
        <f>G265+G113</f>
        <v>142426.49999999997</v>
      </c>
      <c r="H266" s="248">
        <f>H265+H113</f>
        <v>140705.59999999998</v>
      </c>
      <c r="I266" s="319">
        <f>I265+I113</f>
        <v>132734.9</v>
      </c>
      <c r="J266" s="249"/>
      <c r="K266" s="250"/>
      <c r="L266" s="250"/>
      <c r="M266" s="251"/>
    </row>
    <row r="267" spans="1:18" s="64" customFormat="1" ht="14.25" customHeight="1" x14ac:dyDescent="0.2">
      <c r="A267" s="1529" t="s">
        <v>532</v>
      </c>
      <c r="B267" s="1529"/>
      <c r="C267" s="1529"/>
      <c r="D267" s="1529"/>
      <c r="E267" s="1529"/>
      <c r="F267" s="1529"/>
      <c r="G267" s="1529"/>
      <c r="H267" s="1529"/>
      <c r="I267" s="1529"/>
      <c r="J267" s="1529"/>
      <c r="K267" s="1529"/>
      <c r="L267" s="1529"/>
      <c r="M267" s="1529"/>
    </row>
    <row r="268" spans="1:18" s="64" customFormat="1" ht="14.25" customHeight="1" x14ac:dyDescent="0.2">
      <c r="A268" s="1416"/>
      <c r="B268" s="1416"/>
      <c r="C268" s="1416"/>
      <c r="D268" s="1416"/>
      <c r="E268" s="1416"/>
      <c r="F268" s="1416"/>
      <c r="G268" s="1416"/>
      <c r="H268" s="1416"/>
      <c r="I268" s="1416"/>
      <c r="J268" s="1416"/>
      <c r="K268" s="1416"/>
      <c r="L268" s="1416"/>
      <c r="M268" s="1416"/>
    </row>
    <row r="269" spans="1:18" s="64" customFormat="1" ht="18" customHeight="1" thickBot="1" x14ac:dyDescent="0.25">
      <c r="A269" s="1530" t="s">
        <v>0</v>
      </c>
      <c r="B269" s="1530"/>
      <c r="C269" s="1530"/>
      <c r="D269" s="1530"/>
      <c r="E269" s="1530"/>
      <c r="F269" s="1530"/>
      <c r="G269" s="1530"/>
      <c r="H269" s="1530"/>
      <c r="I269" s="1530"/>
      <c r="J269" s="252"/>
      <c r="K269" s="252"/>
      <c r="L269" s="252"/>
      <c r="M269" s="252"/>
    </row>
    <row r="270" spans="1:18" s="64" customFormat="1" ht="99" customHeight="1" thickBot="1" x14ac:dyDescent="0.25">
      <c r="A270" s="1531" t="s">
        <v>1</v>
      </c>
      <c r="B270" s="1532"/>
      <c r="C270" s="1532"/>
      <c r="D270" s="1532"/>
      <c r="E270" s="1532"/>
      <c r="F270" s="1533"/>
      <c r="G270" s="477" t="s">
        <v>247</v>
      </c>
      <c r="H270" s="478" t="s">
        <v>498</v>
      </c>
      <c r="I270" s="476" t="s">
        <v>253</v>
      </c>
      <c r="J270" s="49"/>
      <c r="K270" s="49"/>
      <c r="L270" s="49"/>
      <c r="M270" s="15"/>
    </row>
    <row r="271" spans="1:18" s="64" customFormat="1" ht="13.5" customHeight="1" x14ac:dyDescent="0.2">
      <c r="A271" s="1534" t="s">
        <v>500</v>
      </c>
      <c r="B271" s="1535"/>
      <c r="C271" s="1535"/>
      <c r="D271" s="1535"/>
      <c r="E271" s="1535"/>
      <c r="F271" s="1536"/>
      <c r="G271" s="253">
        <f>+G272+G278+G279+G280+G281</f>
        <v>142236.6</v>
      </c>
      <c r="H271" s="254">
        <f>+H272+H278+H279+H280+H281</f>
        <v>137374.6</v>
      </c>
      <c r="I271" s="255">
        <f>+I272+I278+I279+I280+I281</f>
        <v>130412.5</v>
      </c>
      <c r="J271" s="49"/>
      <c r="K271" s="49"/>
      <c r="L271" s="49"/>
      <c r="M271" s="15"/>
    </row>
    <row r="272" spans="1:18" s="64" customFormat="1" ht="13.5" customHeight="1" x14ac:dyDescent="0.2">
      <c r="A272" s="1517" t="s">
        <v>131</v>
      </c>
      <c r="B272" s="1518"/>
      <c r="C272" s="1518"/>
      <c r="D272" s="1518"/>
      <c r="E272" s="1518"/>
      <c r="F272" s="1519"/>
      <c r="G272" s="256">
        <f>SUM(G273:G277)</f>
        <v>134384.9</v>
      </c>
      <c r="H272" s="257">
        <f>SUM(H273:H277)</f>
        <v>137374.6</v>
      </c>
      <c r="I272" s="258">
        <f>SUM(I273:I277)</f>
        <v>130412.5</v>
      </c>
      <c r="J272" s="49"/>
      <c r="K272" s="49"/>
      <c r="L272" s="49"/>
      <c r="M272" s="15"/>
      <c r="N272" s="17"/>
    </row>
    <row r="273" spans="1:13" s="64" customFormat="1" ht="14.25" customHeight="1" x14ac:dyDescent="0.2">
      <c r="A273" s="1502" t="s">
        <v>201</v>
      </c>
      <c r="B273" s="1503"/>
      <c r="C273" s="1503"/>
      <c r="D273" s="1503"/>
      <c r="E273" s="1503"/>
      <c r="F273" s="1504"/>
      <c r="G273" s="4">
        <f>SUMIF(F15:F263,"sb",G15:G263)</f>
        <v>57283.099999999991</v>
      </c>
      <c r="H273" s="107">
        <f>SUMIF(F15:F263,"sb",H15:H263)</f>
        <v>65197.299999999988</v>
      </c>
      <c r="I273" s="116">
        <f>SUMIF(F15:F263,"sb",I15:I263)</f>
        <v>58474.5</v>
      </c>
      <c r="J273" s="10"/>
      <c r="K273" s="10"/>
      <c r="L273" s="10"/>
      <c r="M273" s="15"/>
    </row>
    <row r="274" spans="1:13" s="64" customFormat="1" ht="15.75" customHeight="1" x14ac:dyDescent="0.2">
      <c r="A274" s="1502" t="s">
        <v>202</v>
      </c>
      <c r="B274" s="1503"/>
      <c r="C274" s="1503"/>
      <c r="D274" s="1503"/>
      <c r="E274" s="1503"/>
      <c r="F274" s="1504"/>
      <c r="G274" s="4">
        <f>SUMIF(F15:F263,"sb(sp)",G15:G263)</f>
        <v>5105.3</v>
      </c>
      <c r="H274" s="107">
        <f>SUMIF(F15:F263,"sb(sp)",H15:H263)</f>
        <v>5105.5</v>
      </c>
      <c r="I274" s="116">
        <f>SUMIF(F15:F263,"sb(sp)",I15:I263)</f>
        <v>5105.3</v>
      </c>
      <c r="J274" s="18"/>
      <c r="K274" s="18"/>
      <c r="L274" s="18"/>
      <c r="M274" s="15"/>
    </row>
    <row r="275" spans="1:13" s="64" customFormat="1" ht="15.75" customHeight="1" x14ac:dyDescent="0.2">
      <c r="A275" s="1502" t="s">
        <v>194</v>
      </c>
      <c r="B275" s="1503"/>
      <c r="C275" s="1503"/>
      <c r="D275" s="1503"/>
      <c r="E275" s="1503"/>
      <c r="F275" s="1504"/>
      <c r="G275" s="4">
        <f>SUMIF(F15:F263,"sb(p)",G15:G263)</f>
        <v>3395.5</v>
      </c>
      <c r="H275" s="107">
        <f>SUMIF(F15:F263,"sb(p)",H15:H263)</f>
        <v>0</v>
      </c>
      <c r="I275" s="116">
        <f>SUMIF(F15:F263,"sb(p)",I15:I263)</f>
        <v>0</v>
      </c>
      <c r="J275" s="18"/>
      <c r="K275" s="18"/>
      <c r="L275" s="18"/>
      <c r="M275" s="15"/>
    </row>
    <row r="276" spans="1:13" s="64" customFormat="1" ht="15.75" customHeight="1" x14ac:dyDescent="0.2">
      <c r="A276" s="1520" t="s">
        <v>203</v>
      </c>
      <c r="B276" s="1521"/>
      <c r="C276" s="1521"/>
      <c r="D276" s="1521"/>
      <c r="E276" s="1521"/>
      <c r="F276" s="1522"/>
      <c r="G276" s="4">
        <f>SUMIF(F15:F262,"sb(vb)",G15:G262)</f>
        <v>67107.5</v>
      </c>
      <c r="H276" s="107">
        <f>SUMIF(F15:F263,"sb(vb)",H15:H263)</f>
        <v>66832.7</v>
      </c>
      <c r="I276" s="116">
        <f>SUMIF(F15:F263,"sb(vb)",I15:I263)</f>
        <v>66832.7</v>
      </c>
      <c r="J276" s="18"/>
      <c r="K276" s="18"/>
      <c r="L276" s="18"/>
      <c r="M276" s="15"/>
    </row>
    <row r="277" spans="1:13" ht="28.5" customHeight="1" x14ac:dyDescent="0.2">
      <c r="A277" s="1502" t="s">
        <v>129</v>
      </c>
      <c r="B277" s="1503"/>
      <c r="C277" s="1503"/>
      <c r="D277" s="1503"/>
      <c r="E277" s="1503"/>
      <c r="F277" s="1504"/>
      <c r="G277" s="4">
        <f>SUMIF(F15:F263,"sb(es)",G15:G263)</f>
        <v>1493.5</v>
      </c>
      <c r="H277" s="107">
        <f>SUMIF(F15:F263,"sb(es)",H15:H263)</f>
        <v>239.1</v>
      </c>
      <c r="I277" s="116">
        <f>SUMIF(F15:F263,"sb(es)",I15:I263)</f>
        <v>0</v>
      </c>
      <c r="J277" s="18"/>
      <c r="K277" s="18"/>
      <c r="L277" s="18"/>
      <c r="M277" s="15"/>
    </row>
    <row r="278" spans="1:13" ht="15.75" customHeight="1" x14ac:dyDescent="0.2">
      <c r="A278" s="1509" t="s">
        <v>64</v>
      </c>
      <c r="B278" s="1510"/>
      <c r="C278" s="1510"/>
      <c r="D278" s="1510"/>
      <c r="E278" s="1510"/>
      <c r="F278" s="1511"/>
      <c r="G278" s="1214">
        <f>SUMIF(F15:F261,"sb(l)",G15:G261)</f>
        <v>7093.4</v>
      </c>
      <c r="H278" s="1207">
        <f>SUMIF(F15:F263,"sb(l)",H15:H263)</f>
        <v>0</v>
      </c>
      <c r="I278" s="117">
        <f>SUMIF(F15:F261,"sb(l)",I15:I261)</f>
        <v>0</v>
      </c>
      <c r="J278" s="18"/>
      <c r="K278" s="18"/>
      <c r="L278" s="18"/>
      <c r="M278" s="15"/>
    </row>
    <row r="279" spans="1:13" ht="27.75" customHeight="1" x14ac:dyDescent="0.2">
      <c r="A279" s="1509" t="s">
        <v>130</v>
      </c>
      <c r="B279" s="1510"/>
      <c r="C279" s="1510"/>
      <c r="D279" s="1510"/>
      <c r="E279" s="1510"/>
      <c r="F279" s="1511"/>
      <c r="G279" s="1214">
        <f>SUMIF(F15:F263,"sb(esl)",G15:G263)</f>
        <v>137</v>
      </c>
      <c r="H279" s="1207">
        <f>SUMIF(F22:F263,"sb(esl)",H22:H263)</f>
        <v>0</v>
      </c>
      <c r="I279" s="117">
        <f>SUMIF(F22:F263,"sb(esl)",I22:I263)</f>
        <v>0</v>
      </c>
      <c r="J279" s="18"/>
      <c r="K279" s="18"/>
      <c r="L279" s="18"/>
      <c r="M279" s="15"/>
    </row>
    <row r="280" spans="1:13" ht="16.5" customHeight="1" x14ac:dyDescent="0.2">
      <c r="A280" s="1509" t="s">
        <v>45</v>
      </c>
      <c r="B280" s="1510"/>
      <c r="C280" s="1510"/>
      <c r="D280" s="1510"/>
      <c r="E280" s="1510"/>
      <c r="F280" s="1511"/>
      <c r="G280" s="1214">
        <f>SUMIF(F15:F263,"sb(spl)",G15:G263)</f>
        <v>620.20000000000005</v>
      </c>
      <c r="H280" s="1207">
        <f>SUMIF(F15:F263,"sb(spl)",H15:H263)</f>
        <v>0</v>
      </c>
      <c r="I280" s="117">
        <f>SUMIF(F15:F263,"sb(spl)",I15:I263)</f>
        <v>0</v>
      </c>
      <c r="J280" s="18"/>
      <c r="K280" s="18"/>
      <c r="L280" s="18"/>
      <c r="M280" s="15"/>
    </row>
    <row r="281" spans="1:13" ht="16.5" customHeight="1" x14ac:dyDescent="0.2">
      <c r="A281" s="1509" t="s">
        <v>135</v>
      </c>
      <c r="B281" s="1510"/>
      <c r="C281" s="1510"/>
      <c r="D281" s="1510"/>
      <c r="E281" s="1510"/>
      <c r="F281" s="1511"/>
      <c r="G281" s="1214">
        <f>SUMIF(F22:F263,"sb(vbl)",G22:G263)</f>
        <v>1.1000000000000001</v>
      </c>
      <c r="H281" s="1207">
        <f>SUMIF(F22:F263,"sb(vbl)",H22:H263)</f>
        <v>0</v>
      </c>
      <c r="I281" s="117">
        <f>SUMIF(F22:F263,"sb(vbl)",I22:I263)</f>
        <v>0</v>
      </c>
      <c r="J281" s="18"/>
      <c r="K281" s="18"/>
      <c r="L281" s="18"/>
      <c r="M281" s="15"/>
    </row>
    <row r="282" spans="1:13" ht="17.25" customHeight="1" x14ac:dyDescent="0.2">
      <c r="A282" s="1512" t="s">
        <v>20</v>
      </c>
      <c r="B282" s="1513"/>
      <c r="C282" s="1513"/>
      <c r="D282" s="1513"/>
      <c r="E282" s="1513"/>
      <c r="F282" s="1514"/>
      <c r="G282" s="271">
        <f>SUM(G283:G285)</f>
        <v>189.9</v>
      </c>
      <c r="H282" s="272">
        <f>SUM(H283:H285)</f>
        <v>3331</v>
      </c>
      <c r="I282" s="273">
        <f>SUM(I283:I285)</f>
        <v>2322.4</v>
      </c>
      <c r="J282" s="49"/>
      <c r="K282" s="49"/>
      <c r="L282" s="49"/>
      <c r="M282" s="15"/>
    </row>
    <row r="283" spans="1:13" ht="17.25" customHeight="1" x14ac:dyDescent="0.2">
      <c r="A283" s="1515" t="s">
        <v>289</v>
      </c>
      <c r="B283" s="1516"/>
      <c r="C283" s="1516"/>
      <c r="D283" s="1516"/>
      <c r="E283" s="708"/>
      <c r="F283" s="708"/>
      <c r="G283" s="1356">
        <f>SUMIF(F15:F263,"ES",G15:G263)</f>
        <v>0</v>
      </c>
      <c r="H283" s="103">
        <f>SUMIF(F15:F263,"ES",H15:H263)</f>
        <v>1988</v>
      </c>
      <c r="I283" s="1399">
        <f>SUMIF(F15:F263,"ES",I15:I263)</f>
        <v>2322.4</v>
      </c>
      <c r="J283" s="49"/>
      <c r="K283" s="49"/>
      <c r="L283" s="49"/>
      <c r="M283" s="15"/>
    </row>
    <row r="284" spans="1:13" ht="15" customHeight="1" x14ac:dyDescent="0.2">
      <c r="A284" s="1502" t="s">
        <v>66</v>
      </c>
      <c r="B284" s="1503"/>
      <c r="C284" s="1503"/>
      <c r="D284" s="1503"/>
      <c r="E284" s="1503"/>
      <c r="F284" s="1504"/>
      <c r="G284" s="114">
        <f>SUMIF(F15:F263,"lrvb",G15:G263)</f>
        <v>0</v>
      </c>
      <c r="H284" s="120">
        <f>SUMIF(F15:F263,"lrvb",H15:H263)</f>
        <v>1343</v>
      </c>
      <c r="I284" s="118">
        <f>SUMIF(F15:F263,"lrvb",I15:I263)</f>
        <v>0</v>
      </c>
      <c r="J284" s="18"/>
      <c r="K284" s="18"/>
      <c r="L284" s="18"/>
      <c r="M284" s="15"/>
    </row>
    <row r="285" spans="1:13" ht="15" customHeight="1" x14ac:dyDescent="0.2">
      <c r="A285" s="1502" t="s">
        <v>185</v>
      </c>
      <c r="B285" s="1503"/>
      <c r="C285" s="1503"/>
      <c r="D285" s="1503"/>
      <c r="E285" s="1503"/>
      <c r="F285" s="1504"/>
      <c r="G285" s="115">
        <f>SUMIF(F23:F263,"kt",G23:G263)</f>
        <v>189.9</v>
      </c>
      <c r="H285" s="1208">
        <f>SUMIF(F15:F263,"kt",H15:H263)</f>
        <v>0</v>
      </c>
      <c r="I285" s="479">
        <f>SUMIF(F23:F263,"kt",I23:I263)</f>
        <v>0</v>
      </c>
      <c r="J285" s="18"/>
      <c r="K285" s="18"/>
      <c r="L285" s="18"/>
      <c r="M285" s="15"/>
    </row>
    <row r="286" spans="1:13" ht="16.5" customHeight="1" thickBot="1" x14ac:dyDescent="0.25">
      <c r="A286" s="1505" t="s">
        <v>21</v>
      </c>
      <c r="B286" s="1506"/>
      <c r="C286" s="1506"/>
      <c r="D286" s="1506"/>
      <c r="E286" s="1506"/>
      <c r="F286" s="1507"/>
      <c r="G286" s="36">
        <f>G282+G271</f>
        <v>142426.5</v>
      </c>
      <c r="H286" s="108">
        <f>H282+H271</f>
        <v>140705.60000000001</v>
      </c>
      <c r="I286" s="111">
        <f>I282+I271</f>
        <v>132734.9</v>
      </c>
      <c r="J286" s="49"/>
      <c r="K286" s="49"/>
      <c r="L286" s="49"/>
    </row>
    <row r="287" spans="1:13" ht="22.5" customHeight="1" x14ac:dyDescent="0.2">
      <c r="A287" s="1508" t="s">
        <v>103</v>
      </c>
      <c r="B287" s="1508"/>
      <c r="C287" s="1508"/>
      <c r="D287" s="1508"/>
      <c r="E287" s="1508"/>
      <c r="F287" s="1508"/>
      <c r="G287" s="1508"/>
      <c r="H287" s="1508"/>
      <c r="I287" s="1508"/>
      <c r="J287" s="1508"/>
      <c r="K287" s="1508"/>
      <c r="L287" s="1508"/>
      <c r="M287" s="1508"/>
    </row>
    <row r="288" spans="1:13" x14ac:dyDescent="0.2">
      <c r="D288" s="17"/>
      <c r="E288" s="259"/>
      <c r="F288" s="71"/>
      <c r="G288" s="71"/>
      <c r="H288" s="71"/>
      <c r="I288" s="320">
        <f>+I286-I266</f>
        <v>0</v>
      </c>
      <c r="J288" s="14"/>
      <c r="K288" s="14"/>
      <c r="L288" s="14"/>
    </row>
    <row r="289" spans="1:13" x14ac:dyDescent="0.2">
      <c r="D289" s="17"/>
      <c r="E289" s="259"/>
      <c r="F289" s="51"/>
      <c r="G289" s="51"/>
      <c r="H289" s="51"/>
      <c r="I289" s="65"/>
      <c r="J289" s="78"/>
      <c r="K289" s="78"/>
      <c r="L289" s="78"/>
    </row>
    <row r="290" spans="1:13" x14ac:dyDescent="0.2">
      <c r="D290" s="17"/>
      <c r="E290" s="259"/>
      <c r="F290" s="1400"/>
      <c r="G290" s="1400"/>
      <c r="H290" s="1400"/>
      <c r="I290" s="63"/>
    </row>
    <row r="291" spans="1:13" x14ac:dyDescent="0.2">
      <c r="D291" s="17"/>
      <c r="E291" s="259"/>
      <c r="F291" s="1400"/>
      <c r="G291" s="1400"/>
      <c r="H291" s="1400"/>
      <c r="I291" s="63"/>
      <c r="M291" s="17"/>
    </row>
    <row r="292" spans="1:13" x14ac:dyDescent="0.2">
      <c r="D292" s="17"/>
      <c r="E292" s="259"/>
      <c r="F292" s="1400"/>
      <c r="G292" s="1400"/>
      <c r="H292" s="1400"/>
      <c r="I292" s="63"/>
      <c r="M292" s="17"/>
    </row>
    <row r="293" spans="1:13" x14ac:dyDescent="0.2">
      <c r="D293" s="17"/>
      <c r="E293" s="259"/>
      <c r="F293" s="1400"/>
      <c r="G293" s="1400"/>
      <c r="H293" s="1400"/>
      <c r="I293" s="63"/>
      <c r="M293" s="17"/>
    </row>
    <row r="294" spans="1:13" x14ac:dyDescent="0.2">
      <c r="D294" s="17"/>
      <c r="E294" s="259"/>
      <c r="F294" s="1400"/>
      <c r="G294" s="1400"/>
      <c r="H294" s="1400"/>
      <c r="I294" s="63"/>
      <c r="M294" s="17"/>
    </row>
    <row r="295" spans="1:13" x14ac:dyDescent="0.2">
      <c r="D295" s="17"/>
      <c r="E295" s="259"/>
      <c r="F295" s="1400"/>
      <c r="G295" s="1400"/>
      <c r="H295" s="1400"/>
      <c r="I295" s="63"/>
      <c r="M295" s="17"/>
    </row>
    <row r="296" spans="1:13" x14ac:dyDescent="0.2">
      <c r="A296" s="260"/>
      <c r="B296" s="260"/>
      <c r="C296" s="260"/>
      <c r="D296" s="17"/>
      <c r="E296" s="259"/>
      <c r="F296" s="1400"/>
      <c r="G296" s="1400"/>
      <c r="H296" s="1400"/>
      <c r="I296" s="63"/>
      <c r="J296" s="17"/>
      <c r="K296" s="17"/>
      <c r="L296" s="17"/>
      <c r="M296" s="17"/>
    </row>
    <row r="297" spans="1:13" x14ac:dyDescent="0.2">
      <c r="A297" s="260"/>
      <c r="B297" s="260"/>
      <c r="C297" s="260"/>
      <c r="D297" s="17"/>
      <c r="E297" s="259"/>
      <c r="F297" s="1400"/>
      <c r="G297" s="1400"/>
      <c r="H297" s="1400"/>
      <c r="I297" s="63"/>
      <c r="J297" s="17"/>
      <c r="K297" s="17"/>
      <c r="L297" s="17"/>
      <c r="M297" s="17"/>
    </row>
    <row r="298" spans="1:13" x14ac:dyDescent="0.2">
      <c r="A298" s="260"/>
      <c r="B298" s="260"/>
      <c r="C298" s="260"/>
      <c r="D298" s="17"/>
      <c r="E298" s="259"/>
      <c r="F298" s="1400"/>
      <c r="G298" s="1400"/>
      <c r="H298" s="1400"/>
      <c r="I298" s="63"/>
      <c r="J298" s="17"/>
      <c r="K298" s="17"/>
      <c r="L298" s="17"/>
      <c r="M298" s="17"/>
    </row>
    <row r="299" spans="1:13" x14ac:dyDescent="0.2">
      <c r="A299" s="260"/>
      <c r="B299" s="260"/>
      <c r="C299" s="260"/>
      <c r="D299" s="17"/>
      <c r="E299" s="259"/>
      <c r="F299" s="1400"/>
      <c r="G299" s="1400"/>
      <c r="H299" s="1400"/>
      <c r="I299" s="63"/>
      <c r="J299" s="17"/>
      <c r="K299" s="17"/>
      <c r="L299" s="17"/>
      <c r="M299" s="17"/>
    </row>
    <row r="300" spans="1:13" x14ac:dyDescent="0.2">
      <c r="A300" s="260"/>
      <c r="B300" s="260"/>
      <c r="C300" s="260"/>
      <c r="D300" s="17"/>
      <c r="E300" s="259"/>
      <c r="F300" s="1400"/>
      <c r="G300" s="1400"/>
      <c r="H300" s="1400"/>
      <c r="I300" s="63"/>
      <c r="J300" s="17"/>
      <c r="K300" s="17"/>
      <c r="L300" s="17"/>
      <c r="M300" s="17"/>
    </row>
    <row r="301" spans="1:13" x14ac:dyDescent="0.2">
      <c r="A301" s="260"/>
      <c r="B301" s="260"/>
      <c r="C301" s="260"/>
      <c r="D301" s="17"/>
      <c r="E301" s="259"/>
      <c r="F301" s="1400"/>
      <c r="G301" s="1400"/>
      <c r="H301" s="1400"/>
      <c r="I301" s="63"/>
      <c r="J301" s="17"/>
      <c r="K301" s="17"/>
      <c r="L301" s="17"/>
      <c r="M301" s="17"/>
    </row>
    <row r="302" spans="1:13" x14ac:dyDescent="0.2">
      <c r="A302" s="260"/>
      <c r="B302" s="260"/>
      <c r="C302" s="260"/>
      <c r="D302" s="17"/>
      <c r="E302" s="259"/>
      <c r="F302" s="1400"/>
      <c r="G302" s="1400"/>
      <c r="H302" s="1400"/>
      <c r="I302" s="63"/>
      <c r="J302" s="17"/>
      <c r="K302" s="17"/>
      <c r="L302" s="17"/>
      <c r="M302" s="17"/>
    </row>
    <row r="303" spans="1:13" x14ac:dyDescent="0.2">
      <c r="A303" s="260"/>
      <c r="B303" s="260"/>
      <c r="C303" s="260"/>
      <c r="D303" s="17"/>
      <c r="E303" s="259"/>
      <c r="F303" s="1400"/>
      <c r="G303" s="1400"/>
      <c r="H303" s="1400"/>
      <c r="I303" s="63"/>
      <c r="J303" s="17"/>
      <c r="K303" s="17"/>
      <c r="L303" s="17"/>
      <c r="M303" s="17"/>
    </row>
    <row r="304" spans="1:13" x14ac:dyDescent="0.2">
      <c r="A304" s="260"/>
      <c r="B304" s="260"/>
      <c r="C304" s="260"/>
      <c r="D304" s="17"/>
      <c r="E304" s="259"/>
      <c r="F304" s="1400"/>
      <c r="G304" s="1400"/>
      <c r="H304" s="1400"/>
      <c r="I304" s="63"/>
      <c r="J304" s="17"/>
      <c r="K304" s="17"/>
      <c r="L304" s="17"/>
      <c r="M304" s="17"/>
    </row>
    <row r="305" spans="1:13" x14ac:dyDescent="0.2">
      <c r="A305" s="260"/>
      <c r="B305" s="260"/>
      <c r="C305" s="260"/>
      <c r="D305" s="17"/>
      <c r="E305" s="259"/>
      <c r="F305" s="1400"/>
      <c r="G305" s="1400"/>
      <c r="H305" s="1400"/>
      <c r="I305" s="63"/>
      <c r="J305" s="17"/>
      <c r="K305" s="17"/>
      <c r="L305" s="17"/>
      <c r="M305" s="17"/>
    </row>
    <row r="306" spans="1:13" x14ac:dyDescent="0.2">
      <c r="A306" s="260"/>
      <c r="B306" s="260"/>
      <c r="C306" s="260"/>
      <c r="D306" s="17"/>
      <c r="E306" s="259"/>
      <c r="F306" s="1400"/>
      <c r="G306" s="1400"/>
      <c r="H306" s="1400"/>
      <c r="I306" s="63"/>
      <c r="J306" s="17"/>
      <c r="K306" s="17"/>
      <c r="L306" s="17"/>
      <c r="M306" s="17"/>
    </row>
    <row r="307" spans="1:13" x14ac:dyDescent="0.2">
      <c r="A307" s="260"/>
      <c r="B307" s="260"/>
      <c r="C307" s="260"/>
      <c r="D307" s="17"/>
      <c r="E307" s="259"/>
      <c r="F307" s="1400"/>
      <c r="G307" s="1400"/>
      <c r="H307" s="1400"/>
      <c r="I307" s="63"/>
      <c r="J307" s="17"/>
      <c r="K307" s="17"/>
      <c r="L307" s="17"/>
      <c r="M307" s="17"/>
    </row>
    <row r="308" spans="1:13" x14ac:dyDescent="0.2">
      <c r="A308" s="260"/>
      <c r="B308" s="260"/>
      <c r="C308" s="260"/>
      <c r="D308" s="17"/>
      <c r="E308" s="259"/>
      <c r="F308" s="1400"/>
      <c r="G308" s="1400"/>
      <c r="H308" s="1400"/>
      <c r="I308" s="63"/>
      <c r="J308" s="17"/>
      <c r="K308" s="17"/>
      <c r="L308" s="17"/>
      <c r="M308" s="17"/>
    </row>
  </sheetData>
  <mergeCells count="232">
    <mergeCell ref="I1:M1"/>
    <mergeCell ref="I2:J2"/>
    <mergeCell ref="A4:M4"/>
    <mergeCell ref="A5:M5"/>
    <mergeCell ref="A6:M6"/>
    <mergeCell ref="J7:M7"/>
    <mergeCell ref="G8:G10"/>
    <mergeCell ref="H8:H10"/>
    <mergeCell ref="I8:I10"/>
    <mergeCell ref="J8:M8"/>
    <mergeCell ref="J9:J10"/>
    <mergeCell ref="K9:M9"/>
    <mergeCell ref="A8:A10"/>
    <mergeCell ref="B8:B10"/>
    <mergeCell ref="C8:C10"/>
    <mergeCell ref="D8:D10"/>
    <mergeCell ref="E8:E10"/>
    <mergeCell ref="F8:F10"/>
    <mergeCell ref="D27:D29"/>
    <mergeCell ref="D30:D31"/>
    <mergeCell ref="F30:F31"/>
    <mergeCell ref="G30:G31"/>
    <mergeCell ref="H30:H31"/>
    <mergeCell ref="I30:I31"/>
    <mergeCell ref="A11:M11"/>
    <mergeCell ref="A12:M12"/>
    <mergeCell ref="B13:H13"/>
    <mergeCell ref="C14:G14"/>
    <mergeCell ref="D15:D16"/>
    <mergeCell ref="D22:D24"/>
    <mergeCell ref="J24:J25"/>
    <mergeCell ref="K24:K25"/>
    <mergeCell ref="L24:L25"/>
    <mergeCell ref="M24:M25"/>
    <mergeCell ref="M49:M50"/>
    <mergeCell ref="D52:D56"/>
    <mergeCell ref="J54:J56"/>
    <mergeCell ref="D32:D34"/>
    <mergeCell ref="D37:D38"/>
    <mergeCell ref="N37:N38"/>
    <mergeCell ref="D39:D41"/>
    <mergeCell ref="D43:D45"/>
    <mergeCell ref="N43:P45"/>
    <mergeCell ref="D60:D62"/>
    <mergeCell ref="D63:D67"/>
    <mergeCell ref="F63:F64"/>
    <mergeCell ref="G63:G64"/>
    <mergeCell ref="H63:H64"/>
    <mergeCell ref="I63:I64"/>
    <mergeCell ref="D47:D48"/>
    <mergeCell ref="D49:D50"/>
    <mergeCell ref="J49:J50"/>
    <mergeCell ref="E74:E75"/>
    <mergeCell ref="D78:D79"/>
    <mergeCell ref="J78:J79"/>
    <mergeCell ref="K78:K79"/>
    <mergeCell ref="L78:L79"/>
    <mergeCell ref="M78:M79"/>
    <mergeCell ref="J65:J66"/>
    <mergeCell ref="D71:D72"/>
    <mergeCell ref="F71:F72"/>
    <mergeCell ref="G71:G72"/>
    <mergeCell ref="H71:H72"/>
    <mergeCell ref="I71:I72"/>
    <mergeCell ref="N94:P95"/>
    <mergeCell ref="D95:D96"/>
    <mergeCell ref="E95:E96"/>
    <mergeCell ref="J95:J96"/>
    <mergeCell ref="D98:D101"/>
    <mergeCell ref="J99:J101"/>
    <mergeCell ref="D80:D82"/>
    <mergeCell ref="D88:D89"/>
    <mergeCell ref="D90:D91"/>
    <mergeCell ref="N90:O90"/>
    <mergeCell ref="E91:F91"/>
    <mergeCell ref="D92:D93"/>
    <mergeCell ref="L104:L105"/>
    <mergeCell ref="M104:M105"/>
    <mergeCell ref="D106:D107"/>
    <mergeCell ref="J106:J107"/>
    <mergeCell ref="D108:D109"/>
    <mergeCell ref="J108:J109"/>
    <mergeCell ref="D102:D105"/>
    <mergeCell ref="G102:G104"/>
    <mergeCell ref="H102:H104"/>
    <mergeCell ref="I102:I104"/>
    <mergeCell ref="J104:J105"/>
    <mergeCell ref="K104:K105"/>
    <mergeCell ref="D110:D111"/>
    <mergeCell ref="C112:F112"/>
    <mergeCell ref="B113:F113"/>
    <mergeCell ref="B114:F114"/>
    <mergeCell ref="C115:G115"/>
    <mergeCell ref="A116:A119"/>
    <mergeCell ref="B116:B119"/>
    <mergeCell ref="C116:C119"/>
    <mergeCell ref="D116:D119"/>
    <mergeCell ref="E116:E119"/>
    <mergeCell ref="J140:J141"/>
    <mergeCell ref="D145:D146"/>
    <mergeCell ref="D147:D148"/>
    <mergeCell ref="L116:L118"/>
    <mergeCell ref="M116:M118"/>
    <mergeCell ref="D120:D122"/>
    <mergeCell ref="D131:D133"/>
    <mergeCell ref="F131:F132"/>
    <mergeCell ref="G131:G132"/>
    <mergeCell ref="H131:H132"/>
    <mergeCell ref="I131:I132"/>
    <mergeCell ref="J131:J132"/>
    <mergeCell ref="F116:F117"/>
    <mergeCell ref="G116:G117"/>
    <mergeCell ref="H116:H117"/>
    <mergeCell ref="I116:I117"/>
    <mergeCell ref="J116:J118"/>
    <mergeCell ref="K116:K118"/>
    <mergeCell ref="D149:D150"/>
    <mergeCell ref="D151:D152"/>
    <mergeCell ref="F151:F152"/>
    <mergeCell ref="G151:G152"/>
    <mergeCell ref="H151:H152"/>
    <mergeCell ref="I151:I152"/>
    <mergeCell ref="D134:D136"/>
    <mergeCell ref="D137:D139"/>
    <mergeCell ref="D140:D144"/>
    <mergeCell ref="N158:P159"/>
    <mergeCell ref="D160:D161"/>
    <mergeCell ref="J160:J161"/>
    <mergeCell ref="D153:D155"/>
    <mergeCell ref="N153:P154"/>
    <mergeCell ref="D156:D157"/>
    <mergeCell ref="J156:J157"/>
    <mergeCell ref="K156:K157"/>
    <mergeCell ref="L156:L157"/>
    <mergeCell ref="M156:M157"/>
    <mergeCell ref="N156:P157"/>
    <mergeCell ref="D163:D164"/>
    <mergeCell ref="D165:D168"/>
    <mergeCell ref="D169:D170"/>
    <mergeCell ref="F169:F170"/>
    <mergeCell ref="D171:D174"/>
    <mergeCell ref="J171:J172"/>
    <mergeCell ref="F158:F159"/>
    <mergeCell ref="G158:G159"/>
    <mergeCell ref="H158:H159"/>
    <mergeCell ref="I158:I159"/>
    <mergeCell ref="D181:D182"/>
    <mergeCell ref="N182:R183"/>
    <mergeCell ref="D183:D184"/>
    <mergeCell ref="J183:J184"/>
    <mergeCell ref="K183:K184"/>
    <mergeCell ref="L183:L184"/>
    <mergeCell ref="M183:M184"/>
    <mergeCell ref="N171:Q174"/>
    <mergeCell ref="J173:J174"/>
    <mergeCell ref="D175:D176"/>
    <mergeCell ref="J175:J176"/>
    <mergeCell ref="D178:D180"/>
    <mergeCell ref="J178:J180"/>
    <mergeCell ref="N178:O180"/>
    <mergeCell ref="J197:J198"/>
    <mergeCell ref="E198:F198"/>
    <mergeCell ref="C199:F199"/>
    <mergeCell ref="C200:H200"/>
    <mergeCell ref="N202:P202"/>
    <mergeCell ref="D204:D205"/>
    <mergeCell ref="E185:F185"/>
    <mergeCell ref="D187:D188"/>
    <mergeCell ref="D189:D190"/>
    <mergeCell ref="F189:F190"/>
    <mergeCell ref="D195:D196"/>
    <mergeCell ref="D197:D198"/>
    <mergeCell ref="D213:D214"/>
    <mergeCell ref="D215:D216"/>
    <mergeCell ref="E215:E216"/>
    <mergeCell ref="D217:D220"/>
    <mergeCell ref="I217:I219"/>
    <mergeCell ref="J219:J220"/>
    <mergeCell ref="D206:D208"/>
    <mergeCell ref="J207:J208"/>
    <mergeCell ref="D209:D210"/>
    <mergeCell ref="D211:D212"/>
    <mergeCell ref="F211:F212"/>
    <mergeCell ref="G211:G212"/>
    <mergeCell ref="H211:H212"/>
    <mergeCell ref="I211:I212"/>
    <mergeCell ref="D226:D227"/>
    <mergeCell ref="D229:D230"/>
    <mergeCell ref="J229:J230"/>
    <mergeCell ref="J234:J235"/>
    <mergeCell ref="D239:D240"/>
    <mergeCell ref="E239:E240"/>
    <mergeCell ref="K219:K220"/>
    <mergeCell ref="L219:L220"/>
    <mergeCell ref="M219:M220"/>
    <mergeCell ref="C221:F221"/>
    <mergeCell ref="C222:H222"/>
    <mergeCell ref="D223:D224"/>
    <mergeCell ref="D249:D250"/>
    <mergeCell ref="D251:D252"/>
    <mergeCell ref="D253:D256"/>
    <mergeCell ref="J254:J256"/>
    <mergeCell ref="J260:J262"/>
    <mergeCell ref="C264:F264"/>
    <mergeCell ref="A245:A246"/>
    <mergeCell ref="B245:B246"/>
    <mergeCell ref="D245:D246"/>
    <mergeCell ref="E245:E246"/>
    <mergeCell ref="J245:J246"/>
    <mergeCell ref="E247:E248"/>
    <mergeCell ref="A272:F272"/>
    <mergeCell ref="A273:F273"/>
    <mergeCell ref="A274:F274"/>
    <mergeCell ref="A275:F275"/>
    <mergeCell ref="A276:F276"/>
    <mergeCell ref="A277:F277"/>
    <mergeCell ref="B265:F265"/>
    <mergeCell ref="B266:F266"/>
    <mergeCell ref="A267:M267"/>
    <mergeCell ref="A269:I269"/>
    <mergeCell ref="A270:F270"/>
    <mergeCell ref="A271:F271"/>
    <mergeCell ref="A284:F284"/>
    <mergeCell ref="A285:F285"/>
    <mergeCell ref="A286:F286"/>
    <mergeCell ref="A287:M287"/>
    <mergeCell ref="A278:F278"/>
    <mergeCell ref="A279:F279"/>
    <mergeCell ref="A280:F280"/>
    <mergeCell ref="A281:F281"/>
    <mergeCell ref="A282:F282"/>
    <mergeCell ref="A283:D283"/>
  </mergeCells>
  <pageMargins left="0.70866141732283472" right="0.70866141732283472" top="0.74803149606299213" bottom="0.74803149606299213" header="0.31496062992125984" footer="0.31496062992125984"/>
  <pageSetup paperSize="9" scale="72" orientation="portrait" r:id="rId1"/>
  <rowBreaks count="7" manualBreakCount="7">
    <brk id="46" max="12" man="1"/>
    <brk id="79" max="12" man="1"/>
    <brk id="109" max="12" man="1"/>
    <brk id="152" max="12" man="1"/>
    <brk id="190" max="12" man="1"/>
    <brk id="228" max="12" man="1"/>
    <brk id="268"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08"/>
  <sheetViews>
    <sheetView zoomScaleNormal="100" zoomScaleSheetLayoutView="100" workbookViewId="0">
      <selection activeCell="A5" sqref="A5:Q5"/>
    </sheetView>
  </sheetViews>
  <sheetFormatPr defaultColWidth="9.28515625" defaultRowHeight="12.75" x14ac:dyDescent="0.2"/>
  <cols>
    <col min="1" max="3" width="3.28515625" style="154" customWidth="1"/>
    <col min="4" max="4" width="31.42578125" style="64" customWidth="1"/>
    <col min="5" max="5" width="2.7109375" style="155" customWidth="1"/>
    <col min="6" max="6" width="8" style="15" customWidth="1"/>
    <col min="7" max="7" width="10" style="15" customWidth="1"/>
    <col min="8" max="12" width="9.28515625" style="15" customWidth="1"/>
    <col min="13" max="13" width="8.7109375" style="261" customWidth="1"/>
    <col min="14" max="14" width="23" style="64" customWidth="1"/>
    <col min="15" max="15" width="6.42578125" style="64" customWidth="1"/>
    <col min="16" max="16" width="6.28515625" style="64" customWidth="1"/>
    <col min="17" max="17" width="6.42578125" style="343" customWidth="1"/>
    <col min="18" max="18" width="9.28515625" style="17"/>
    <col min="19" max="19" width="10.140625" style="17" bestFit="1" customWidth="1"/>
    <col min="20" max="16384" width="9.28515625" style="17"/>
  </cols>
  <sheetData>
    <row r="1" spans="1:22" ht="31.5" customHeight="1" x14ac:dyDescent="0.2">
      <c r="F1" s="294"/>
      <c r="G1" s="294"/>
      <c r="H1" s="294"/>
      <c r="I1" s="294"/>
      <c r="J1" s="294"/>
      <c r="K1" s="294"/>
      <c r="L1" s="294"/>
      <c r="M1" s="1678" t="s">
        <v>526</v>
      </c>
      <c r="N1" s="1678"/>
      <c r="O1" s="1678"/>
      <c r="P1" s="1678"/>
      <c r="Q1" s="1678"/>
    </row>
    <row r="2" spans="1:22" ht="17.25" customHeight="1" x14ac:dyDescent="0.2">
      <c r="F2" s="348"/>
      <c r="G2" s="393"/>
      <c r="H2" s="393"/>
      <c r="I2" s="1109"/>
      <c r="J2" s="1109"/>
      <c r="K2" s="1109"/>
      <c r="L2" s="1109"/>
      <c r="M2" s="1678" t="s">
        <v>217</v>
      </c>
      <c r="N2" s="1678"/>
      <c r="O2" s="393"/>
      <c r="P2" s="393"/>
      <c r="Q2" s="348"/>
    </row>
    <row r="3" spans="1:22" ht="15" customHeight="1" x14ac:dyDescent="0.2">
      <c r="F3" s="1001"/>
      <c r="G3" s="1001"/>
      <c r="H3" s="1001"/>
      <c r="I3" s="1109"/>
      <c r="J3" s="1109"/>
      <c r="K3" s="1109"/>
      <c r="L3" s="1109"/>
      <c r="M3" s="1001"/>
      <c r="N3" s="1001"/>
      <c r="O3" s="1001"/>
      <c r="P3" s="1001"/>
      <c r="Q3" s="1001"/>
    </row>
    <row r="4" spans="1:22" s="16" customFormat="1" ht="15.75" customHeight="1" x14ac:dyDescent="0.2">
      <c r="A4" s="1679" t="s">
        <v>525</v>
      </c>
      <c r="B4" s="1679"/>
      <c r="C4" s="1679"/>
      <c r="D4" s="1679"/>
      <c r="E4" s="1679"/>
      <c r="F4" s="1679"/>
      <c r="G4" s="1679"/>
      <c r="H4" s="1679"/>
      <c r="I4" s="1679"/>
      <c r="J4" s="1679"/>
      <c r="K4" s="1679"/>
      <c r="L4" s="1679"/>
      <c r="M4" s="1679"/>
      <c r="N4" s="1679"/>
      <c r="O4" s="1679"/>
      <c r="P4" s="1679"/>
      <c r="Q4" s="1679"/>
      <c r="S4" s="553"/>
    </row>
    <row r="5" spans="1:22" s="16" customFormat="1" ht="19.5" customHeight="1" x14ac:dyDescent="0.2">
      <c r="A5" s="1680" t="s">
        <v>22</v>
      </c>
      <c r="B5" s="1680"/>
      <c r="C5" s="1680"/>
      <c r="D5" s="1680"/>
      <c r="E5" s="1680"/>
      <c r="F5" s="1680"/>
      <c r="G5" s="1680"/>
      <c r="H5" s="1680"/>
      <c r="I5" s="1680"/>
      <c r="J5" s="1680"/>
      <c r="K5" s="1680"/>
      <c r="L5" s="1680"/>
      <c r="M5" s="1680"/>
      <c r="N5" s="1680"/>
      <c r="O5" s="1680"/>
      <c r="P5" s="1680"/>
      <c r="Q5" s="1680"/>
      <c r="S5" s="553"/>
    </row>
    <row r="6" spans="1:22" s="16" customFormat="1" ht="19.5" customHeight="1" x14ac:dyDescent="0.2">
      <c r="A6" s="1681" t="s">
        <v>38</v>
      </c>
      <c r="B6" s="1681"/>
      <c r="C6" s="1681"/>
      <c r="D6" s="1681"/>
      <c r="E6" s="1681"/>
      <c r="F6" s="1681"/>
      <c r="G6" s="1681"/>
      <c r="H6" s="1681"/>
      <c r="I6" s="1681"/>
      <c r="J6" s="1681"/>
      <c r="K6" s="1681"/>
      <c r="L6" s="1681"/>
      <c r="M6" s="1681"/>
      <c r="N6" s="1681"/>
      <c r="O6" s="1681"/>
      <c r="P6" s="1681"/>
      <c r="Q6" s="1681"/>
    </row>
    <row r="7" spans="1:22" ht="18.75" customHeight="1" thickBot="1" x14ac:dyDescent="0.25">
      <c r="A7" s="34"/>
      <c r="B7" s="34"/>
      <c r="D7" s="344"/>
      <c r="E7" s="156"/>
      <c r="F7" s="20"/>
      <c r="G7" s="20"/>
      <c r="H7" s="20"/>
      <c r="I7" s="20"/>
      <c r="J7" s="20"/>
      <c r="K7" s="20"/>
      <c r="L7" s="20"/>
      <c r="M7" s="344"/>
      <c r="N7" s="1682" t="s">
        <v>49</v>
      </c>
      <c r="O7" s="1682"/>
      <c r="P7" s="1682"/>
      <c r="Q7" s="1682"/>
      <c r="R7" s="292"/>
    </row>
    <row r="8" spans="1:22" ht="21" customHeight="1" thickBot="1" x14ac:dyDescent="0.25">
      <c r="A8" s="1697" t="s">
        <v>243</v>
      </c>
      <c r="B8" s="1700" t="s">
        <v>7</v>
      </c>
      <c r="C8" s="1703" t="s">
        <v>8</v>
      </c>
      <c r="D8" s="1706" t="s">
        <v>19</v>
      </c>
      <c r="E8" s="1709" t="s">
        <v>244</v>
      </c>
      <c r="F8" s="1712" t="s">
        <v>9</v>
      </c>
      <c r="G8" s="1712" t="s">
        <v>247</v>
      </c>
      <c r="H8" s="1683" t="s">
        <v>498</v>
      </c>
      <c r="I8" s="1747" t="s">
        <v>533</v>
      </c>
      <c r="J8" s="1749" t="s">
        <v>534</v>
      </c>
      <c r="K8" s="1744" t="s">
        <v>253</v>
      </c>
      <c r="L8" s="1751" t="s">
        <v>535</v>
      </c>
      <c r="M8" s="1749" t="s">
        <v>534</v>
      </c>
      <c r="N8" s="1531" t="s">
        <v>239</v>
      </c>
      <c r="O8" s="1532"/>
      <c r="P8" s="1532"/>
      <c r="Q8" s="1533"/>
      <c r="R8" s="292"/>
    </row>
    <row r="9" spans="1:22" ht="15.75" customHeight="1" x14ac:dyDescent="0.2">
      <c r="A9" s="1698"/>
      <c r="B9" s="1701"/>
      <c r="C9" s="1704"/>
      <c r="D9" s="1707"/>
      <c r="E9" s="1710"/>
      <c r="F9" s="1713"/>
      <c r="G9" s="1713"/>
      <c r="H9" s="1684"/>
      <c r="I9" s="1748"/>
      <c r="J9" s="1750"/>
      <c r="K9" s="1745"/>
      <c r="L9" s="1752"/>
      <c r="M9" s="1750"/>
      <c r="N9" s="1692" t="s">
        <v>19</v>
      </c>
      <c r="O9" s="1694" t="s">
        <v>218</v>
      </c>
      <c r="P9" s="1695"/>
      <c r="Q9" s="1696"/>
      <c r="R9" s="292"/>
    </row>
    <row r="10" spans="1:22" ht="107.25" customHeight="1" thickBot="1" x14ac:dyDescent="0.25">
      <c r="A10" s="1699"/>
      <c r="B10" s="1702"/>
      <c r="C10" s="1705"/>
      <c r="D10" s="1708"/>
      <c r="E10" s="1711"/>
      <c r="F10" s="1714"/>
      <c r="G10" s="1714"/>
      <c r="H10" s="1685"/>
      <c r="I10" s="1748"/>
      <c r="J10" s="1750"/>
      <c r="K10" s="1746"/>
      <c r="L10" s="1753"/>
      <c r="M10" s="1750"/>
      <c r="N10" s="1693"/>
      <c r="O10" s="86" t="s">
        <v>248</v>
      </c>
      <c r="P10" s="87" t="s">
        <v>249</v>
      </c>
      <c r="Q10" s="352" t="s">
        <v>250</v>
      </c>
      <c r="R10" s="292"/>
    </row>
    <row r="11" spans="1:22" ht="15" customHeight="1" x14ac:dyDescent="0.2">
      <c r="A11" s="1661" t="s">
        <v>43</v>
      </c>
      <c r="B11" s="1662"/>
      <c r="C11" s="1662"/>
      <c r="D11" s="1662"/>
      <c r="E11" s="1662"/>
      <c r="F11" s="1662"/>
      <c r="G11" s="1662"/>
      <c r="H11" s="1662"/>
      <c r="I11" s="1662"/>
      <c r="J11" s="1662"/>
      <c r="K11" s="1662"/>
      <c r="L11" s="1662"/>
      <c r="M11" s="1662"/>
      <c r="N11" s="1662"/>
      <c r="O11" s="1662"/>
      <c r="P11" s="1662"/>
      <c r="Q11" s="1663"/>
      <c r="R11" s="292"/>
    </row>
    <row r="12" spans="1:22" ht="15.75" customHeight="1" x14ac:dyDescent="0.2">
      <c r="A12" s="1664" t="s">
        <v>23</v>
      </c>
      <c r="B12" s="1665"/>
      <c r="C12" s="1665"/>
      <c r="D12" s="1665"/>
      <c r="E12" s="1665"/>
      <c r="F12" s="1665"/>
      <c r="G12" s="1665"/>
      <c r="H12" s="1665"/>
      <c r="I12" s="1665"/>
      <c r="J12" s="1665"/>
      <c r="K12" s="1665"/>
      <c r="L12" s="1665"/>
      <c r="M12" s="1665"/>
      <c r="N12" s="1665"/>
      <c r="O12" s="1665"/>
      <c r="P12" s="1665"/>
      <c r="Q12" s="1666"/>
      <c r="R12" s="292"/>
    </row>
    <row r="13" spans="1:22" ht="15.75" customHeight="1" x14ac:dyDescent="0.2">
      <c r="A13" s="157" t="s">
        <v>10</v>
      </c>
      <c r="B13" s="1667" t="s">
        <v>27</v>
      </c>
      <c r="C13" s="1668"/>
      <c r="D13" s="1668"/>
      <c r="E13" s="1668"/>
      <c r="F13" s="1668"/>
      <c r="G13" s="1668"/>
      <c r="H13" s="1668"/>
      <c r="I13" s="1098"/>
      <c r="J13" s="1098"/>
      <c r="K13" s="1098"/>
      <c r="L13" s="1098"/>
      <c r="M13" s="1009"/>
      <c r="N13" s="1009"/>
      <c r="O13" s="1009"/>
      <c r="P13" s="1009"/>
      <c r="Q13" s="1010"/>
    </row>
    <row r="14" spans="1:22" ht="15.75" customHeight="1" thickBot="1" x14ac:dyDescent="0.25">
      <c r="A14" s="158" t="s">
        <v>10</v>
      </c>
      <c r="B14" s="159" t="s">
        <v>10</v>
      </c>
      <c r="C14" s="1669" t="s">
        <v>46</v>
      </c>
      <c r="D14" s="1670"/>
      <c r="E14" s="1670"/>
      <c r="F14" s="1670"/>
      <c r="G14" s="1670"/>
      <c r="H14" s="1011"/>
      <c r="I14" s="1011"/>
      <c r="J14" s="1011"/>
      <c r="K14" s="1011"/>
      <c r="L14" s="1011"/>
      <c r="M14" s="1011"/>
      <c r="N14" s="1011"/>
      <c r="O14" s="1011"/>
      <c r="P14" s="1011"/>
      <c r="Q14" s="1012"/>
    </row>
    <row r="15" spans="1:22" ht="13.5" customHeight="1" x14ac:dyDescent="0.2">
      <c r="A15" s="160" t="s">
        <v>10</v>
      </c>
      <c r="B15" s="161" t="s">
        <v>10</v>
      </c>
      <c r="C15" s="162" t="s">
        <v>10</v>
      </c>
      <c r="D15" s="1671" t="s">
        <v>35</v>
      </c>
      <c r="E15" s="163"/>
      <c r="F15" s="412" t="s">
        <v>42</v>
      </c>
      <c r="G15" s="421">
        <v>620.20000000000005</v>
      </c>
      <c r="H15" s="136"/>
      <c r="I15" s="124"/>
      <c r="J15" s="48"/>
      <c r="K15" s="1329"/>
      <c r="L15" s="1198"/>
      <c r="M15" s="1203"/>
      <c r="N15" s="148"/>
      <c r="O15" s="11"/>
      <c r="P15" s="400"/>
      <c r="Q15" s="389"/>
    </row>
    <row r="16" spans="1:22" ht="14.25" customHeight="1" x14ac:dyDescent="0.2">
      <c r="A16" s="157"/>
      <c r="B16" s="167"/>
      <c r="C16" s="171"/>
      <c r="D16" s="1672"/>
      <c r="E16" s="295"/>
      <c r="F16" s="38" t="s">
        <v>11</v>
      </c>
      <c r="G16" s="417">
        <v>47464.4</v>
      </c>
      <c r="H16" s="1249">
        <v>48558.2</v>
      </c>
      <c r="I16" s="1105">
        <v>48558.2</v>
      </c>
      <c r="J16" s="1169"/>
      <c r="K16" s="1233">
        <v>47531.8</v>
      </c>
      <c r="L16" s="1196">
        <v>47531.8</v>
      </c>
      <c r="M16" s="1190"/>
      <c r="N16" s="54"/>
      <c r="O16" s="71"/>
      <c r="P16" s="92"/>
      <c r="Q16" s="986"/>
      <c r="S16" s="1030" t="s">
        <v>11</v>
      </c>
      <c r="T16" s="1031">
        <f>G22+G26+G30+G32+G39+G43+G46+G49+G51+G52+G57+G58+G59+G60+G63+G68+G71+G74+G77+G80+G83+G86+G88+G90+G87</f>
        <v>47464.400000000016</v>
      </c>
      <c r="U16" s="1031">
        <f>H22+H30+H32+H39+H46+H49+H52+H57+H60+H63+H68+H71+H74+H76+H77+H80+H83+H86+H87+H88+H90</f>
        <v>48558.200000000012</v>
      </c>
      <c r="V16" s="1031">
        <f>M22+M32+M39+M46+M49+M52+M57+M60+M63+M68+M71+M74+M77+M80+M83+M86+M87+M88+M90</f>
        <v>0</v>
      </c>
    </row>
    <row r="17" spans="1:22" ht="15.75" customHeight="1" x14ac:dyDescent="0.2">
      <c r="A17" s="157"/>
      <c r="B17" s="167"/>
      <c r="C17" s="171"/>
      <c r="D17" s="995"/>
      <c r="E17" s="295"/>
      <c r="F17" s="38" t="s">
        <v>14</v>
      </c>
      <c r="G17" s="417">
        <v>65382.6</v>
      </c>
      <c r="H17" s="1250">
        <v>65363.3</v>
      </c>
      <c r="I17" s="1211">
        <v>65363.3</v>
      </c>
      <c r="J17" s="769"/>
      <c r="K17" s="1330">
        <v>65363.3</v>
      </c>
      <c r="L17" s="1212">
        <v>65363.3</v>
      </c>
      <c r="M17" s="473"/>
      <c r="N17" s="54"/>
      <c r="O17" s="71"/>
      <c r="P17" s="92"/>
      <c r="Q17" s="986"/>
      <c r="S17" s="1030" t="s">
        <v>14</v>
      </c>
      <c r="T17" s="1031">
        <f>G23+G25+G27+G33+G37+G40+G41+G47+G53+G61+G65+G84+G85</f>
        <v>65382.600000000006</v>
      </c>
      <c r="U17" s="1031">
        <f>H23+H27+H33+H37+H40+H41+H47+H53+H61+H65+H84+H85</f>
        <v>65363.3</v>
      </c>
      <c r="V17" s="1031">
        <f>M23+M27+M33+M37+M40+M41+M47+M53+M61+M65+M84+M85</f>
        <v>0</v>
      </c>
    </row>
    <row r="18" spans="1:22" ht="15.75" customHeight="1" x14ac:dyDescent="0.2">
      <c r="A18" s="157"/>
      <c r="B18" s="167"/>
      <c r="C18" s="171"/>
      <c r="D18" s="995"/>
      <c r="E18" s="295"/>
      <c r="F18" s="38" t="s">
        <v>34</v>
      </c>
      <c r="G18" s="417">
        <v>5105.3</v>
      </c>
      <c r="H18" s="1250">
        <v>5105.5</v>
      </c>
      <c r="I18" s="1211">
        <v>5105.5</v>
      </c>
      <c r="J18" s="769"/>
      <c r="K18" s="1331">
        <v>5105.3</v>
      </c>
      <c r="L18" s="1259">
        <v>5105.3</v>
      </c>
      <c r="M18" s="1258"/>
      <c r="N18" s="54"/>
      <c r="O18" s="71"/>
      <c r="P18" s="92"/>
      <c r="Q18" s="986"/>
      <c r="S18" s="1030" t="s">
        <v>34</v>
      </c>
      <c r="T18" s="1031">
        <f>G24+G34+G42+G54+G62+G66+G69</f>
        <v>5105.3</v>
      </c>
      <c r="U18" s="1031">
        <f>H24+H34+H42+H54+H62+H66+H69</f>
        <v>5105.5</v>
      </c>
      <c r="V18" s="1031">
        <f>M24+M34+M42+M54+M62+M66+M69</f>
        <v>0</v>
      </c>
    </row>
    <row r="19" spans="1:22" ht="13.5" customHeight="1" x14ac:dyDescent="0.2">
      <c r="A19" s="157"/>
      <c r="B19" s="167"/>
      <c r="C19" s="171"/>
      <c r="D19" s="995"/>
      <c r="E19" s="295"/>
      <c r="F19" s="38" t="s">
        <v>63</v>
      </c>
      <c r="G19" s="417">
        <v>1.4</v>
      </c>
      <c r="H19" s="6"/>
      <c r="I19" s="90"/>
      <c r="J19" s="13"/>
      <c r="K19" s="1330"/>
      <c r="L19" s="1212"/>
      <c r="M19" s="473"/>
      <c r="N19" s="54"/>
      <c r="O19" s="71"/>
      <c r="P19" s="92"/>
      <c r="Q19" s="986"/>
      <c r="S19" s="1030" t="s">
        <v>63</v>
      </c>
      <c r="T19" s="1031">
        <f>G56</f>
        <v>1.4</v>
      </c>
      <c r="U19" s="1031"/>
      <c r="V19" s="1031"/>
    </row>
    <row r="20" spans="1:22" ht="16.5" customHeight="1" x14ac:dyDescent="0.2">
      <c r="A20" s="157"/>
      <c r="B20" s="167"/>
      <c r="C20" s="171"/>
      <c r="D20" s="995"/>
      <c r="E20" s="295"/>
      <c r="F20" s="38" t="s">
        <v>132</v>
      </c>
      <c r="G20" s="417">
        <v>95.2</v>
      </c>
      <c r="H20" s="6"/>
      <c r="I20" s="90"/>
      <c r="J20" s="13"/>
      <c r="K20" s="1330"/>
      <c r="L20" s="1212"/>
      <c r="M20" s="473"/>
      <c r="N20" s="54"/>
      <c r="O20" s="71"/>
      <c r="P20" s="92"/>
      <c r="Q20" s="986"/>
      <c r="S20" s="1030" t="s">
        <v>132</v>
      </c>
      <c r="T20" s="1031">
        <f>G44</f>
        <v>95.2</v>
      </c>
      <c r="U20" s="1031"/>
      <c r="V20" s="1031"/>
    </row>
    <row r="21" spans="1:22" ht="18.75" customHeight="1" x14ac:dyDescent="0.2">
      <c r="A21" s="157"/>
      <c r="B21" s="167"/>
      <c r="C21" s="171"/>
      <c r="D21" s="995"/>
      <c r="E21" s="295"/>
      <c r="F21" s="975" t="s">
        <v>65</v>
      </c>
      <c r="G21" s="1113">
        <v>675.9</v>
      </c>
      <c r="H21" s="85"/>
      <c r="I21" s="1204"/>
      <c r="J21" s="71"/>
      <c r="K21" s="1213"/>
      <c r="L21" s="1195"/>
      <c r="M21" s="1194"/>
      <c r="N21" s="54"/>
      <c r="O21" s="71"/>
      <c r="P21" s="92"/>
      <c r="Q21" s="986"/>
      <c r="S21" s="1030" t="s">
        <v>65</v>
      </c>
      <c r="T21" s="1031">
        <f>G45</f>
        <v>675.9</v>
      </c>
      <c r="U21" s="1031"/>
      <c r="V21" s="1031"/>
    </row>
    <row r="22" spans="1:22" ht="14.25" customHeight="1" x14ac:dyDescent="0.2">
      <c r="A22" s="157"/>
      <c r="B22" s="164"/>
      <c r="C22" s="165"/>
      <c r="D22" s="1561" t="s">
        <v>82</v>
      </c>
      <c r="E22" s="166" t="s">
        <v>144</v>
      </c>
      <c r="F22" s="1034" t="s">
        <v>134</v>
      </c>
      <c r="G22" s="1145">
        <v>23002.7</v>
      </c>
      <c r="H22" s="1251">
        <v>23002.7</v>
      </c>
      <c r="I22" s="1227">
        <v>23002.7</v>
      </c>
      <c r="J22" s="1228"/>
      <c r="K22" s="1223">
        <v>23002.7</v>
      </c>
      <c r="L22" s="1219">
        <v>23002.7</v>
      </c>
      <c r="M22" s="1222"/>
      <c r="N22" s="999" t="s">
        <v>70</v>
      </c>
      <c r="O22" s="13">
        <v>44</v>
      </c>
      <c r="P22" s="90">
        <v>42</v>
      </c>
      <c r="Q22" s="126">
        <v>43</v>
      </c>
      <c r="R22" s="14"/>
      <c r="S22" s="1030"/>
      <c r="T22" s="1031">
        <f>SUM(T16:T21)+G15</f>
        <v>119345.00000000001</v>
      </c>
      <c r="U22" s="1031">
        <f>SUM(U16:U21)+H15</f>
        <v>119027.00000000001</v>
      </c>
      <c r="V22" s="1031">
        <f>SUM(V16:V21)+M15</f>
        <v>0</v>
      </c>
    </row>
    <row r="23" spans="1:22" ht="14.25" customHeight="1" x14ac:dyDescent="0.2">
      <c r="A23" s="157"/>
      <c r="B23" s="164"/>
      <c r="C23" s="165"/>
      <c r="D23" s="1562"/>
      <c r="E23" s="139" t="s">
        <v>270</v>
      </c>
      <c r="F23" s="1034" t="s">
        <v>219</v>
      </c>
      <c r="G23" s="1145">
        <v>14312.7</v>
      </c>
      <c r="H23" s="1251">
        <v>14312.7</v>
      </c>
      <c r="I23" s="1227">
        <v>14312.7</v>
      </c>
      <c r="J23" s="1228"/>
      <c r="K23" s="1251">
        <v>14312.7</v>
      </c>
      <c r="L23" s="1227">
        <v>14312.7</v>
      </c>
      <c r="M23" s="1231"/>
      <c r="N23" s="93" t="s">
        <v>71</v>
      </c>
      <c r="O23" s="13">
        <v>7995</v>
      </c>
      <c r="P23" s="90">
        <v>8200</v>
      </c>
      <c r="Q23" s="397">
        <v>8300</v>
      </c>
      <c r="R23" s="14"/>
      <c r="S23" s="1030"/>
      <c r="T23" s="1031">
        <f>+T22-G91</f>
        <v>0</v>
      </c>
      <c r="U23" s="1031">
        <f>+U22-H91</f>
        <v>0</v>
      </c>
      <c r="V23" s="1031">
        <f>+V22-M91</f>
        <v>0</v>
      </c>
    </row>
    <row r="24" spans="1:22" ht="18" customHeight="1" x14ac:dyDescent="0.2">
      <c r="A24" s="157"/>
      <c r="B24" s="164"/>
      <c r="C24" s="165"/>
      <c r="D24" s="1562"/>
      <c r="E24" s="139"/>
      <c r="F24" s="1034" t="s">
        <v>220</v>
      </c>
      <c r="G24" s="1145">
        <v>3536.9</v>
      </c>
      <c r="H24" s="1251">
        <v>3536.9</v>
      </c>
      <c r="I24" s="1227">
        <v>3536.9</v>
      </c>
      <c r="J24" s="1228"/>
      <c r="K24" s="1251">
        <v>3536.9</v>
      </c>
      <c r="L24" s="1227">
        <v>3536.9</v>
      </c>
      <c r="M24" s="1231"/>
      <c r="N24" s="1546" t="s">
        <v>305</v>
      </c>
      <c r="O24" s="1673">
        <v>22.27</v>
      </c>
      <c r="P24" s="1675">
        <v>22.6</v>
      </c>
      <c r="Q24" s="1676"/>
      <c r="R24" s="14"/>
      <c r="T24" s="292"/>
      <c r="U24" s="292"/>
      <c r="V24" s="292"/>
    </row>
    <row r="25" spans="1:22" ht="12.75" customHeight="1" x14ac:dyDescent="0.2">
      <c r="A25" s="157"/>
      <c r="B25" s="167"/>
      <c r="C25" s="165"/>
      <c r="D25" s="173"/>
      <c r="E25" s="139"/>
      <c r="F25" s="1034" t="s">
        <v>219</v>
      </c>
      <c r="G25" s="1145">
        <v>19.3</v>
      </c>
      <c r="H25" s="1251"/>
      <c r="I25" s="1227"/>
      <c r="J25" s="1228"/>
      <c r="K25" s="1251"/>
      <c r="L25" s="1227"/>
      <c r="M25" s="1231"/>
      <c r="N25" s="1564"/>
      <c r="O25" s="1674"/>
      <c r="P25" s="1646"/>
      <c r="Q25" s="1677"/>
      <c r="R25" s="14"/>
    </row>
    <row r="26" spans="1:22" ht="54" customHeight="1" x14ac:dyDescent="0.2">
      <c r="A26" s="157"/>
      <c r="B26" s="167"/>
      <c r="C26" s="165"/>
      <c r="D26" s="340" t="s">
        <v>176</v>
      </c>
      <c r="E26" s="139" t="s">
        <v>269</v>
      </c>
      <c r="F26" s="1034" t="s">
        <v>134</v>
      </c>
      <c r="G26" s="1145">
        <v>9</v>
      </c>
      <c r="H26" s="1251"/>
      <c r="I26" s="1227"/>
      <c r="J26" s="1228"/>
      <c r="K26" s="1251"/>
      <c r="L26" s="1227"/>
      <c r="M26" s="1231"/>
      <c r="N26" s="999" t="s">
        <v>209</v>
      </c>
      <c r="O26" s="13">
        <v>1</v>
      </c>
      <c r="P26" s="90"/>
      <c r="Q26" s="126"/>
      <c r="R26" s="14"/>
    </row>
    <row r="27" spans="1:22" ht="15.75" customHeight="1" x14ac:dyDescent="0.2">
      <c r="A27" s="157"/>
      <c r="B27" s="167"/>
      <c r="C27" s="165"/>
      <c r="D27" s="1561" t="s">
        <v>138</v>
      </c>
      <c r="E27" s="342" t="s">
        <v>269</v>
      </c>
      <c r="F27" s="1034" t="s">
        <v>219</v>
      </c>
      <c r="G27" s="1145">
        <v>997.6</v>
      </c>
      <c r="H27" s="1251">
        <v>997.6</v>
      </c>
      <c r="I27" s="1227">
        <v>997.6</v>
      </c>
      <c r="J27" s="1228"/>
      <c r="K27" s="1251">
        <v>997.6</v>
      </c>
      <c r="L27" s="1227">
        <v>997.6</v>
      </c>
      <c r="M27" s="1231"/>
      <c r="N27" s="987" t="s">
        <v>70</v>
      </c>
      <c r="O27" s="71">
        <v>10</v>
      </c>
      <c r="P27" s="92">
        <v>12</v>
      </c>
      <c r="Q27" s="298">
        <v>12</v>
      </c>
      <c r="R27" s="14"/>
    </row>
    <row r="28" spans="1:22" ht="14.25" customHeight="1" x14ac:dyDescent="0.2">
      <c r="A28" s="157"/>
      <c r="B28" s="164"/>
      <c r="C28" s="165"/>
      <c r="D28" s="1562"/>
      <c r="E28" s="139"/>
      <c r="F28" s="1034"/>
      <c r="G28" s="1145"/>
      <c r="H28" s="1251"/>
      <c r="I28" s="1227"/>
      <c r="J28" s="1228"/>
      <c r="K28" s="1274"/>
      <c r="L28" s="1058"/>
      <c r="M28" s="1126"/>
      <c r="N28" s="125" t="s">
        <v>71</v>
      </c>
      <c r="O28" s="1">
        <v>499</v>
      </c>
      <c r="P28" s="88">
        <v>550</v>
      </c>
      <c r="Q28" s="397">
        <v>550</v>
      </c>
      <c r="R28" s="14"/>
    </row>
    <row r="29" spans="1:22" ht="10.5" customHeight="1" thickBot="1" x14ac:dyDescent="0.25">
      <c r="A29" s="157"/>
      <c r="B29" s="167"/>
      <c r="C29" s="165"/>
      <c r="D29" s="1556"/>
      <c r="E29" s="139"/>
      <c r="F29" s="1034"/>
      <c r="G29" s="1145"/>
      <c r="H29" s="1251"/>
      <c r="I29" s="1227"/>
      <c r="J29" s="1228"/>
      <c r="K29" s="1251"/>
      <c r="L29" s="1227"/>
      <c r="M29" s="1231"/>
      <c r="N29" s="852"/>
      <c r="O29" s="12"/>
      <c r="P29" s="401"/>
      <c r="Q29" s="396"/>
      <c r="R29" s="14"/>
    </row>
    <row r="30" spans="1:22" ht="29.25" customHeight="1" x14ac:dyDescent="0.2">
      <c r="A30" s="157"/>
      <c r="B30" s="167"/>
      <c r="C30" s="533"/>
      <c r="D30" s="1555" t="s">
        <v>495</v>
      </c>
      <c r="E30" s="139" t="s">
        <v>269</v>
      </c>
      <c r="F30" s="1581" t="s">
        <v>134</v>
      </c>
      <c r="G30" s="1727">
        <v>371</v>
      </c>
      <c r="H30" s="1720">
        <v>1085.5999999999999</v>
      </c>
      <c r="I30" s="1583">
        <v>1085.5999999999999</v>
      </c>
      <c r="J30" s="1228"/>
      <c r="K30" s="1720"/>
      <c r="L30" s="1583"/>
      <c r="M30" s="1729"/>
      <c r="N30" s="534" t="s">
        <v>303</v>
      </c>
      <c r="O30" s="179">
        <v>73.8</v>
      </c>
      <c r="P30" s="142">
        <v>69.8</v>
      </c>
      <c r="Q30" s="146"/>
      <c r="R30" s="14"/>
    </row>
    <row r="31" spans="1:22" ht="28.5" customHeight="1" thickBot="1" x14ac:dyDescent="0.25">
      <c r="A31" s="157"/>
      <c r="B31" s="167"/>
      <c r="C31" s="533"/>
      <c r="D31" s="1556"/>
      <c r="E31" s="139"/>
      <c r="F31" s="1581"/>
      <c r="G31" s="1727"/>
      <c r="H31" s="1720"/>
      <c r="I31" s="1583"/>
      <c r="J31" s="1228"/>
      <c r="K31" s="1720"/>
      <c r="L31" s="1583"/>
      <c r="M31" s="1729"/>
      <c r="N31" s="852" t="s">
        <v>305</v>
      </c>
      <c r="O31" s="768">
        <v>24.18</v>
      </c>
      <c r="P31" s="719">
        <v>23.01</v>
      </c>
      <c r="Q31" s="506"/>
      <c r="R31" s="14"/>
    </row>
    <row r="32" spans="1:22" ht="12.75" customHeight="1" x14ac:dyDescent="0.2">
      <c r="A32" s="169"/>
      <c r="B32" s="167"/>
      <c r="C32" s="170"/>
      <c r="D32" s="1555" t="s">
        <v>48</v>
      </c>
      <c r="E32" s="139" t="s">
        <v>269</v>
      </c>
      <c r="F32" s="1034" t="s">
        <v>134</v>
      </c>
      <c r="G32" s="1145">
        <v>1539.5</v>
      </c>
      <c r="H32" s="1251">
        <v>1539.5</v>
      </c>
      <c r="I32" s="1227">
        <v>1539.5</v>
      </c>
      <c r="J32" s="1228"/>
      <c r="K32" s="1223">
        <v>1539.5</v>
      </c>
      <c r="L32" s="1219">
        <v>1539.5</v>
      </c>
      <c r="M32" s="1222"/>
      <c r="N32" s="96" t="s">
        <v>70</v>
      </c>
      <c r="O32" s="71">
        <v>4</v>
      </c>
      <c r="P32" s="92">
        <v>3</v>
      </c>
      <c r="Q32" s="298">
        <v>3</v>
      </c>
      <c r="R32" s="14"/>
    </row>
    <row r="33" spans="1:20" ht="15.75" customHeight="1" x14ac:dyDescent="0.2">
      <c r="A33" s="169"/>
      <c r="B33" s="167"/>
      <c r="C33" s="171"/>
      <c r="D33" s="1562"/>
      <c r="E33" s="139"/>
      <c r="F33" s="1034" t="s">
        <v>219</v>
      </c>
      <c r="G33" s="1145">
        <v>2049.6999999999998</v>
      </c>
      <c r="H33" s="1251">
        <v>2049.6999999999998</v>
      </c>
      <c r="I33" s="1227">
        <v>2049.6999999999998</v>
      </c>
      <c r="J33" s="1228"/>
      <c r="K33" s="1251">
        <v>2049.6999999999998</v>
      </c>
      <c r="L33" s="1227">
        <v>2049.6999999999998</v>
      </c>
      <c r="M33" s="1231"/>
      <c r="N33" s="972" t="s">
        <v>71</v>
      </c>
      <c r="O33" s="1">
        <v>1233</v>
      </c>
      <c r="P33" s="88">
        <v>959</v>
      </c>
      <c r="Q33" s="967">
        <v>960</v>
      </c>
      <c r="R33" s="14"/>
    </row>
    <row r="34" spans="1:20" ht="15.75" customHeight="1" x14ac:dyDescent="0.2">
      <c r="A34" s="169"/>
      <c r="B34" s="167"/>
      <c r="C34" s="171"/>
      <c r="D34" s="1562"/>
      <c r="E34" s="342"/>
      <c r="F34" s="1034" t="s">
        <v>220</v>
      </c>
      <c r="G34" s="1145">
        <v>331.7</v>
      </c>
      <c r="H34" s="1251">
        <v>331.7</v>
      </c>
      <c r="I34" s="1227">
        <v>331.7</v>
      </c>
      <c r="J34" s="1228"/>
      <c r="K34" s="1251">
        <v>331.7</v>
      </c>
      <c r="L34" s="1227">
        <v>331.7</v>
      </c>
      <c r="M34" s="1231"/>
      <c r="N34" s="125" t="s">
        <v>123</v>
      </c>
      <c r="O34" s="1">
        <v>854</v>
      </c>
      <c r="P34" s="88">
        <v>752</v>
      </c>
      <c r="Q34" s="397">
        <v>760</v>
      </c>
      <c r="R34" s="14"/>
    </row>
    <row r="35" spans="1:20" ht="30.75" customHeight="1" x14ac:dyDescent="0.2">
      <c r="A35" s="172"/>
      <c r="B35" s="167"/>
      <c r="C35" s="171"/>
      <c r="D35" s="386"/>
      <c r="E35" s="139"/>
      <c r="F35" s="1034"/>
      <c r="G35" s="1145"/>
      <c r="H35" s="1251"/>
      <c r="I35" s="1227"/>
      <c r="J35" s="1228"/>
      <c r="K35" s="1251"/>
      <c r="L35" s="1227"/>
      <c r="M35" s="1231"/>
      <c r="N35" s="999" t="s">
        <v>303</v>
      </c>
      <c r="O35" s="105">
        <v>4.4000000000000004</v>
      </c>
      <c r="P35" s="90"/>
      <c r="Q35" s="126"/>
      <c r="R35" s="14"/>
    </row>
    <row r="36" spans="1:20" ht="28.5" customHeight="1" x14ac:dyDescent="0.2">
      <c r="A36" s="172"/>
      <c r="B36" s="167"/>
      <c r="C36" s="171"/>
      <c r="D36" s="386"/>
      <c r="E36" s="139"/>
      <c r="F36" s="1034"/>
      <c r="G36" s="1145"/>
      <c r="H36" s="1251"/>
      <c r="I36" s="1227"/>
      <c r="J36" s="1228"/>
      <c r="K36" s="1251"/>
      <c r="L36" s="1227"/>
      <c r="M36" s="1231"/>
      <c r="N36" s="985" t="s">
        <v>305</v>
      </c>
      <c r="O36" s="481">
        <v>1.43</v>
      </c>
      <c r="P36" s="92"/>
      <c r="Q36" s="298"/>
      <c r="R36" s="14"/>
    </row>
    <row r="37" spans="1:20" ht="16.899999999999999" customHeight="1" x14ac:dyDescent="0.2">
      <c r="A37" s="172"/>
      <c r="B37" s="167"/>
      <c r="C37" s="171"/>
      <c r="D37" s="1561" t="s">
        <v>152</v>
      </c>
      <c r="E37" s="139" t="s">
        <v>269</v>
      </c>
      <c r="F37" s="1034" t="s">
        <v>219</v>
      </c>
      <c r="G37" s="1145">
        <v>234</v>
      </c>
      <c r="H37" s="1251">
        <v>234</v>
      </c>
      <c r="I37" s="1227">
        <v>234</v>
      </c>
      <c r="J37" s="1228"/>
      <c r="K37" s="1251">
        <v>234</v>
      </c>
      <c r="L37" s="1227">
        <v>234</v>
      </c>
      <c r="M37" s="1231"/>
      <c r="N37" s="972" t="s">
        <v>70</v>
      </c>
      <c r="O37" s="1">
        <v>2</v>
      </c>
      <c r="P37" s="749">
        <v>2</v>
      </c>
      <c r="Q37" s="967">
        <v>2</v>
      </c>
      <c r="R37" s="1591"/>
    </row>
    <row r="38" spans="1:20" ht="15.75" customHeight="1" thickBot="1" x14ac:dyDescent="0.25">
      <c r="A38" s="172"/>
      <c r="B38" s="167"/>
      <c r="C38" s="171"/>
      <c r="D38" s="1556"/>
      <c r="E38" s="342"/>
      <c r="F38" s="1034"/>
      <c r="G38" s="1145"/>
      <c r="H38" s="1251"/>
      <c r="I38" s="1227"/>
      <c r="J38" s="1228"/>
      <c r="K38" s="1251"/>
      <c r="L38" s="1227"/>
      <c r="M38" s="1231"/>
      <c r="N38" s="1014" t="s">
        <v>71</v>
      </c>
      <c r="O38" s="329">
        <v>110</v>
      </c>
      <c r="P38" s="89">
        <v>110</v>
      </c>
      <c r="Q38" s="731">
        <v>110</v>
      </c>
      <c r="R38" s="1591"/>
    </row>
    <row r="39" spans="1:20" ht="15.75" customHeight="1" x14ac:dyDescent="0.2">
      <c r="A39" s="172"/>
      <c r="B39" s="164"/>
      <c r="C39" s="171"/>
      <c r="D39" s="1555" t="s">
        <v>83</v>
      </c>
      <c r="E39" s="139" t="s">
        <v>269</v>
      </c>
      <c r="F39" s="1034" t="s">
        <v>134</v>
      </c>
      <c r="G39" s="1145">
        <v>10307.299999999999</v>
      </c>
      <c r="H39" s="1251">
        <v>11000</v>
      </c>
      <c r="I39" s="1227">
        <v>11000</v>
      </c>
      <c r="J39" s="1228"/>
      <c r="K39" s="1332">
        <v>11000</v>
      </c>
      <c r="L39" s="1229">
        <v>11000</v>
      </c>
      <c r="M39" s="1127"/>
      <c r="N39" s="534" t="s">
        <v>70</v>
      </c>
      <c r="O39" s="48">
        <v>32</v>
      </c>
      <c r="P39" s="124">
        <v>32</v>
      </c>
      <c r="Q39" s="146">
        <v>32</v>
      </c>
      <c r="R39" s="14"/>
    </row>
    <row r="40" spans="1:20" ht="15.75" customHeight="1" x14ac:dyDescent="0.2">
      <c r="A40" s="172"/>
      <c r="B40" s="164"/>
      <c r="C40" s="171"/>
      <c r="D40" s="1562"/>
      <c r="E40" s="139"/>
      <c r="F40" s="1034" t="s">
        <v>219</v>
      </c>
      <c r="G40" s="1145">
        <v>41203.5</v>
      </c>
      <c r="H40" s="1251">
        <v>41203.5</v>
      </c>
      <c r="I40" s="1227">
        <v>41203.5</v>
      </c>
      <c r="J40" s="1228"/>
      <c r="K40" s="1223">
        <v>41203.5</v>
      </c>
      <c r="L40" s="1219">
        <v>41203.5</v>
      </c>
      <c r="M40" s="1222"/>
      <c r="N40" s="125" t="s">
        <v>71</v>
      </c>
      <c r="O40" s="13">
        <v>18957</v>
      </c>
      <c r="P40" s="90">
        <v>19140</v>
      </c>
      <c r="Q40" s="126">
        <v>19140</v>
      </c>
      <c r="R40" s="14"/>
    </row>
    <row r="41" spans="1:20" ht="15.75" customHeight="1" x14ac:dyDescent="0.2">
      <c r="A41" s="172"/>
      <c r="B41" s="164"/>
      <c r="C41" s="171"/>
      <c r="D41" s="1562"/>
      <c r="E41" s="139"/>
      <c r="F41" s="1034" t="s">
        <v>219</v>
      </c>
      <c r="G41" s="1145">
        <v>1472.9</v>
      </c>
      <c r="H41" s="1251">
        <v>1472.9</v>
      </c>
      <c r="I41" s="1227">
        <v>1472.9</v>
      </c>
      <c r="J41" s="1228"/>
      <c r="K41" s="1223">
        <v>1472.9</v>
      </c>
      <c r="L41" s="1219">
        <v>1472.9</v>
      </c>
      <c r="M41" s="1222"/>
      <c r="N41" s="125" t="s">
        <v>123</v>
      </c>
      <c r="O41" s="1">
        <v>18805</v>
      </c>
      <c r="P41" s="762">
        <v>19000</v>
      </c>
      <c r="Q41" s="761">
        <v>19000</v>
      </c>
      <c r="R41" s="14"/>
    </row>
    <row r="42" spans="1:20" ht="6" customHeight="1" x14ac:dyDescent="0.2">
      <c r="A42" s="172"/>
      <c r="B42" s="164"/>
      <c r="C42" s="171"/>
      <c r="D42" s="998"/>
      <c r="E42" s="139"/>
      <c r="F42" s="1034" t="s">
        <v>220</v>
      </c>
      <c r="G42" s="1145">
        <v>826.3</v>
      </c>
      <c r="H42" s="1251">
        <v>826.3</v>
      </c>
      <c r="I42" s="1227">
        <v>826.3</v>
      </c>
      <c r="J42" s="1228"/>
      <c r="K42" s="1251">
        <v>826.3</v>
      </c>
      <c r="L42" s="1227">
        <v>826.3</v>
      </c>
      <c r="M42" s="1231"/>
      <c r="N42" s="96"/>
      <c r="O42" s="482"/>
      <c r="P42" s="91"/>
      <c r="Q42" s="968"/>
      <c r="R42" s="14"/>
    </row>
    <row r="43" spans="1:20" ht="15.6" customHeight="1" x14ac:dyDescent="0.2">
      <c r="A43" s="172"/>
      <c r="B43" s="164"/>
      <c r="C43" s="171"/>
      <c r="D43" s="1561" t="s">
        <v>505</v>
      </c>
      <c r="E43" s="139" t="s">
        <v>269</v>
      </c>
      <c r="F43" s="1034" t="s">
        <v>134</v>
      </c>
      <c r="G43" s="1145">
        <v>119.4</v>
      </c>
      <c r="H43" s="1251"/>
      <c r="I43" s="1227"/>
      <c r="J43" s="1228"/>
      <c r="K43" s="1223"/>
      <c r="L43" s="1219"/>
      <c r="M43" s="1222"/>
      <c r="N43" s="54" t="s">
        <v>70</v>
      </c>
      <c r="O43" s="71">
        <v>6</v>
      </c>
      <c r="P43" s="693"/>
      <c r="Q43" s="710"/>
      <c r="R43" s="1591"/>
      <c r="S43" s="1592"/>
      <c r="T43" s="1592"/>
    </row>
    <row r="44" spans="1:20" ht="15.6" customHeight="1" x14ac:dyDescent="0.2">
      <c r="A44" s="172"/>
      <c r="B44" s="164"/>
      <c r="C44" s="171"/>
      <c r="D44" s="1562"/>
      <c r="E44" s="139"/>
      <c r="F44" s="1034" t="s">
        <v>224</v>
      </c>
      <c r="G44" s="1145">
        <v>95.2</v>
      </c>
      <c r="H44" s="1251"/>
      <c r="I44" s="1227"/>
      <c r="J44" s="1228"/>
      <c r="K44" s="1223"/>
      <c r="L44" s="1219"/>
      <c r="M44" s="1222"/>
      <c r="N44" s="54"/>
      <c r="O44" s="71"/>
      <c r="P44" s="92"/>
      <c r="Q44" s="298"/>
      <c r="R44" s="1591"/>
      <c r="S44" s="1592"/>
      <c r="T44" s="1592"/>
    </row>
    <row r="45" spans="1:20" ht="13.5" customHeight="1" thickBot="1" x14ac:dyDescent="0.25">
      <c r="A45" s="172"/>
      <c r="B45" s="164"/>
      <c r="C45" s="171"/>
      <c r="D45" s="1562"/>
      <c r="E45" s="139"/>
      <c r="F45" s="1034" t="s">
        <v>223</v>
      </c>
      <c r="G45" s="1145">
        <v>675.9</v>
      </c>
      <c r="H45" s="1251"/>
      <c r="I45" s="1227"/>
      <c r="J45" s="1228"/>
      <c r="K45" s="1223"/>
      <c r="L45" s="1219"/>
      <c r="M45" s="1222"/>
      <c r="N45" s="96"/>
      <c r="O45" s="2"/>
      <c r="P45" s="91"/>
      <c r="Q45" s="390"/>
      <c r="R45" s="1591"/>
      <c r="S45" s="1592"/>
      <c r="T45" s="1592"/>
    </row>
    <row r="46" spans="1:20" ht="42" customHeight="1" thickBot="1" x14ac:dyDescent="0.25">
      <c r="A46" s="172"/>
      <c r="B46" s="164"/>
      <c r="C46" s="171"/>
      <c r="D46" s="500" t="s">
        <v>139</v>
      </c>
      <c r="E46" s="139" t="s">
        <v>269</v>
      </c>
      <c r="F46" s="1034" t="s">
        <v>134</v>
      </c>
      <c r="G46" s="1145">
        <v>13.9</v>
      </c>
      <c r="H46" s="1251">
        <v>13.9</v>
      </c>
      <c r="I46" s="1227">
        <v>13.9</v>
      </c>
      <c r="J46" s="1228"/>
      <c r="K46" s="1223">
        <v>13.9</v>
      </c>
      <c r="L46" s="1219">
        <v>13.9</v>
      </c>
      <c r="M46" s="1222"/>
      <c r="N46" s="534" t="s">
        <v>70</v>
      </c>
      <c r="O46" s="48">
        <v>4</v>
      </c>
      <c r="P46" s="124">
        <v>4</v>
      </c>
      <c r="Q46" s="146">
        <v>4</v>
      </c>
      <c r="R46" s="14"/>
    </row>
    <row r="47" spans="1:20" ht="20.25" customHeight="1" x14ac:dyDescent="0.2">
      <c r="A47" s="172"/>
      <c r="B47" s="164"/>
      <c r="C47" s="171"/>
      <c r="D47" s="1555" t="s">
        <v>196</v>
      </c>
      <c r="E47" s="757" t="s">
        <v>269</v>
      </c>
      <c r="F47" s="1034" t="s">
        <v>219</v>
      </c>
      <c r="G47" s="1145">
        <v>3598.6</v>
      </c>
      <c r="H47" s="1251">
        <v>3598.6</v>
      </c>
      <c r="I47" s="1227">
        <v>3598.6</v>
      </c>
      <c r="J47" s="1228"/>
      <c r="K47" s="1251">
        <v>3598.6</v>
      </c>
      <c r="L47" s="1227">
        <v>3598.6</v>
      </c>
      <c r="M47" s="1231"/>
      <c r="N47" s="534" t="s">
        <v>70</v>
      </c>
      <c r="O47" s="48">
        <v>7</v>
      </c>
      <c r="P47" s="124">
        <v>9</v>
      </c>
      <c r="Q47" s="146">
        <v>9</v>
      </c>
      <c r="R47" s="14"/>
    </row>
    <row r="48" spans="1:20" ht="21.75" customHeight="1" thickBot="1" x14ac:dyDescent="0.25">
      <c r="A48" s="172"/>
      <c r="B48" s="164"/>
      <c r="C48" s="171"/>
      <c r="D48" s="1562"/>
      <c r="E48" s="757" t="s">
        <v>270</v>
      </c>
      <c r="F48" s="1034"/>
      <c r="G48" s="1145"/>
      <c r="H48" s="1251"/>
      <c r="I48" s="1227"/>
      <c r="J48" s="1228"/>
      <c r="K48" s="1251"/>
      <c r="L48" s="1227"/>
      <c r="M48" s="1231"/>
      <c r="N48" s="125" t="s">
        <v>71</v>
      </c>
      <c r="O48" s="1">
        <v>1447</v>
      </c>
      <c r="P48" s="988">
        <v>1540</v>
      </c>
      <c r="Q48" s="967">
        <v>1540</v>
      </c>
      <c r="R48" s="14"/>
    </row>
    <row r="49" spans="1:18" ht="21.75" customHeight="1" x14ac:dyDescent="0.2">
      <c r="A49" s="172"/>
      <c r="B49" s="164"/>
      <c r="C49" s="171"/>
      <c r="D49" s="1555" t="s">
        <v>119</v>
      </c>
      <c r="E49" s="139" t="s">
        <v>269</v>
      </c>
      <c r="F49" s="1034" t="s">
        <v>134</v>
      </c>
      <c r="G49" s="1145">
        <v>44.8</v>
      </c>
      <c r="H49" s="1251">
        <v>44.7</v>
      </c>
      <c r="I49" s="1227">
        <v>44.7</v>
      </c>
      <c r="J49" s="1228"/>
      <c r="K49" s="1251">
        <v>44.7</v>
      </c>
      <c r="L49" s="1227">
        <v>44.7</v>
      </c>
      <c r="M49" s="1231"/>
      <c r="N49" s="1559" t="s">
        <v>104</v>
      </c>
      <c r="O49" s="11">
        <v>1877</v>
      </c>
      <c r="P49" s="400">
        <v>1900</v>
      </c>
      <c r="Q49" s="1614">
        <v>1950</v>
      </c>
      <c r="R49" s="14"/>
    </row>
    <row r="50" spans="1:18" s="174" customFormat="1" ht="21.75" customHeight="1" thickBot="1" x14ac:dyDescent="0.25">
      <c r="A50" s="157"/>
      <c r="B50" s="164"/>
      <c r="C50" s="170"/>
      <c r="D50" s="1556"/>
      <c r="E50" s="140"/>
      <c r="F50" s="1034"/>
      <c r="G50" s="1145"/>
      <c r="H50" s="1251"/>
      <c r="I50" s="1227"/>
      <c r="J50" s="1228"/>
      <c r="K50" s="1251"/>
      <c r="L50" s="1227"/>
      <c r="M50" s="1231"/>
      <c r="N50" s="1560"/>
      <c r="O50" s="12"/>
      <c r="P50" s="401"/>
      <c r="Q50" s="1640"/>
      <c r="R50" s="286"/>
    </row>
    <row r="51" spans="1:18" s="174" customFormat="1" ht="42" customHeight="1" thickBot="1" x14ac:dyDescent="0.25">
      <c r="A51" s="157"/>
      <c r="B51" s="164"/>
      <c r="C51" s="170"/>
      <c r="D51" s="500" t="s">
        <v>273</v>
      </c>
      <c r="E51" s="140" t="s">
        <v>274</v>
      </c>
      <c r="F51" s="1034" t="s">
        <v>134</v>
      </c>
      <c r="G51" s="1145">
        <v>361.4</v>
      </c>
      <c r="H51" s="1251"/>
      <c r="I51" s="1227"/>
      <c r="J51" s="1228"/>
      <c r="K51" s="1251"/>
      <c r="L51" s="1227"/>
      <c r="M51" s="1231"/>
      <c r="N51" s="985" t="s">
        <v>104</v>
      </c>
      <c r="O51" s="71">
        <v>1960</v>
      </c>
      <c r="P51" s="92"/>
      <c r="Q51" s="298"/>
      <c r="R51" s="286"/>
    </row>
    <row r="52" spans="1:18" ht="15.6" customHeight="1" x14ac:dyDescent="0.2">
      <c r="A52" s="169"/>
      <c r="B52" s="164"/>
      <c r="C52" s="171"/>
      <c r="D52" s="1555" t="s">
        <v>197</v>
      </c>
      <c r="E52" s="139" t="s">
        <v>269</v>
      </c>
      <c r="F52" s="1034" t="s">
        <v>134</v>
      </c>
      <c r="G52" s="1145">
        <v>8515.2999999999993</v>
      </c>
      <c r="H52" s="1251">
        <v>8527.2999999999993</v>
      </c>
      <c r="I52" s="1227">
        <v>8527.2999999999993</v>
      </c>
      <c r="J52" s="1228"/>
      <c r="K52" s="1333">
        <v>8527.2999999999993</v>
      </c>
      <c r="L52" s="1260">
        <v>8527.2999999999993</v>
      </c>
      <c r="M52" s="1128"/>
      <c r="N52" s="534" t="s">
        <v>70</v>
      </c>
      <c r="O52" s="48">
        <v>6</v>
      </c>
      <c r="P52" s="124">
        <v>6</v>
      </c>
      <c r="Q52" s="146">
        <v>6</v>
      </c>
      <c r="R52" s="14"/>
    </row>
    <row r="53" spans="1:18" ht="15.6" customHeight="1" x14ac:dyDescent="0.2">
      <c r="A53" s="169"/>
      <c r="B53" s="164"/>
      <c r="C53" s="171"/>
      <c r="D53" s="1562"/>
      <c r="E53" s="141"/>
      <c r="F53" s="1034" t="s">
        <v>219</v>
      </c>
      <c r="G53" s="1145">
        <v>164.4</v>
      </c>
      <c r="H53" s="1251">
        <v>164.4</v>
      </c>
      <c r="I53" s="1227">
        <v>164.4</v>
      </c>
      <c r="J53" s="1228"/>
      <c r="K53" s="1251">
        <v>164.4</v>
      </c>
      <c r="L53" s="1227">
        <v>164.4</v>
      </c>
      <c r="M53" s="1231"/>
      <c r="N53" s="125" t="s">
        <v>71</v>
      </c>
      <c r="O53" s="1">
        <v>4309</v>
      </c>
      <c r="P53" s="88">
        <v>4500</v>
      </c>
      <c r="Q53" s="126">
        <v>4500</v>
      </c>
      <c r="R53" s="14"/>
    </row>
    <row r="54" spans="1:18" ht="12.75" customHeight="1" x14ac:dyDescent="0.2">
      <c r="A54" s="169"/>
      <c r="B54" s="164"/>
      <c r="C54" s="171"/>
      <c r="D54" s="1562"/>
      <c r="E54" s="141"/>
      <c r="F54" s="1034" t="s">
        <v>220</v>
      </c>
      <c r="G54" s="1145">
        <v>322.8</v>
      </c>
      <c r="H54" s="1251">
        <v>323</v>
      </c>
      <c r="I54" s="1227">
        <v>323</v>
      </c>
      <c r="J54" s="1228"/>
      <c r="K54" s="1251">
        <v>322.8</v>
      </c>
      <c r="L54" s="1227">
        <v>322.8</v>
      </c>
      <c r="M54" s="1231"/>
      <c r="N54" s="1546" t="s">
        <v>210</v>
      </c>
      <c r="O54" s="1">
        <v>180</v>
      </c>
      <c r="P54" s="88">
        <v>170</v>
      </c>
      <c r="Q54" s="507">
        <v>170</v>
      </c>
      <c r="R54" s="14"/>
    </row>
    <row r="55" spans="1:18" ht="4.5" customHeight="1" x14ac:dyDescent="0.2">
      <c r="A55" s="169"/>
      <c r="B55" s="164"/>
      <c r="C55" s="171"/>
      <c r="D55" s="1562"/>
      <c r="E55" s="141"/>
      <c r="F55" s="1034"/>
      <c r="G55" s="1145"/>
      <c r="H55" s="1251"/>
      <c r="I55" s="1227"/>
      <c r="J55" s="1228"/>
      <c r="K55" s="1251"/>
      <c r="L55" s="1227"/>
      <c r="M55" s="1231"/>
      <c r="N55" s="1547"/>
      <c r="O55" s="71"/>
      <c r="P55" s="92"/>
      <c r="Q55" s="845"/>
      <c r="R55" s="14"/>
    </row>
    <row r="56" spans="1:18" ht="13.5" customHeight="1" x14ac:dyDescent="0.2">
      <c r="A56" s="169"/>
      <c r="B56" s="164"/>
      <c r="C56" s="171"/>
      <c r="D56" s="1563"/>
      <c r="E56" s="141"/>
      <c r="F56" s="1034" t="s">
        <v>221</v>
      </c>
      <c r="G56" s="1145">
        <v>1.4</v>
      </c>
      <c r="H56" s="1251"/>
      <c r="I56" s="1227"/>
      <c r="J56" s="1228"/>
      <c r="K56" s="1251"/>
      <c r="L56" s="1227"/>
      <c r="M56" s="1231"/>
      <c r="N56" s="1564"/>
      <c r="O56" s="2"/>
      <c r="P56" s="91"/>
      <c r="Q56" s="846"/>
      <c r="R56" s="14"/>
    </row>
    <row r="57" spans="1:18" ht="29.25" customHeight="1" x14ac:dyDescent="0.2">
      <c r="A57" s="169"/>
      <c r="B57" s="164"/>
      <c r="C57" s="171"/>
      <c r="D57" s="820" t="s">
        <v>275</v>
      </c>
      <c r="E57" s="168" t="s">
        <v>274</v>
      </c>
      <c r="F57" s="1034" t="s">
        <v>134</v>
      </c>
      <c r="G57" s="1145">
        <v>35.299999999999997</v>
      </c>
      <c r="H57" s="1251">
        <v>32.4</v>
      </c>
      <c r="I57" s="1227">
        <v>32.4</v>
      </c>
      <c r="J57" s="1228"/>
      <c r="K57" s="1251">
        <v>53</v>
      </c>
      <c r="L57" s="1227">
        <v>53</v>
      </c>
      <c r="M57" s="1231"/>
      <c r="N57" s="999" t="s">
        <v>276</v>
      </c>
      <c r="O57" s="13">
        <v>74</v>
      </c>
      <c r="P57" s="90">
        <v>96</v>
      </c>
      <c r="Q57" s="126">
        <v>65</v>
      </c>
      <c r="R57" s="14"/>
    </row>
    <row r="58" spans="1:18" ht="40.5" customHeight="1" x14ac:dyDescent="0.2">
      <c r="A58" s="169"/>
      <c r="B58" s="164"/>
      <c r="C58" s="171"/>
      <c r="D58" s="76" t="s">
        <v>508</v>
      </c>
      <c r="E58" s="139" t="s">
        <v>274</v>
      </c>
      <c r="F58" s="1034" t="s">
        <v>134</v>
      </c>
      <c r="G58" s="1145">
        <v>43.9</v>
      </c>
      <c r="H58" s="1251"/>
      <c r="I58" s="1227"/>
      <c r="J58" s="1228"/>
      <c r="K58" s="1251"/>
      <c r="L58" s="1227"/>
      <c r="M58" s="1231"/>
      <c r="N58" s="987" t="s">
        <v>302</v>
      </c>
      <c r="O58" s="2">
        <v>33</v>
      </c>
      <c r="P58" s="91"/>
      <c r="Q58" s="503"/>
      <c r="R58" s="14"/>
    </row>
    <row r="59" spans="1:18" ht="28.5" customHeight="1" thickBot="1" x14ac:dyDescent="0.25">
      <c r="A59" s="169"/>
      <c r="B59" s="164"/>
      <c r="C59" s="171"/>
      <c r="D59" s="819" t="s">
        <v>277</v>
      </c>
      <c r="E59" s="139" t="s">
        <v>274</v>
      </c>
      <c r="F59" s="1034" t="s">
        <v>134</v>
      </c>
      <c r="G59" s="1145">
        <v>31.6</v>
      </c>
      <c r="H59" s="1251"/>
      <c r="I59" s="1227"/>
      <c r="J59" s="1228"/>
      <c r="K59" s="1251"/>
      <c r="L59" s="1227"/>
      <c r="M59" s="1231"/>
      <c r="N59" s="985" t="s">
        <v>297</v>
      </c>
      <c r="O59" s="71">
        <v>2</v>
      </c>
      <c r="P59" s="92"/>
      <c r="Q59" s="298"/>
      <c r="R59" s="14"/>
    </row>
    <row r="60" spans="1:18" ht="17.25" customHeight="1" x14ac:dyDescent="0.2">
      <c r="A60" s="169"/>
      <c r="B60" s="164"/>
      <c r="C60" s="171"/>
      <c r="D60" s="1537" t="s">
        <v>198</v>
      </c>
      <c r="E60" s="144" t="s">
        <v>258</v>
      </c>
      <c r="F60" s="1034" t="s">
        <v>134</v>
      </c>
      <c r="G60" s="1145">
        <v>433.9</v>
      </c>
      <c r="H60" s="1251">
        <v>433.9</v>
      </c>
      <c r="I60" s="1227">
        <v>433.9</v>
      </c>
      <c r="J60" s="1228"/>
      <c r="K60" s="1223">
        <v>433.9</v>
      </c>
      <c r="L60" s="1219">
        <v>433.9</v>
      </c>
      <c r="M60" s="1222"/>
      <c r="N60" s="148" t="s">
        <v>168</v>
      </c>
      <c r="O60" s="11">
        <v>10000</v>
      </c>
      <c r="P60" s="400">
        <v>10000</v>
      </c>
      <c r="Q60" s="389">
        <v>10000</v>
      </c>
      <c r="R60" s="14"/>
    </row>
    <row r="61" spans="1:18" ht="26.25" customHeight="1" x14ac:dyDescent="0.2">
      <c r="A61" s="169"/>
      <c r="B61" s="164"/>
      <c r="C61" s="171"/>
      <c r="D61" s="1616"/>
      <c r="E61" s="139" t="s">
        <v>269</v>
      </c>
      <c r="F61" s="1034" t="s">
        <v>219</v>
      </c>
      <c r="G61" s="1145">
        <v>884.5</v>
      </c>
      <c r="H61" s="1251">
        <v>884.5</v>
      </c>
      <c r="I61" s="1227">
        <v>884.5</v>
      </c>
      <c r="J61" s="1228"/>
      <c r="K61" s="1251">
        <v>884.5</v>
      </c>
      <c r="L61" s="1227">
        <v>884.5</v>
      </c>
      <c r="M61" s="1231"/>
      <c r="N61" s="999" t="s">
        <v>145</v>
      </c>
      <c r="O61" s="13">
        <v>1</v>
      </c>
      <c r="P61" s="90">
        <v>1</v>
      </c>
      <c r="Q61" s="126"/>
      <c r="R61" s="14"/>
    </row>
    <row r="62" spans="1:18" ht="20.25" customHeight="1" thickBot="1" x14ac:dyDescent="0.25">
      <c r="A62" s="169"/>
      <c r="B62" s="164"/>
      <c r="C62" s="171"/>
      <c r="D62" s="1616"/>
      <c r="E62" s="139" t="s">
        <v>270</v>
      </c>
      <c r="F62" s="1034" t="s">
        <v>220</v>
      </c>
      <c r="G62" s="1145">
        <v>18</v>
      </c>
      <c r="H62" s="1251">
        <v>18</v>
      </c>
      <c r="I62" s="1227">
        <v>18</v>
      </c>
      <c r="J62" s="1228"/>
      <c r="K62" s="1251">
        <v>18</v>
      </c>
      <c r="L62" s="1227">
        <v>18</v>
      </c>
      <c r="M62" s="1231"/>
      <c r="N62" s="973" t="s">
        <v>227</v>
      </c>
      <c r="O62" s="12">
        <v>1</v>
      </c>
      <c r="P62" s="989">
        <v>1</v>
      </c>
      <c r="Q62" s="126"/>
      <c r="R62" s="14"/>
    </row>
    <row r="63" spans="1:18" ht="16.149999999999999" customHeight="1" x14ac:dyDescent="0.2">
      <c r="A63" s="175"/>
      <c r="B63" s="167"/>
      <c r="C63" s="165"/>
      <c r="D63" s="1537" t="s">
        <v>87</v>
      </c>
      <c r="E63" s="139" t="s">
        <v>269</v>
      </c>
      <c r="F63" s="1581" t="s">
        <v>134</v>
      </c>
      <c r="G63" s="1727">
        <v>673</v>
      </c>
      <c r="H63" s="1720">
        <v>673</v>
      </c>
      <c r="I63" s="1583">
        <v>673</v>
      </c>
      <c r="J63" s="1228"/>
      <c r="K63" s="1721">
        <v>673</v>
      </c>
      <c r="L63" s="1716">
        <v>673</v>
      </c>
      <c r="M63" s="1728"/>
      <c r="N63" s="534" t="s">
        <v>71</v>
      </c>
      <c r="O63" s="136">
        <v>77</v>
      </c>
      <c r="P63" s="124">
        <v>77</v>
      </c>
      <c r="Q63" s="146">
        <v>77</v>
      </c>
      <c r="R63" s="14"/>
    </row>
    <row r="64" spans="1:18" ht="16.149999999999999" customHeight="1" x14ac:dyDescent="0.2">
      <c r="A64" s="175"/>
      <c r="B64" s="167"/>
      <c r="C64" s="165"/>
      <c r="D64" s="1616"/>
      <c r="E64" s="139" t="s">
        <v>270</v>
      </c>
      <c r="F64" s="1581"/>
      <c r="G64" s="1727"/>
      <c r="H64" s="1720"/>
      <c r="I64" s="1583"/>
      <c r="J64" s="1228"/>
      <c r="K64" s="1721"/>
      <c r="L64" s="1716"/>
      <c r="M64" s="1728"/>
      <c r="N64" s="96" t="s">
        <v>168</v>
      </c>
      <c r="O64" s="223">
        <v>150</v>
      </c>
      <c r="P64" s="91">
        <v>160</v>
      </c>
      <c r="Q64" s="968">
        <v>160</v>
      </c>
      <c r="R64" s="14"/>
    </row>
    <row r="65" spans="1:18" ht="15.6" customHeight="1" x14ac:dyDescent="0.2">
      <c r="A65" s="175"/>
      <c r="B65" s="167"/>
      <c r="C65" s="165"/>
      <c r="D65" s="1616"/>
      <c r="E65" s="283"/>
      <c r="F65" s="1034" t="s">
        <v>219</v>
      </c>
      <c r="G65" s="1145">
        <v>247</v>
      </c>
      <c r="H65" s="1251">
        <v>247</v>
      </c>
      <c r="I65" s="1227">
        <v>247</v>
      </c>
      <c r="J65" s="1228"/>
      <c r="K65" s="1223">
        <v>247</v>
      </c>
      <c r="L65" s="1219">
        <v>247</v>
      </c>
      <c r="M65" s="1222"/>
      <c r="N65" s="1546" t="s">
        <v>303</v>
      </c>
      <c r="O65" s="85">
        <v>2</v>
      </c>
      <c r="P65" s="92"/>
      <c r="Q65" s="986"/>
      <c r="R65" s="14"/>
    </row>
    <row r="66" spans="1:18" ht="13.5" customHeight="1" x14ac:dyDescent="0.2">
      <c r="A66" s="175"/>
      <c r="B66" s="167"/>
      <c r="C66" s="165"/>
      <c r="D66" s="1616"/>
      <c r="E66" s="283"/>
      <c r="F66" s="1034" t="s">
        <v>220</v>
      </c>
      <c r="G66" s="1145">
        <v>39.6</v>
      </c>
      <c r="H66" s="1251">
        <v>39.6</v>
      </c>
      <c r="I66" s="1227">
        <v>39.6</v>
      </c>
      <c r="J66" s="1228"/>
      <c r="K66" s="1251">
        <v>39.6</v>
      </c>
      <c r="L66" s="1227">
        <v>39.6</v>
      </c>
      <c r="M66" s="1231"/>
      <c r="N66" s="1564"/>
      <c r="O66" s="223"/>
      <c r="P66" s="91"/>
      <c r="Q66" s="968"/>
      <c r="R66" s="14"/>
    </row>
    <row r="67" spans="1:18" ht="27" customHeight="1" thickBot="1" x14ac:dyDescent="0.25">
      <c r="A67" s="175"/>
      <c r="B67" s="167"/>
      <c r="C67" s="165"/>
      <c r="D67" s="1658"/>
      <c r="E67" s="283"/>
      <c r="F67" s="1034"/>
      <c r="G67" s="1145"/>
      <c r="H67" s="1251"/>
      <c r="I67" s="1227"/>
      <c r="J67" s="1228"/>
      <c r="K67" s="1251"/>
      <c r="L67" s="1227"/>
      <c r="M67" s="1231"/>
      <c r="N67" s="852" t="s">
        <v>305</v>
      </c>
      <c r="O67" s="1023">
        <v>0.1</v>
      </c>
      <c r="P67" s="89"/>
      <c r="Q67" s="731"/>
      <c r="R67" s="14"/>
    </row>
    <row r="68" spans="1:18" ht="41.25" customHeight="1" x14ac:dyDescent="0.2">
      <c r="A68" s="175"/>
      <c r="B68" s="167"/>
      <c r="C68" s="165"/>
      <c r="D68" s="333" t="s">
        <v>88</v>
      </c>
      <c r="E68" s="139" t="s">
        <v>269</v>
      </c>
      <c r="F68" s="1034" t="s">
        <v>134</v>
      </c>
      <c r="G68" s="1145">
        <v>298.3</v>
      </c>
      <c r="H68" s="1251">
        <v>298.3</v>
      </c>
      <c r="I68" s="1227">
        <v>298.3</v>
      </c>
      <c r="J68" s="1228"/>
      <c r="K68" s="1223">
        <v>298.3</v>
      </c>
      <c r="L68" s="1219">
        <v>298.3</v>
      </c>
      <c r="M68" s="1222"/>
      <c r="N68" s="96" t="s">
        <v>177</v>
      </c>
      <c r="O68" s="2">
        <v>2100</v>
      </c>
      <c r="P68" s="91">
        <v>2190</v>
      </c>
      <c r="Q68" s="390">
        <v>2190</v>
      </c>
      <c r="R68" s="14"/>
    </row>
    <row r="69" spans="1:18" ht="38.25" customHeight="1" x14ac:dyDescent="0.2">
      <c r="A69" s="175"/>
      <c r="B69" s="167"/>
      <c r="C69" s="165"/>
      <c r="D69" s="333"/>
      <c r="E69" s="332"/>
      <c r="F69" s="1034" t="s">
        <v>220</v>
      </c>
      <c r="G69" s="1145">
        <v>30</v>
      </c>
      <c r="H69" s="1251">
        <v>30</v>
      </c>
      <c r="I69" s="1227">
        <v>30</v>
      </c>
      <c r="J69" s="1228"/>
      <c r="K69" s="1251">
        <v>30</v>
      </c>
      <c r="L69" s="1227">
        <v>30</v>
      </c>
      <c r="M69" s="1231"/>
      <c r="N69" s="93" t="s">
        <v>306</v>
      </c>
      <c r="O69" s="71">
        <v>85</v>
      </c>
      <c r="P69" s="92">
        <v>90</v>
      </c>
      <c r="Q69" s="298">
        <v>90</v>
      </c>
      <c r="R69" s="14"/>
    </row>
    <row r="70" spans="1:18" ht="30" customHeight="1" thickBot="1" x14ac:dyDescent="0.25">
      <c r="A70" s="175"/>
      <c r="B70" s="167"/>
      <c r="C70" s="165"/>
      <c r="D70" s="333"/>
      <c r="E70" s="145"/>
      <c r="F70" s="1034"/>
      <c r="G70" s="1145"/>
      <c r="H70" s="1251"/>
      <c r="I70" s="1227"/>
      <c r="J70" s="1228"/>
      <c r="K70" s="1251"/>
      <c r="L70" s="1227"/>
      <c r="M70" s="1231"/>
      <c r="N70" s="125" t="s">
        <v>73</v>
      </c>
      <c r="O70" s="1">
        <v>12500</v>
      </c>
      <c r="P70" s="88">
        <v>12000</v>
      </c>
      <c r="Q70" s="397">
        <v>12000</v>
      </c>
      <c r="R70" s="14"/>
    </row>
    <row r="71" spans="1:18" ht="30.75" customHeight="1" x14ac:dyDescent="0.2">
      <c r="A71" s="157"/>
      <c r="B71" s="167"/>
      <c r="C71" s="165"/>
      <c r="D71" s="1537" t="s">
        <v>105</v>
      </c>
      <c r="E71" s="176" t="s">
        <v>291</v>
      </c>
      <c r="F71" s="1581" t="s">
        <v>134</v>
      </c>
      <c r="G71" s="1727">
        <v>9.9</v>
      </c>
      <c r="H71" s="1720">
        <v>9.9</v>
      </c>
      <c r="I71" s="1583">
        <v>9.9</v>
      </c>
      <c r="J71" s="1228"/>
      <c r="K71" s="1720">
        <v>9.9</v>
      </c>
      <c r="L71" s="1583">
        <v>9.9</v>
      </c>
      <c r="M71" s="1729"/>
      <c r="N71" s="534" t="s">
        <v>307</v>
      </c>
      <c r="O71" s="48">
        <v>50</v>
      </c>
      <c r="P71" s="124">
        <v>50</v>
      </c>
      <c r="Q71" s="146">
        <v>50</v>
      </c>
      <c r="R71" s="14"/>
    </row>
    <row r="72" spans="1:18" ht="30.75" customHeight="1" thickBot="1" x14ac:dyDescent="0.25">
      <c r="A72" s="157"/>
      <c r="B72" s="167"/>
      <c r="C72" s="165"/>
      <c r="D72" s="1658"/>
      <c r="E72" s="178" t="s">
        <v>270</v>
      </c>
      <c r="F72" s="1581"/>
      <c r="G72" s="1727"/>
      <c r="H72" s="1720"/>
      <c r="I72" s="1583"/>
      <c r="J72" s="1228"/>
      <c r="K72" s="1720"/>
      <c r="L72" s="1583"/>
      <c r="M72" s="1729"/>
      <c r="N72" s="96" t="s">
        <v>146</v>
      </c>
      <c r="O72" s="2">
        <v>34</v>
      </c>
      <c r="P72" s="91">
        <v>34</v>
      </c>
      <c r="Q72" s="390">
        <v>34</v>
      </c>
      <c r="R72" s="14"/>
    </row>
    <row r="73" spans="1:18" ht="42" customHeight="1" x14ac:dyDescent="0.2">
      <c r="A73" s="157"/>
      <c r="B73" s="167"/>
      <c r="C73" s="165"/>
      <c r="D73" s="718" t="s">
        <v>496</v>
      </c>
      <c r="E73" s="751" t="s">
        <v>270</v>
      </c>
      <c r="F73" s="1034"/>
      <c r="G73" s="1145"/>
      <c r="H73" s="1251"/>
      <c r="I73" s="1227"/>
      <c r="J73" s="1228"/>
      <c r="K73" s="1251"/>
      <c r="L73" s="1227"/>
      <c r="M73" s="1231"/>
      <c r="N73" s="532" t="s">
        <v>72</v>
      </c>
      <c r="O73" s="48">
        <v>190</v>
      </c>
      <c r="P73" s="124">
        <v>210</v>
      </c>
      <c r="Q73" s="146"/>
      <c r="R73" s="14"/>
    </row>
    <row r="74" spans="1:18" ht="18.75" customHeight="1" x14ac:dyDescent="0.2">
      <c r="A74" s="157"/>
      <c r="B74" s="167"/>
      <c r="C74" s="165"/>
      <c r="D74" s="782" t="s">
        <v>137</v>
      </c>
      <c r="E74" s="1656" t="s">
        <v>326</v>
      </c>
      <c r="F74" s="1034" t="s">
        <v>134</v>
      </c>
      <c r="G74" s="1145">
        <v>135.4</v>
      </c>
      <c r="H74" s="1251">
        <v>148.69999999999999</v>
      </c>
      <c r="I74" s="1227">
        <v>148.69999999999999</v>
      </c>
      <c r="J74" s="1228"/>
      <c r="K74" s="1251">
        <v>159.80000000000001</v>
      </c>
      <c r="L74" s="1227">
        <v>159.80000000000001</v>
      </c>
      <c r="M74" s="1231"/>
      <c r="N74" s="999" t="s">
        <v>70</v>
      </c>
      <c r="O74" s="13">
        <v>2</v>
      </c>
      <c r="P74" s="90">
        <v>2</v>
      </c>
      <c r="Q74" s="126">
        <v>1</v>
      </c>
      <c r="R74" s="14"/>
    </row>
    <row r="75" spans="1:18" ht="18.75" customHeight="1" x14ac:dyDescent="0.2">
      <c r="A75" s="157"/>
      <c r="B75" s="167"/>
      <c r="C75" s="165"/>
      <c r="D75" s="783"/>
      <c r="E75" s="1657"/>
      <c r="F75" s="1034"/>
      <c r="G75" s="1145"/>
      <c r="H75" s="1251"/>
      <c r="I75" s="1227"/>
      <c r="J75" s="1228"/>
      <c r="K75" s="1251"/>
      <c r="L75" s="1227"/>
      <c r="M75" s="1231"/>
      <c r="N75" s="999" t="s">
        <v>72</v>
      </c>
      <c r="O75" s="2">
        <v>169</v>
      </c>
      <c r="P75" s="91">
        <v>199</v>
      </c>
      <c r="Q75" s="789">
        <v>199</v>
      </c>
      <c r="R75" s="14"/>
    </row>
    <row r="76" spans="1:18" ht="36.75" customHeight="1" thickBot="1" x14ac:dyDescent="0.25">
      <c r="A76" s="157"/>
      <c r="B76" s="167"/>
      <c r="C76" s="165"/>
      <c r="D76" s="386" t="s">
        <v>75</v>
      </c>
      <c r="E76" s="139" t="s">
        <v>327</v>
      </c>
      <c r="F76" s="1034" t="s">
        <v>134</v>
      </c>
      <c r="G76" s="1145"/>
      <c r="H76" s="1251">
        <v>26.5</v>
      </c>
      <c r="I76" s="1227">
        <v>26.5</v>
      </c>
      <c r="J76" s="1228"/>
      <c r="K76" s="1251"/>
      <c r="L76" s="1227"/>
      <c r="M76" s="1231"/>
      <c r="N76" s="987" t="s">
        <v>70</v>
      </c>
      <c r="O76" s="71"/>
      <c r="P76" s="92">
        <v>1</v>
      </c>
      <c r="Q76" s="298"/>
      <c r="R76" s="14"/>
    </row>
    <row r="77" spans="1:18" ht="29.25" customHeight="1" x14ac:dyDescent="0.2">
      <c r="A77" s="157"/>
      <c r="B77" s="167"/>
      <c r="C77" s="177"/>
      <c r="D77" s="46" t="s">
        <v>143</v>
      </c>
      <c r="E77" s="144" t="s">
        <v>269</v>
      </c>
      <c r="F77" s="1034" t="s">
        <v>134</v>
      </c>
      <c r="G77" s="1145">
        <v>100.5</v>
      </c>
      <c r="H77" s="1251">
        <v>132.30000000000001</v>
      </c>
      <c r="I77" s="1227">
        <v>132.30000000000001</v>
      </c>
      <c r="J77" s="1228"/>
      <c r="K77" s="1251">
        <v>157.19999999999999</v>
      </c>
      <c r="L77" s="1227">
        <v>157.19999999999999</v>
      </c>
      <c r="M77" s="1231"/>
      <c r="N77" s="532" t="s">
        <v>72</v>
      </c>
      <c r="O77" s="48">
        <v>240</v>
      </c>
      <c r="P77" s="124">
        <v>310</v>
      </c>
      <c r="Q77" s="146">
        <v>340</v>
      </c>
      <c r="R77" s="14"/>
    </row>
    <row r="78" spans="1:18" ht="15.75" customHeight="1" x14ac:dyDescent="0.2">
      <c r="A78" s="157"/>
      <c r="B78" s="167"/>
      <c r="C78" s="165"/>
      <c r="D78" s="1562" t="s">
        <v>155</v>
      </c>
      <c r="E78" s="139"/>
      <c r="F78" s="1034"/>
      <c r="G78" s="1145"/>
      <c r="H78" s="1251"/>
      <c r="I78" s="1227"/>
      <c r="J78" s="1228"/>
      <c r="K78" s="1223"/>
      <c r="L78" s="1219"/>
      <c r="M78" s="1222"/>
      <c r="N78" s="1546" t="s">
        <v>122</v>
      </c>
      <c r="O78" s="1567">
        <v>12</v>
      </c>
      <c r="P78" s="1569">
        <v>14</v>
      </c>
      <c r="Q78" s="1571">
        <v>16</v>
      </c>
      <c r="R78" s="14"/>
    </row>
    <row r="79" spans="1:18" ht="15.75" customHeight="1" thickBot="1" x14ac:dyDescent="0.25">
      <c r="A79" s="157"/>
      <c r="B79" s="167"/>
      <c r="C79" s="165"/>
      <c r="D79" s="1562"/>
      <c r="E79" s="139"/>
      <c r="F79" s="1034"/>
      <c r="G79" s="1145"/>
      <c r="H79" s="1251"/>
      <c r="I79" s="1227"/>
      <c r="J79" s="1228"/>
      <c r="K79" s="1223"/>
      <c r="L79" s="1219"/>
      <c r="M79" s="1222"/>
      <c r="N79" s="1560"/>
      <c r="O79" s="1568"/>
      <c r="P79" s="1570"/>
      <c r="Q79" s="1572"/>
      <c r="R79" s="14"/>
    </row>
    <row r="80" spans="1:18" ht="29.25" customHeight="1" x14ac:dyDescent="0.2">
      <c r="A80" s="157"/>
      <c r="B80" s="167"/>
      <c r="C80" s="165"/>
      <c r="D80" s="1555" t="s">
        <v>531</v>
      </c>
      <c r="E80" s="166" t="s">
        <v>290</v>
      </c>
      <c r="F80" s="1034" t="s">
        <v>134</v>
      </c>
      <c r="G80" s="1145">
        <v>219.3</v>
      </c>
      <c r="H80" s="1251">
        <v>306.8</v>
      </c>
      <c r="I80" s="1227">
        <v>306.8</v>
      </c>
      <c r="J80" s="1228"/>
      <c r="K80" s="1251">
        <v>275.89999999999998</v>
      </c>
      <c r="L80" s="1227">
        <v>275.89999999999998</v>
      </c>
      <c r="M80" s="1231"/>
      <c r="N80" s="93" t="s">
        <v>106</v>
      </c>
      <c r="O80" s="1013">
        <v>8.8699999999999992</v>
      </c>
      <c r="P80" s="135">
        <v>12.1</v>
      </c>
      <c r="Q80" s="147">
        <v>13.39</v>
      </c>
      <c r="R80" s="14"/>
    </row>
    <row r="81" spans="1:22" ht="29.25" customHeight="1" x14ac:dyDescent="0.2">
      <c r="A81" s="157"/>
      <c r="B81" s="167"/>
      <c r="C81" s="165"/>
      <c r="D81" s="1562"/>
      <c r="E81" s="139" t="s">
        <v>270</v>
      </c>
      <c r="F81" s="1034"/>
      <c r="G81" s="1145"/>
      <c r="H81" s="1251"/>
      <c r="I81" s="1227"/>
      <c r="J81" s="1228"/>
      <c r="K81" s="1251"/>
      <c r="L81" s="1227"/>
      <c r="M81" s="1231"/>
      <c r="N81" s="93" t="s">
        <v>316</v>
      </c>
      <c r="O81" s="71">
        <v>3</v>
      </c>
      <c r="P81" s="92">
        <v>3</v>
      </c>
      <c r="Q81" s="968"/>
      <c r="R81" s="14"/>
    </row>
    <row r="82" spans="1:22" ht="27" customHeight="1" thickBot="1" x14ac:dyDescent="0.25">
      <c r="A82" s="157"/>
      <c r="B82" s="167"/>
      <c r="C82" s="165"/>
      <c r="D82" s="1556"/>
      <c r="E82" s="1015" t="s">
        <v>147</v>
      </c>
      <c r="F82" s="1034"/>
      <c r="G82" s="1145"/>
      <c r="H82" s="1251"/>
      <c r="I82" s="1227"/>
      <c r="J82" s="1228"/>
      <c r="K82" s="1251"/>
      <c r="L82" s="1227"/>
      <c r="M82" s="1231"/>
      <c r="N82" s="852" t="s">
        <v>501</v>
      </c>
      <c r="O82" s="1">
        <v>735</v>
      </c>
      <c r="P82" s="988">
        <v>720</v>
      </c>
      <c r="Q82" s="967">
        <v>720</v>
      </c>
      <c r="R82" s="14"/>
    </row>
    <row r="83" spans="1:22" ht="53.25" customHeight="1" x14ac:dyDescent="0.2">
      <c r="A83" s="172"/>
      <c r="B83" s="164"/>
      <c r="C83" s="171"/>
      <c r="D83" s="341" t="s">
        <v>53</v>
      </c>
      <c r="E83" s="144" t="s">
        <v>269</v>
      </c>
      <c r="F83" s="1034" t="s">
        <v>134</v>
      </c>
      <c r="G83" s="1145">
        <v>460.6</v>
      </c>
      <c r="H83" s="1251">
        <v>511.4</v>
      </c>
      <c r="I83" s="1227">
        <v>511.4</v>
      </c>
      <c r="J83" s="1228"/>
      <c r="K83" s="1251">
        <v>571.4</v>
      </c>
      <c r="L83" s="1227">
        <v>571.4</v>
      </c>
      <c r="M83" s="1231"/>
      <c r="N83" s="148" t="s">
        <v>89</v>
      </c>
      <c r="O83" s="11">
        <v>300</v>
      </c>
      <c r="P83" s="400">
        <v>350</v>
      </c>
      <c r="Q83" s="146">
        <v>400</v>
      </c>
      <c r="R83" s="14"/>
    </row>
    <row r="84" spans="1:22" ht="27.75" customHeight="1" thickBot="1" x14ac:dyDescent="0.25">
      <c r="A84" s="172"/>
      <c r="B84" s="164"/>
      <c r="C84" s="171"/>
      <c r="D84" s="335"/>
      <c r="E84" s="139"/>
      <c r="F84" s="1034" t="s">
        <v>219</v>
      </c>
      <c r="G84" s="1145">
        <v>142.6</v>
      </c>
      <c r="H84" s="1251">
        <v>142.6</v>
      </c>
      <c r="I84" s="1227">
        <v>142.6</v>
      </c>
      <c r="J84" s="1228"/>
      <c r="K84" s="1251">
        <v>142.6</v>
      </c>
      <c r="L84" s="1227">
        <v>142.6</v>
      </c>
      <c r="M84" s="1231"/>
      <c r="N84" s="1014" t="s">
        <v>142</v>
      </c>
      <c r="O84" s="1">
        <v>8</v>
      </c>
      <c r="P84" s="88">
        <v>8</v>
      </c>
      <c r="Q84" s="397">
        <v>8</v>
      </c>
      <c r="R84" s="14"/>
    </row>
    <row r="85" spans="1:22" ht="27.75" customHeight="1" x14ac:dyDescent="0.2">
      <c r="A85" s="172"/>
      <c r="B85" s="164"/>
      <c r="C85" s="171"/>
      <c r="D85" s="60" t="s">
        <v>41</v>
      </c>
      <c r="E85" s="139" t="s">
        <v>326</v>
      </c>
      <c r="F85" s="1034" t="s">
        <v>219</v>
      </c>
      <c r="G85" s="1145">
        <v>55.8</v>
      </c>
      <c r="H85" s="1251">
        <v>55.8</v>
      </c>
      <c r="I85" s="1227">
        <v>55.8</v>
      </c>
      <c r="J85" s="1228"/>
      <c r="K85" s="1251">
        <v>55.8</v>
      </c>
      <c r="L85" s="1227">
        <v>55.8</v>
      </c>
      <c r="M85" s="1231"/>
      <c r="N85" s="532" t="s">
        <v>76</v>
      </c>
      <c r="O85" s="11">
        <v>17</v>
      </c>
      <c r="P85" s="400">
        <v>17</v>
      </c>
      <c r="Q85" s="389">
        <v>17</v>
      </c>
      <c r="R85" s="14"/>
    </row>
    <row r="86" spans="1:22" ht="18.75" customHeight="1" x14ac:dyDescent="0.2">
      <c r="A86" s="172"/>
      <c r="B86" s="164"/>
      <c r="C86" s="165"/>
      <c r="D86" s="334" t="s">
        <v>67</v>
      </c>
      <c r="E86" s="139" t="s">
        <v>269</v>
      </c>
      <c r="F86" s="1034" t="s">
        <v>134</v>
      </c>
      <c r="G86" s="1145">
        <v>397.5</v>
      </c>
      <c r="H86" s="1251">
        <v>397.5</v>
      </c>
      <c r="I86" s="1227">
        <v>397.5</v>
      </c>
      <c r="J86" s="1228"/>
      <c r="K86" s="1251">
        <v>397.5</v>
      </c>
      <c r="L86" s="1227">
        <v>397.5</v>
      </c>
      <c r="M86" s="1231"/>
      <c r="N86" s="93" t="s">
        <v>71</v>
      </c>
      <c r="O86" s="13">
        <v>1215</v>
      </c>
      <c r="P86" s="90">
        <v>1215</v>
      </c>
      <c r="Q86" s="126">
        <v>1215</v>
      </c>
      <c r="R86" s="14"/>
    </row>
    <row r="87" spans="1:22" ht="69" customHeight="1" x14ac:dyDescent="0.2">
      <c r="A87" s="172"/>
      <c r="B87" s="164"/>
      <c r="C87" s="165"/>
      <c r="D87" s="41" t="s">
        <v>78</v>
      </c>
      <c r="E87" s="648" t="s">
        <v>269</v>
      </c>
      <c r="F87" s="1034" t="s">
        <v>134</v>
      </c>
      <c r="G87" s="1145">
        <v>55.4</v>
      </c>
      <c r="H87" s="1251">
        <v>55.4</v>
      </c>
      <c r="I87" s="1227">
        <v>55.4</v>
      </c>
      <c r="J87" s="1228"/>
      <c r="K87" s="1251">
        <v>55.4</v>
      </c>
      <c r="L87" s="1227">
        <v>55.4</v>
      </c>
      <c r="M87" s="1231"/>
      <c r="N87" s="93" t="s">
        <v>308</v>
      </c>
      <c r="O87" s="13">
        <v>7950</v>
      </c>
      <c r="P87" s="90">
        <v>7950</v>
      </c>
      <c r="Q87" s="126">
        <v>7950</v>
      </c>
    </row>
    <row r="88" spans="1:22" ht="56.65" customHeight="1" x14ac:dyDescent="0.2">
      <c r="A88" s="172"/>
      <c r="B88" s="164"/>
      <c r="C88" s="165"/>
      <c r="D88" s="1561" t="s">
        <v>228</v>
      </c>
      <c r="E88" s="717" t="s">
        <v>269</v>
      </c>
      <c r="F88" s="1034" t="s">
        <v>134</v>
      </c>
      <c r="G88" s="1145">
        <v>185.5</v>
      </c>
      <c r="H88" s="1251">
        <v>183.4</v>
      </c>
      <c r="I88" s="1227">
        <v>183.4</v>
      </c>
      <c r="J88" s="1228"/>
      <c r="K88" s="1251">
        <v>183.4</v>
      </c>
      <c r="L88" s="1227">
        <v>183.4</v>
      </c>
      <c r="M88" s="1231"/>
      <c r="N88" s="96" t="s">
        <v>180</v>
      </c>
      <c r="O88" s="2">
        <v>36</v>
      </c>
      <c r="P88" s="91">
        <v>36</v>
      </c>
      <c r="Q88" s="487">
        <v>36</v>
      </c>
    </row>
    <row r="89" spans="1:22" ht="43.5" customHeight="1" x14ac:dyDescent="0.2">
      <c r="A89" s="172"/>
      <c r="B89" s="164"/>
      <c r="C89" s="165"/>
      <c r="D89" s="1563"/>
      <c r="E89" s="321" t="s">
        <v>270</v>
      </c>
      <c r="F89" s="1034"/>
      <c r="G89" s="1145"/>
      <c r="H89" s="1251"/>
      <c r="I89" s="1227"/>
      <c r="J89" s="1228"/>
      <c r="K89" s="1251"/>
      <c r="L89" s="1227"/>
      <c r="M89" s="1231"/>
      <c r="N89" s="125" t="s">
        <v>181</v>
      </c>
      <c r="O89" s="1">
        <v>20</v>
      </c>
      <c r="P89" s="88">
        <v>20</v>
      </c>
      <c r="Q89" s="397">
        <v>20</v>
      </c>
    </row>
    <row r="90" spans="1:22" ht="40.5" customHeight="1" x14ac:dyDescent="0.2">
      <c r="A90" s="172"/>
      <c r="B90" s="164"/>
      <c r="C90" s="165"/>
      <c r="D90" s="1561" t="s">
        <v>279</v>
      </c>
      <c r="E90" s="168" t="s">
        <v>274</v>
      </c>
      <c r="F90" s="1032" t="s">
        <v>134</v>
      </c>
      <c r="G90" s="1146">
        <v>100</v>
      </c>
      <c r="H90" s="1252">
        <v>135</v>
      </c>
      <c r="I90" s="1033">
        <v>135</v>
      </c>
      <c r="J90" s="1170"/>
      <c r="K90" s="1252">
        <v>135</v>
      </c>
      <c r="L90" s="1033">
        <v>135</v>
      </c>
      <c r="M90" s="1186"/>
      <c r="N90" s="125" t="s">
        <v>70</v>
      </c>
      <c r="O90" s="1">
        <v>44</v>
      </c>
      <c r="P90" s="767">
        <v>45</v>
      </c>
      <c r="Q90" s="766">
        <v>45</v>
      </c>
      <c r="R90" s="1652"/>
      <c r="S90" s="1653"/>
    </row>
    <row r="91" spans="1:22" ht="15.6" customHeight="1" thickBot="1" x14ac:dyDescent="0.25">
      <c r="A91" s="181"/>
      <c r="B91" s="182"/>
      <c r="C91" s="183"/>
      <c r="D91" s="1556"/>
      <c r="E91" s="1654" t="s">
        <v>12</v>
      </c>
      <c r="F91" s="1655"/>
      <c r="G91" s="266">
        <f t="shared" ref="G91:M91" si="0">SUM(G15:G21)</f>
        <v>119344.99999999999</v>
      </c>
      <c r="H91" s="36">
        <f t="shared" si="0"/>
        <v>119027</v>
      </c>
      <c r="I91" s="108">
        <f t="shared" si="0"/>
        <v>119027</v>
      </c>
      <c r="J91" s="106">
        <f t="shared" si="0"/>
        <v>0</v>
      </c>
      <c r="K91" s="36">
        <f t="shared" si="0"/>
        <v>118000.40000000001</v>
      </c>
      <c r="L91" s="108">
        <f t="shared" si="0"/>
        <v>118000.40000000001</v>
      </c>
      <c r="M91" s="111">
        <f t="shared" si="0"/>
        <v>0</v>
      </c>
      <c r="N91" s="852"/>
      <c r="O91" s="12"/>
      <c r="P91" s="401"/>
      <c r="Q91" s="396"/>
    </row>
    <row r="92" spans="1:22" ht="15" customHeight="1" x14ac:dyDescent="0.2">
      <c r="A92" s="184" t="s">
        <v>10</v>
      </c>
      <c r="B92" s="185" t="s">
        <v>10</v>
      </c>
      <c r="C92" s="162" t="s">
        <v>13</v>
      </c>
      <c r="D92" s="1537" t="s">
        <v>54</v>
      </c>
      <c r="E92" s="144"/>
      <c r="F92" s="412" t="s">
        <v>11</v>
      </c>
      <c r="G92" s="421">
        <v>150</v>
      </c>
      <c r="H92" s="1253">
        <v>170</v>
      </c>
      <c r="I92" s="142">
        <v>170</v>
      </c>
      <c r="J92" s="179"/>
      <c r="K92" s="1253">
        <v>200</v>
      </c>
      <c r="L92" s="142">
        <v>200</v>
      </c>
      <c r="M92" s="143"/>
      <c r="N92" s="148"/>
      <c r="O92" s="11"/>
      <c r="P92" s="400"/>
      <c r="Q92" s="389"/>
    </row>
    <row r="93" spans="1:22" ht="17.25" customHeight="1" x14ac:dyDescent="0.2">
      <c r="A93" s="172"/>
      <c r="B93" s="164"/>
      <c r="C93" s="171"/>
      <c r="D93" s="1538"/>
      <c r="E93" s="139"/>
      <c r="F93" s="975" t="s">
        <v>14</v>
      </c>
      <c r="G93" s="1114">
        <v>1454.5</v>
      </c>
      <c r="H93" s="1254">
        <v>1454.5</v>
      </c>
      <c r="I93" s="1197">
        <v>1454.5</v>
      </c>
      <c r="J93" s="1191"/>
      <c r="K93" s="1254">
        <v>1454.5</v>
      </c>
      <c r="L93" s="1197">
        <v>1454.5</v>
      </c>
      <c r="M93" s="1192"/>
      <c r="N93" s="54"/>
      <c r="O93" s="71"/>
      <c r="P93" s="92"/>
      <c r="Q93" s="986"/>
      <c r="R93" s="1030"/>
      <c r="S93" s="1030" t="s">
        <v>14</v>
      </c>
      <c r="T93" s="1031">
        <f>G94+G98</f>
        <v>1454.5</v>
      </c>
      <c r="U93" s="1031">
        <f>H94+H98</f>
        <v>1454.5</v>
      </c>
      <c r="V93" s="1031">
        <f>M94+M98</f>
        <v>0</v>
      </c>
    </row>
    <row r="94" spans="1:22" ht="29.65" customHeight="1" x14ac:dyDescent="0.2">
      <c r="A94" s="172"/>
      <c r="B94" s="164"/>
      <c r="C94" s="171"/>
      <c r="D94" s="76" t="s">
        <v>336</v>
      </c>
      <c r="E94" s="139" t="s">
        <v>269</v>
      </c>
      <c r="F94" s="1034" t="s">
        <v>219</v>
      </c>
      <c r="G94" s="1145">
        <v>297</v>
      </c>
      <c r="H94" s="1251">
        <v>297</v>
      </c>
      <c r="I94" s="1227">
        <v>297</v>
      </c>
      <c r="J94" s="1228"/>
      <c r="K94" s="1251">
        <v>297</v>
      </c>
      <c r="L94" s="1227">
        <v>297</v>
      </c>
      <c r="M94" s="1231"/>
      <c r="N94" s="93" t="s">
        <v>71</v>
      </c>
      <c r="O94" s="13">
        <v>3176</v>
      </c>
      <c r="P94" s="90">
        <v>3100</v>
      </c>
      <c r="Q94" s="126">
        <v>3100</v>
      </c>
      <c r="R94" s="1650"/>
      <c r="S94" s="1651"/>
      <c r="T94" s="1651"/>
      <c r="U94" s="1030"/>
      <c r="V94" s="1030"/>
    </row>
    <row r="95" spans="1:22" ht="16.149999999999999" customHeight="1" x14ac:dyDescent="0.2">
      <c r="A95" s="172"/>
      <c r="B95" s="164"/>
      <c r="C95" s="171"/>
      <c r="D95" s="1561" t="s">
        <v>40</v>
      </c>
      <c r="E95" s="1577" t="s">
        <v>290</v>
      </c>
      <c r="F95" s="1034" t="s">
        <v>134</v>
      </c>
      <c r="G95" s="1145">
        <v>150</v>
      </c>
      <c r="H95" s="1251">
        <v>170</v>
      </c>
      <c r="I95" s="1227">
        <v>170</v>
      </c>
      <c r="J95" s="1228"/>
      <c r="K95" s="1251">
        <v>200</v>
      </c>
      <c r="L95" s="1227">
        <v>200</v>
      </c>
      <c r="M95" s="1231"/>
      <c r="N95" s="1546" t="s">
        <v>90</v>
      </c>
      <c r="O95" s="71">
        <v>80</v>
      </c>
      <c r="P95" s="92">
        <v>90</v>
      </c>
      <c r="Q95" s="298">
        <v>100</v>
      </c>
      <c r="R95" s="1650"/>
      <c r="S95" s="1651"/>
      <c r="T95" s="1651"/>
      <c r="U95" s="1030"/>
      <c r="V95" s="1030"/>
    </row>
    <row r="96" spans="1:22" ht="9" customHeight="1" x14ac:dyDescent="0.2">
      <c r="A96" s="172"/>
      <c r="B96" s="164"/>
      <c r="C96" s="171"/>
      <c r="D96" s="1562"/>
      <c r="E96" s="1578"/>
      <c r="F96" s="1034"/>
      <c r="G96" s="1145"/>
      <c r="H96" s="1251"/>
      <c r="I96" s="1227"/>
      <c r="J96" s="1228"/>
      <c r="K96" s="1251"/>
      <c r="L96" s="1227"/>
      <c r="M96" s="1231"/>
      <c r="N96" s="1547"/>
      <c r="O96" s="71"/>
      <c r="P96" s="92"/>
      <c r="Q96" s="298"/>
      <c r="R96" s="1030"/>
      <c r="S96" s="1030"/>
      <c r="T96" s="1031">
        <f>+T93+G92</f>
        <v>1604.5</v>
      </c>
      <c r="U96" s="1031">
        <f>+U93+H92</f>
        <v>1624.5</v>
      </c>
      <c r="V96" s="1031">
        <f>+V93+M92</f>
        <v>0</v>
      </c>
    </row>
    <row r="97" spans="1:17" ht="16.149999999999999" customHeight="1" x14ac:dyDescent="0.2">
      <c r="A97" s="172"/>
      <c r="B97" s="164"/>
      <c r="C97" s="171"/>
      <c r="D97" s="750"/>
      <c r="E97" s="751" t="s">
        <v>270</v>
      </c>
      <c r="F97" s="1034"/>
      <c r="G97" s="1145"/>
      <c r="H97" s="1251"/>
      <c r="I97" s="1227"/>
      <c r="J97" s="1228"/>
      <c r="K97" s="1251"/>
      <c r="L97" s="1227"/>
      <c r="M97" s="1231"/>
      <c r="N97" s="985"/>
      <c r="O97" s="71"/>
      <c r="P97" s="92"/>
      <c r="Q97" s="298"/>
    </row>
    <row r="98" spans="1:17" ht="15.75" customHeight="1" x14ac:dyDescent="0.2">
      <c r="A98" s="172"/>
      <c r="B98" s="164"/>
      <c r="C98" s="171"/>
      <c r="D98" s="1561" t="s">
        <v>50</v>
      </c>
      <c r="E98" s="756" t="s">
        <v>269</v>
      </c>
      <c r="F98" s="1034" t="s">
        <v>219</v>
      </c>
      <c r="G98" s="1145">
        <v>1157.5</v>
      </c>
      <c r="H98" s="1251">
        <v>1157.5</v>
      </c>
      <c r="I98" s="1227">
        <v>1157.5</v>
      </c>
      <c r="J98" s="1228"/>
      <c r="K98" s="1251">
        <v>1157.5</v>
      </c>
      <c r="L98" s="1227">
        <v>1157.5</v>
      </c>
      <c r="M98" s="1231"/>
      <c r="N98" s="972" t="s">
        <v>90</v>
      </c>
      <c r="O98" s="1">
        <v>100</v>
      </c>
      <c r="P98" s="88">
        <v>100</v>
      </c>
      <c r="Q98" s="355">
        <v>100</v>
      </c>
    </row>
    <row r="99" spans="1:17" ht="15.75" customHeight="1" x14ac:dyDescent="0.2">
      <c r="A99" s="172"/>
      <c r="B99" s="164"/>
      <c r="C99" s="171"/>
      <c r="D99" s="1562"/>
      <c r="E99" s="139" t="s">
        <v>270</v>
      </c>
      <c r="F99" s="1034"/>
      <c r="G99" s="1145"/>
      <c r="H99" s="1251"/>
      <c r="I99" s="1227"/>
      <c r="J99" s="1228"/>
      <c r="K99" s="1251"/>
      <c r="L99" s="1227"/>
      <c r="M99" s="1231"/>
      <c r="N99" s="1546" t="s">
        <v>317</v>
      </c>
      <c r="O99" s="1">
        <v>5800</v>
      </c>
      <c r="P99" s="88">
        <v>5800</v>
      </c>
      <c r="Q99" s="397">
        <v>5800</v>
      </c>
    </row>
    <row r="100" spans="1:17" ht="15.75" customHeight="1" x14ac:dyDescent="0.2">
      <c r="A100" s="172"/>
      <c r="B100" s="164"/>
      <c r="C100" s="171"/>
      <c r="D100" s="1562"/>
      <c r="E100" s="139"/>
      <c r="F100" s="1032"/>
      <c r="G100" s="1146"/>
      <c r="H100" s="1252"/>
      <c r="I100" s="1033"/>
      <c r="J100" s="1170"/>
      <c r="K100" s="1252"/>
      <c r="L100" s="1033"/>
      <c r="M100" s="1186"/>
      <c r="N100" s="1547"/>
      <c r="O100" s="71"/>
      <c r="P100" s="92"/>
      <c r="Q100" s="298"/>
    </row>
    <row r="101" spans="1:17" ht="15.75" customHeight="1" thickBot="1" x14ac:dyDescent="0.25">
      <c r="A101" s="188"/>
      <c r="B101" s="189"/>
      <c r="C101" s="190"/>
      <c r="D101" s="1556"/>
      <c r="E101" s="1015"/>
      <c r="F101" s="39" t="s">
        <v>12</v>
      </c>
      <c r="G101" s="266">
        <f t="shared" ref="G101:M101" si="1">SUM(G92:G93)</f>
        <v>1604.5</v>
      </c>
      <c r="H101" s="36">
        <f t="shared" si="1"/>
        <v>1624.5</v>
      </c>
      <c r="I101" s="108">
        <f t="shared" si="1"/>
        <v>1624.5</v>
      </c>
      <c r="J101" s="1143">
        <f t="shared" si="1"/>
        <v>0</v>
      </c>
      <c r="K101" s="262">
        <f t="shared" si="1"/>
        <v>1654.5</v>
      </c>
      <c r="L101" s="263">
        <f t="shared" si="1"/>
        <v>1654.5</v>
      </c>
      <c r="M101" s="305">
        <f t="shared" si="1"/>
        <v>0</v>
      </c>
      <c r="N101" s="1560"/>
      <c r="O101" s="12"/>
      <c r="P101" s="401"/>
      <c r="Q101" s="396"/>
    </row>
    <row r="102" spans="1:17" ht="30.6" customHeight="1" x14ac:dyDescent="0.2">
      <c r="A102" s="184" t="s">
        <v>10</v>
      </c>
      <c r="B102" s="185" t="s">
        <v>10</v>
      </c>
      <c r="C102" s="162" t="s">
        <v>15</v>
      </c>
      <c r="D102" s="1555" t="s">
        <v>44</v>
      </c>
      <c r="E102" s="139" t="s">
        <v>269</v>
      </c>
      <c r="F102" s="976" t="s">
        <v>11</v>
      </c>
      <c r="G102" s="1738">
        <v>3.9</v>
      </c>
      <c r="H102" s="1722">
        <v>3.9</v>
      </c>
      <c r="I102" s="1644">
        <v>3.9</v>
      </c>
      <c r="J102" s="99"/>
      <c r="K102" s="1722">
        <v>3.9</v>
      </c>
      <c r="L102" s="1644">
        <v>3.9</v>
      </c>
      <c r="M102" s="1741"/>
      <c r="N102" s="148" t="s">
        <v>77</v>
      </c>
      <c r="O102" s="11">
        <v>10</v>
      </c>
      <c r="P102" s="400">
        <v>10</v>
      </c>
      <c r="Q102" s="389">
        <v>10</v>
      </c>
    </row>
    <row r="103" spans="1:17" ht="16.5" customHeight="1" x14ac:dyDescent="0.2">
      <c r="A103" s="172"/>
      <c r="B103" s="164"/>
      <c r="C103" s="171"/>
      <c r="D103" s="1562"/>
      <c r="E103" s="139"/>
      <c r="F103" s="975"/>
      <c r="G103" s="1739"/>
      <c r="H103" s="1723"/>
      <c r="I103" s="1645"/>
      <c r="J103" s="1192"/>
      <c r="K103" s="1723"/>
      <c r="L103" s="1645"/>
      <c r="M103" s="1742"/>
      <c r="N103" s="125" t="s">
        <v>72</v>
      </c>
      <c r="O103" s="13">
        <v>860</v>
      </c>
      <c r="P103" s="90">
        <v>860</v>
      </c>
      <c r="Q103" s="126">
        <v>860</v>
      </c>
    </row>
    <row r="104" spans="1:17" ht="38.25" customHeight="1" x14ac:dyDescent="0.2">
      <c r="A104" s="172"/>
      <c r="B104" s="164"/>
      <c r="C104" s="171"/>
      <c r="D104" s="1562"/>
      <c r="E104" s="139"/>
      <c r="F104" s="975"/>
      <c r="G104" s="1740"/>
      <c r="H104" s="1724"/>
      <c r="I104" s="1646"/>
      <c r="J104" s="470"/>
      <c r="K104" s="1724"/>
      <c r="L104" s="1646"/>
      <c r="M104" s="1743"/>
      <c r="N104" s="1546" t="s">
        <v>323</v>
      </c>
      <c r="O104" s="1567">
        <v>3</v>
      </c>
      <c r="P104" s="1569">
        <v>3</v>
      </c>
      <c r="Q104" s="1608">
        <v>3</v>
      </c>
    </row>
    <row r="105" spans="1:17" ht="13.5" thickBot="1" x14ac:dyDescent="0.25">
      <c r="A105" s="188"/>
      <c r="B105" s="182"/>
      <c r="C105" s="190"/>
      <c r="D105" s="1556"/>
      <c r="E105" s="1015"/>
      <c r="F105" s="39" t="s">
        <v>12</v>
      </c>
      <c r="G105" s="424">
        <f t="shared" ref="G105:H105" si="2">G102</f>
        <v>3.9</v>
      </c>
      <c r="H105" s="262">
        <f t="shared" si="2"/>
        <v>3.9</v>
      </c>
      <c r="I105" s="263">
        <f t="shared" ref="I105:J105" si="3">I102</f>
        <v>3.9</v>
      </c>
      <c r="J105" s="1144">
        <f t="shared" si="3"/>
        <v>0</v>
      </c>
      <c r="K105" s="262">
        <f t="shared" ref="K105:M105" si="4">K102</f>
        <v>3.9</v>
      </c>
      <c r="L105" s="263">
        <f t="shared" si="4"/>
        <v>3.9</v>
      </c>
      <c r="M105" s="264">
        <f t="shared" si="4"/>
        <v>0</v>
      </c>
      <c r="N105" s="1560"/>
      <c r="O105" s="1568"/>
      <c r="P105" s="1570"/>
      <c r="Q105" s="1640"/>
    </row>
    <row r="106" spans="1:17" ht="25.5" customHeight="1" x14ac:dyDescent="0.2">
      <c r="A106" s="184" t="s">
        <v>10</v>
      </c>
      <c r="B106" s="185" t="s">
        <v>10</v>
      </c>
      <c r="C106" s="162" t="s">
        <v>17</v>
      </c>
      <c r="D106" s="1555" t="s">
        <v>81</v>
      </c>
      <c r="E106" s="144" t="s">
        <v>269</v>
      </c>
      <c r="F106" s="976" t="s">
        <v>11</v>
      </c>
      <c r="G106" s="1114">
        <v>53.5</v>
      </c>
      <c r="H106" s="1254">
        <v>56.7</v>
      </c>
      <c r="I106" s="1197">
        <v>56.7</v>
      </c>
      <c r="J106" s="1192"/>
      <c r="K106" s="1254">
        <v>60.1</v>
      </c>
      <c r="L106" s="1197">
        <v>60.1</v>
      </c>
      <c r="M106" s="1192"/>
      <c r="N106" s="1559" t="s">
        <v>91</v>
      </c>
      <c r="O106" s="11">
        <v>39</v>
      </c>
      <c r="P106" s="400">
        <v>39</v>
      </c>
      <c r="Q106" s="356">
        <v>39</v>
      </c>
    </row>
    <row r="107" spans="1:17" ht="14.25" customHeight="1" thickBot="1" x14ac:dyDescent="0.25">
      <c r="A107" s="188"/>
      <c r="B107" s="189"/>
      <c r="C107" s="190"/>
      <c r="D107" s="1556"/>
      <c r="E107" s="1015"/>
      <c r="F107" s="39" t="s">
        <v>12</v>
      </c>
      <c r="G107" s="266">
        <f t="shared" ref="G107:H107" si="5">SUM(G106)</f>
        <v>53.5</v>
      </c>
      <c r="H107" s="36">
        <f t="shared" si="5"/>
        <v>56.7</v>
      </c>
      <c r="I107" s="108">
        <f t="shared" ref="I107:J107" si="6">SUM(I106)</f>
        <v>56.7</v>
      </c>
      <c r="J107" s="1143">
        <f t="shared" si="6"/>
        <v>0</v>
      </c>
      <c r="K107" s="36">
        <f t="shared" ref="K107:M107" si="7">SUM(K106)</f>
        <v>60.1</v>
      </c>
      <c r="L107" s="108">
        <f t="shared" si="7"/>
        <v>60.1</v>
      </c>
      <c r="M107" s="111">
        <f t="shared" si="7"/>
        <v>0</v>
      </c>
      <c r="N107" s="1560"/>
      <c r="O107" s="12"/>
      <c r="P107" s="401"/>
      <c r="Q107" s="357"/>
    </row>
    <row r="108" spans="1:17" ht="28.9" customHeight="1" x14ac:dyDescent="0.2">
      <c r="A108" s="184" t="s">
        <v>10</v>
      </c>
      <c r="B108" s="185" t="s">
        <v>10</v>
      </c>
      <c r="C108" s="162" t="s">
        <v>18</v>
      </c>
      <c r="D108" s="1555" t="s">
        <v>170</v>
      </c>
      <c r="E108" s="144" t="s">
        <v>269</v>
      </c>
      <c r="F108" s="976" t="s">
        <v>11</v>
      </c>
      <c r="G108" s="1115">
        <v>2.7</v>
      </c>
      <c r="H108" s="1255">
        <v>2.7</v>
      </c>
      <c r="I108" s="1217">
        <v>2.7</v>
      </c>
      <c r="J108" s="110"/>
      <c r="K108" s="1253">
        <v>2.7</v>
      </c>
      <c r="L108" s="142">
        <v>2.7</v>
      </c>
      <c r="M108" s="143"/>
      <c r="N108" s="1559" t="s">
        <v>169</v>
      </c>
      <c r="O108" s="11">
        <v>1</v>
      </c>
      <c r="P108" s="400">
        <v>1</v>
      </c>
      <c r="Q108" s="389">
        <v>1</v>
      </c>
    </row>
    <row r="109" spans="1:17" ht="15.75" customHeight="1" thickBot="1" x14ac:dyDescent="0.25">
      <c r="A109" s="188"/>
      <c r="B109" s="189"/>
      <c r="C109" s="190"/>
      <c r="D109" s="1556"/>
      <c r="E109" s="1015"/>
      <c r="F109" s="39" t="s">
        <v>12</v>
      </c>
      <c r="G109" s="266">
        <f t="shared" ref="G109:H109" si="8">SUM(G108:G108)</f>
        <v>2.7</v>
      </c>
      <c r="H109" s="36">
        <f t="shared" si="8"/>
        <v>2.7</v>
      </c>
      <c r="I109" s="108">
        <f t="shared" ref="I109:J109" si="9">SUM(I108:I108)</f>
        <v>2.7</v>
      </c>
      <c r="J109" s="106">
        <f t="shared" si="9"/>
        <v>0</v>
      </c>
      <c r="K109" s="36">
        <f t="shared" ref="K109:M109" si="10">SUM(K108:K108)</f>
        <v>2.7</v>
      </c>
      <c r="L109" s="108">
        <f t="shared" si="10"/>
        <v>2.7</v>
      </c>
      <c r="M109" s="111">
        <f t="shared" si="10"/>
        <v>0</v>
      </c>
      <c r="N109" s="1560"/>
      <c r="O109" s="12"/>
      <c r="P109" s="401"/>
      <c r="Q109" s="396"/>
    </row>
    <row r="110" spans="1:17" ht="16.899999999999999" customHeight="1" x14ac:dyDescent="0.2">
      <c r="A110" s="184" t="s">
        <v>10</v>
      </c>
      <c r="B110" s="185" t="s">
        <v>10</v>
      </c>
      <c r="C110" s="162" t="s">
        <v>61</v>
      </c>
      <c r="D110" s="1555" t="s">
        <v>86</v>
      </c>
      <c r="E110" s="1016" t="s">
        <v>269</v>
      </c>
      <c r="F110" s="981" t="s">
        <v>11</v>
      </c>
      <c r="G110" s="429">
        <v>5</v>
      </c>
      <c r="H110" s="1256">
        <v>5</v>
      </c>
      <c r="I110" s="152">
        <v>5</v>
      </c>
      <c r="J110" s="153"/>
      <c r="K110" s="1253">
        <v>8</v>
      </c>
      <c r="L110" s="142">
        <v>8</v>
      </c>
      <c r="M110" s="143"/>
      <c r="N110" s="1008" t="s">
        <v>70</v>
      </c>
      <c r="O110" s="11">
        <v>89</v>
      </c>
      <c r="P110" s="400">
        <v>86</v>
      </c>
      <c r="Q110" s="389">
        <v>87</v>
      </c>
    </row>
    <row r="111" spans="1:17" ht="16.149999999999999" customHeight="1" thickBot="1" x14ac:dyDescent="0.25">
      <c r="A111" s="188"/>
      <c r="B111" s="189"/>
      <c r="C111" s="190"/>
      <c r="D111" s="1556"/>
      <c r="E111" s="1017"/>
      <c r="F111" s="39" t="s">
        <v>12</v>
      </c>
      <c r="G111" s="266">
        <f t="shared" ref="G111:H111" si="11">SUM(G110)</f>
        <v>5</v>
      </c>
      <c r="H111" s="36">
        <f t="shared" si="11"/>
        <v>5</v>
      </c>
      <c r="I111" s="108">
        <f t="shared" ref="I111:J111" si="12">SUM(I110)</f>
        <v>5</v>
      </c>
      <c r="J111" s="106">
        <f t="shared" si="12"/>
        <v>0</v>
      </c>
      <c r="K111" s="36">
        <f t="shared" ref="K111:M111" si="13">SUM(K110)</f>
        <v>8</v>
      </c>
      <c r="L111" s="108">
        <f t="shared" si="13"/>
        <v>8</v>
      </c>
      <c r="M111" s="111">
        <f t="shared" si="13"/>
        <v>0</v>
      </c>
      <c r="N111" s="973"/>
      <c r="O111" s="12"/>
      <c r="P111" s="401"/>
      <c r="Q111" s="396"/>
    </row>
    <row r="112" spans="1:17" ht="13.5" customHeight="1" thickBot="1" x14ac:dyDescent="0.25">
      <c r="A112" s="194" t="s">
        <v>10</v>
      </c>
      <c r="B112" s="195" t="s">
        <v>10</v>
      </c>
      <c r="C112" s="1548" t="s">
        <v>16</v>
      </c>
      <c r="D112" s="1549"/>
      <c r="E112" s="1549"/>
      <c r="F112" s="1550"/>
      <c r="G112" s="425">
        <f t="shared" ref="G112:M112" si="14">G91+G101+G107+G109+G111+G105</f>
        <v>121014.59999999998</v>
      </c>
      <c r="H112" s="196">
        <f t="shared" si="14"/>
        <v>120719.79999999999</v>
      </c>
      <c r="I112" s="197">
        <f t="shared" si="14"/>
        <v>120719.79999999999</v>
      </c>
      <c r="J112" s="1123">
        <f t="shared" si="14"/>
        <v>0</v>
      </c>
      <c r="K112" s="196">
        <f t="shared" si="14"/>
        <v>119729.60000000001</v>
      </c>
      <c r="L112" s="197">
        <f t="shared" si="14"/>
        <v>119729.60000000001</v>
      </c>
      <c r="M112" s="198">
        <f t="shared" si="14"/>
        <v>0</v>
      </c>
      <c r="N112" s="1002"/>
      <c r="O112" s="1003"/>
      <c r="P112" s="1003"/>
      <c r="Q112" s="1004"/>
    </row>
    <row r="113" spans="1:22" ht="15.75" customHeight="1" thickBot="1" x14ac:dyDescent="0.25">
      <c r="A113" s="194" t="s">
        <v>10</v>
      </c>
      <c r="B113" s="1523" t="s">
        <v>5</v>
      </c>
      <c r="C113" s="1524"/>
      <c r="D113" s="1524"/>
      <c r="E113" s="1524"/>
      <c r="F113" s="1525"/>
      <c r="G113" s="426">
        <f t="shared" ref="G113:H113" si="15">G112</f>
        <v>121014.59999999998</v>
      </c>
      <c r="H113" s="199">
        <f t="shared" si="15"/>
        <v>120719.79999999999</v>
      </c>
      <c r="I113" s="200">
        <f t="shared" ref="I113:J113" si="16">I112</f>
        <v>120719.79999999999</v>
      </c>
      <c r="J113" s="1124">
        <f t="shared" si="16"/>
        <v>0</v>
      </c>
      <c r="K113" s="199">
        <f t="shared" ref="K113:M113" si="17">K112</f>
        <v>119729.60000000001</v>
      </c>
      <c r="L113" s="200">
        <f t="shared" si="17"/>
        <v>119729.60000000001</v>
      </c>
      <c r="M113" s="201">
        <f t="shared" si="17"/>
        <v>0</v>
      </c>
      <c r="N113" s="1005"/>
      <c r="O113" s="1006"/>
      <c r="P113" s="1006"/>
      <c r="Q113" s="1007"/>
    </row>
    <row r="114" spans="1:22" ht="15.75" customHeight="1" thickBot="1" x14ac:dyDescent="0.25">
      <c r="A114" s="184" t="s">
        <v>13</v>
      </c>
      <c r="B114" s="1629" t="s">
        <v>28</v>
      </c>
      <c r="C114" s="1630"/>
      <c r="D114" s="1630"/>
      <c r="E114" s="1630"/>
      <c r="F114" s="1630"/>
      <c r="G114" s="1006"/>
      <c r="H114" s="1006"/>
      <c r="I114" s="1006"/>
      <c r="J114" s="1006"/>
      <c r="K114" s="1006"/>
      <c r="L114" s="1006"/>
      <c r="M114" s="1006"/>
      <c r="N114" s="1006"/>
      <c r="O114" s="1006"/>
      <c r="P114" s="1006"/>
      <c r="Q114" s="1007"/>
    </row>
    <row r="115" spans="1:22" ht="15.75" customHeight="1" thickBot="1" x14ac:dyDescent="0.25">
      <c r="A115" s="194" t="s">
        <v>13</v>
      </c>
      <c r="B115" s="204" t="s">
        <v>10</v>
      </c>
      <c r="C115" s="1573" t="s">
        <v>24</v>
      </c>
      <c r="D115" s="1574"/>
      <c r="E115" s="1574"/>
      <c r="F115" s="1574"/>
      <c r="G115" s="1574"/>
      <c r="H115" s="1003"/>
      <c r="I115" s="1003"/>
      <c r="J115" s="1003"/>
      <c r="K115" s="1003"/>
      <c r="L115" s="1003"/>
      <c r="M115" s="1003"/>
      <c r="N115" s="1003"/>
      <c r="O115" s="1003"/>
      <c r="P115" s="1003"/>
      <c r="Q115" s="1004"/>
    </row>
    <row r="116" spans="1:22" s="205" customFormat="1" ht="14.25" customHeight="1" x14ac:dyDescent="0.2">
      <c r="A116" s="1551" t="s">
        <v>13</v>
      </c>
      <c r="B116" s="1632" t="s">
        <v>10</v>
      </c>
      <c r="C116" s="1635" t="s">
        <v>10</v>
      </c>
      <c r="D116" s="1555" t="s">
        <v>107</v>
      </c>
      <c r="E116" s="1638" t="s">
        <v>144</v>
      </c>
      <c r="F116" s="1619" t="s">
        <v>11</v>
      </c>
      <c r="G116" s="1733">
        <v>56.7</v>
      </c>
      <c r="H116" s="1725">
        <v>71.8</v>
      </c>
      <c r="I116" s="1623">
        <v>71.8</v>
      </c>
      <c r="J116" s="1061"/>
      <c r="K116" s="1725">
        <v>71.8</v>
      </c>
      <c r="L116" s="1623">
        <v>71.8</v>
      </c>
      <c r="M116" s="1735"/>
      <c r="N116" s="1559" t="s">
        <v>334</v>
      </c>
      <c r="O116" s="1627">
        <v>4</v>
      </c>
      <c r="P116" s="1612">
        <v>4</v>
      </c>
      <c r="Q116" s="1614">
        <v>4</v>
      </c>
    </row>
    <row r="117" spans="1:22" s="205" customFormat="1" ht="15" hidden="1" customHeight="1" x14ac:dyDescent="0.2">
      <c r="A117" s="1631"/>
      <c r="B117" s="1633"/>
      <c r="C117" s="1636"/>
      <c r="D117" s="1562"/>
      <c r="E117" s="1578"/>
      <c r="F117" s="1620"/>
      <c r="G117" s="1734"/>
      <c r="H117" s="1726"/>
      <c r="I117" s="1624"/>
      <c r="J117" s="1169"/>
      <c r="K117" s="1726"/>
      <c r="L117" s="1624"/>
      <c r="M117" s="1736"/>
      <c r="N117" s="1547"/>
      <c r="O117" s="1628"/>
      <c r="P117" s="1613"/>
      <c r="Q117" s="1615"/>
    </row>
    <row r="118" spans="1:22" s="205" customFormat="1" ht="15.6" customHeight="1" x14ac:dyDescent="0.2">
      <c r="A118" s="1631"/>
      <c r="B118" s="1633"/>
      <c r="C118" s="1636"/>
      <c r="D118" s="1562"/>
      <c r="E118" s="1578"/>
      <c r="F118" s="279" t="s">
        <v>63</v>
      </c>
      <c r="G118" s="279">
        <v>15.1</v>
      </c>
      <c r="H118" s="374"/>
      <c r="I118" s="430"/>
      <c r="J118" s="404"/>
      <c r="K118" s="1292"/>
      <c r="L118" s="265"/>
      <c r="M118" s="1282"/>
      <c r="N118" s="1547"/>
      <c r="O118" s="1628"/>
      <c r="P118" s="1613"/>
      <c r="Q118" s="1615"/>
    </row>
    <row r="119" spans="1:22" s="205" customFormat="1" ht="14.65" customHeight="1" thickBot="1" x14ac:dyDescent="0.25">
      <c r="A119" s="1552"/>
      <c r="B119" s="1634"/>
      <c r="C119" s="1637"/>
      <c r="D119" s="1556"/>
      <c r="E119" s="1639"/>
      <c r="F119" s="39" t="s">
        <v>12</v>
      </c>
      <c r="G119" s="266">
        <f t="shared" ref="G119:M119" si="18">SUM(G116:G118)</f>
        <v>71.8</v>
      </c>
      <c r="H119" s="36">
        <f t="shared" si="18"/>
        <v>71.8</v>
      </c>
      <c r="I119" s="108">
        <f t="shared" si="18"/>
        <v>71.8</v>
      </c>
      <c r="J119" s="106">
        <f t="shared" si="18"/>
        <v>0</v>
      </c>
      <c r="K119" s="36">
        <f t="shared" si="18"/>
        <v>71.8</v>
      </c>
      <c r="L119" s="108">
        <f t="shared" si="18"/>
        <v>71.8</v>
      </c>
      <c r="M119" s="111">
        <f t="shared" si="18"/>
        <v>0</v>
      </c>
      <c r="N119" s="973"/>
      <c r="O119" s="12"/>
      <c r="P119" s="401"/>
      <c r="Q119" s="396"/>
    </row>
    <row r="120" spans="1:22" ht="15" customHeight="1" x14ac:dyDescent="0.2">
      <c r="A120" s="184" t="s">
        <v>13</v>
      </c>
      <c r="B120" s="185" t="s">
        <v>10</v>
      </c>
      <c r="C120" s="162" t="s">
        <v>13</v>
      </c>
      <c r="D120" s="1537" t="s">
        <v>150</v>
      </c>
      <c r="E120" s="144"/>
      <c r="F120" s="1239" t="s">
        <v>11</v>
      </c>
      <c r="G120" s="1147">
        <v>2514</v>
      </c>
      <c r="H120" s="1261">
        <v>6632</v>
      </c>
      <c r="I120" s="1279">
        <f>6632+200+400</f>
        <v>7232</v>
      </c>
      <c r="J120" s="1334">
        <f>+I120-H120</f>
        <v>600</v>
      </c>
      <c r="K120" s="1261">
        <v>3307.4</v>
      </c>
      <c r="L120" s="1279">
        <f>3307.4+200+400</f>
        <v>3907.4</v>
      </c>
      <c r="M120" s="1280">
        <f>+L120-K120</f>
        <v>600</v>
      </c>
      <c r="N120" s="976"/>
      <c r="O120" s="11"/>
      <c r="P120" s="400"/>
      <c r="Q120" s="389"/>
    </row>
    <row r="121" spans="1:22" ht="18" customHeight="1" x14ac:dyDescent="0.2">
      <c r="A121" s="172"/>
      <c r="B121" s="164"/>
      <c r="C121" s="171"/>
      <c r="D121" s="1616"/>
      <c r="E121" s="139"/>
      <c r="F121" s="38" t="s">
        <v>14</v>
      </c>
      <c r="G121" s="1148">
        <v>256</v>
      </c>
      <c r="H121" s="1250"/>
      <c r="I121" s="1211"/>
      <c r="J121" s="769"/>
      <c r="K121" s="1250"/>
      <c r="L121" s="1211"/>
      <c r="M121" s="1257"/>
      <c r="N121" s="975"/>
      <c r="O121" s="71"/>
      <c r="P121" s="92"/>
      <c r="Q121" s="986"/>
      <c r="S121" s="1030" t="s">
        <v>11</v>
      </c>
      <c r="T121" s="1031">
        <f>G131+G137+G145+G147+G149+G153+G158+G160+G162+G175</f>
        <v>2514</v>
      </c>
      <c r="U121" s="1031">
        <f>H134+H137+H145+H147+H153+H156+H158+H160+H165+H171+H177+H178</f>
        <v>6632</v>
      </c>
      <c r="V121" s="1031">
        <f>M137+M145+M153+M158+M160+M171+M177+M178</f>
        <v>600</v>
      </c>
    </row>
    <row r="122" spans="1:22" ht="15.75" customHeight="1" x14ac:dyDescent="0.2">
      <c r="A122" s="172"/>
      <c r="B122" s="164"/>
      <c r="C122" s="171"/>
      <c r="D122" s="1616"/>
      <c r="E122" s="139"/>
      <c r="F122" s="38" t="s">
        <v>63</v>
      </c>
      <c r="G122" s="1148">
        <v>6575.9</v>
      </c>
      <c r="H122" s="1250"/>
      <c r="I122" s="1211"/>
      <c r="J122" s="769"/>
      <c r="K122" s="1250"/>
      <c r="L122" s="1211"/>
      <c r="M122" s="1257"/>
      <c r="N122" s="975"/>
      <c r="O122" s="71"/>
      <c r="P122" s="92"/>
      <c r="Q122" s="986"/>
      <c r="S122" s="1030" t="s">
        <v>14</v>
      </c>
      <c r="T122" s="1031">
        <f>G133+G143</f>
        <v>256</v>
      </c>
      <c r="U122" s="1031"/>
      <c r="V122" s="1031"/>
    </row>
    <row r="123" spans="1:22" ht="14.25" customHeight="1" x14ac:dyDescent="0.2">
      <c r="A123" s="172"/>
      <c r="B123" s="164"/>
      <c r="C123" s="171"/>
      <c r="D123" s="1036"/>
      <c r="E123" s="139"/>
      <c r="F123" s="38" t="s">
        <v>189</v>
      </c>
      <c r="G123" s="1148">
        <v>3395.5</v>
      </c>
      <c r="H123" s="1250"/>
      <c r="I123" s="1211"/>
      <c r="J123" s="769"/>
      <c r="K123" s="1250"/>
      <c r="L123" s="1211"/>
      <c r="M123" s="1257"/>
      <c r="N123" s="975"/>
      <c r="O123" s="71"/>
      <c r="P123" s="92"/>
      <c r="Q123" s="986"/>
      <c r="S123" s="1030" t="s">
        <v>63</v>
      </c>
      <c r="T123" s="1031">
        <f>G135+G138+G140+G161+G166+G172+G176+G183</f>
        <v>6575.9000000000005</v>
      </c>
      <c r="U123" s="1031"/>
      <c r="V123" s="1031"/>
    </row>
    <row r="124" spans="1:22" ht="16.5" customHeight="1" x14ac:dyDescent="0.2">
      <c r="A124" s="172"/>
      <c r="B124" s="164"/>
      <c r="C124" s="171"/>
      <c r="D124" s="1036"/>
      <c r="E124" s="139"/>
      <c r="F124" s="38" t="s">
        <v>133</v>
      </c>
      <c r="G124" s="1148">
        <v>1.1000000000000001</v>
      </c>
      <c r="H124" s="1250"/>
      <c r="I124" s="1211"/>
      <c r="J124" s="769"/>
      <c r="K124" s="1250"/>
      <c r="L124" s="1211"/>
      <c r="M124" s="1257"/>
      <c r="N124" s="975"/>
      <c r="O124" s="71"/>
      <c r="P124" s="92"/>
      <c r="Q124" s="986"/>
      <c r="S124" s="1030" t="s">
        <v>189</v>
      </c>
      <c r="T124" s="1031">
        <f>G136</f>
        <v>3395.5</v>
      </c>
      <c r="U124" s="1031"/>
      <c r="V124" s="1031"/>
    </row>
    <row r="125" spans="1:22" ht="15.75" customHeight="1" x14ac:dyDescent="0.2">
      <c r="A125" s="172"/>
      <c r="B125" s="164"/>
      <c r="C125" s="171"/>
      <c r="D125" s="1036"/>
      <c r="E125" s="139"/>
      <c r="F125" s="38" t="s">
        <v>65</v>
      </c>
      <c r="G125" s="1148">
        <v>817.6</v>
      </c>
      <c r="H125" s="1250">
        <v>239.1</v>
      </c>
      <c r="I125" s="1211">
        <v>239.1</v>
      </c>
      <c r="J125" s="769"/>
      <c r="K125" s="1250"/>
      <c r="L125" s="1211"/>
      <c r="M125" s="1257"/>
      <c r="N125" s="975"/>
      <c r="O125" s="71"/>
      <c r="P125" s="92"/>
      <c r="Q125" s="986"/>
      <c r="S125" s="1030" t="s">
        <v>133</v>
      </c>
      <c r="T125" s="1031">
        <f>G144</f>
        <v>1.1000000000000001</v>
      </c>
      <c r="U125" s="1031"/>
      <c r="V125" s="1031"/>
    </row>
    <row r="126" spans="1:22" ht="17.25" customHeight="1" x14ac:dyDescent="0.2">
      <c r="A126" s="172"/>
      <c r="B126" s="164"/>
      <c r="C126" s="171"/>
      <c r="D126" s="1036"/>
      <c r="E126" s="139"/>
      <c r="F126" s="38" t="s">
        <v>132</v>
      </c>
      <c r="G126" s="1148">
        <v>41.8</v>
      </c>
      <c r="H126" s="1250"/>
      <c r="I126" s="1211"/>
      <c r="J126" s="769"/>
      <c r="K126" s="1250"/>
      <c r="L126" s="1211"/>
      <c r="M126" s="1257"/>
      <c r="N126" s="975"/>
      <c r="O126" s="71"/>
      <c r="P126" s="92"/>
      <c r="Q126" s="986"/>
      <c r="S126" s="1030" t="s">
        <v>65</v>
      </c>
      <c r="T126" s="1031">
        <f>G141+G167</f>
        <v>817.6</v>
      </c>
      <c r="U126" s="1031">
        <f>H167</f>
        <v>239.1</v>
      </c>
      <c r="V126" s="1031"/>
    </row>
    <row r="127" spans="1:22" ht="15.75" customHeight="1" x14ac:dyDescent="0.2">
      <c r="A127" s="172"/>
      <c r="B127" s="164"/>
      <c r="C127" s="171"/>
      <c r="D127" s="1036"/>
      <c r="E127" s="139"/>
      <c r="F127" s="38" t="s">
        <v>271</v>
      </c>
      <c r="G127" s="1148"/>
      <c r="H127" s="1250">
        <v>1988</v>
      </c>
      <c r="I127" s="1211">
        <v>1988</v>
      </c>
      <c r="J127" s="769"/>
      <c r="K127" s="1250">
        <v>2322.4</v>
      </c>
      <c r="L127" s="1211">
        <v>2322.4</v>
      </c>
      <c r="M127" s="1257"/>
      <c r="N127" s="975"/>
      <c r="O127" s="71"/>
      <c r="P127" s="92"/>
      <c r="Q127" s="986"/>
      <c r="S127" s="1030" t="s">
        <v>132</v>
      </c>
      <c r="T127" s="1031">
        <f>G142+G184</f>
        <v>41.8</v>
      </c>
      <c r="U127" s="1031"/>
      <c r="V127" s="1031"/>
    </row>
    <row r="128" spans="1:22" ht="13.5" customHeight="1" x14ac:dyDescent="0.2">
      <c r="A128" s="172"/>
      <c r="B128" s="164"/>
      <c r="C128" s="171"/>
      <c r="D128" s="1036"/>
      <c r="E128" s="139"/>
      <c r="F128" s="38" t="s">
        <v>182</v>
      </c>
      <c r="G128" s="1148">
        <v>189.9</v>
      </c>
      <c r="H128" s="1250"/>
      <c r="I128" s="1211"/>
      <c r="J128" s="769"/>
      <c r="K128" s="1250"/>
      <c r="L128" s="1211"/>
      <c r="M128" s="1257"/>
      <c r="N128" s="975"/>
      <c r="O128" s="71"/>
      <c r="P128" s="92"/>
      <c r="Q128" s="986"/>
      <c r="S128" s="1030" t="s">
        <v>271</v>
      </c>
      <c r="T128" s="1031"/>
      <c r="U128" s="1031">
        <f>H179</f>
        <v>1988</v>
      </c>
      <c r="V128" s="1031">
        <f>M154+M179</f>
        <v>0</v>
      </c>
    </row>
    <row r="129" spans="1:22" ht="16.5" customHeight="1" x14ac:dyDescent="0.2">
      <c r="A129" s="172"/>
      <c r="B129" s="164"/>
      <c r="C129" s="171"/>
      <c r="D129" s="1036"/>
      <c r="E129" s="139"/>
      <c r="F129" s="974" t="s">
        <v>3</v>
      </c>
      <c r="G129" s="1149"/>
      <c r="H129" s="1262">
        <v>1343</v>
      </c>
      <c r="I129" s="1038">
        <v>1343</v>
      </c>
      <c r="J129" s="1037"/>
      <c r="K129" s="1262"/>
      <c r="L129" s="1038"/>
      <c r="M129" s="1129"/>
      <c r="N129" s="1095"/>
      <c r="O129" s="2"/>
      <c r="P129" s="91"/>
      <c r="Q129" s="1096"/>
      <c r="S129" s="1030"/>
      <c r="T129" s="1031"/>
      <c r="U129" s="1031"/>
      <c r="V129" s="1031"/>
    </row>
    <row r="130" spans="1:22" s="67" customFormat="1" ht="43.5" customHeight="1" x14ac:dyDescent="0.2">
      <c r="A130" s="206"/>
      <c r="B130" s="207"/>
      <c r="C130" s="208"/>
      <c r="D130" s="69" t="s">
        <v>92</v>
      </c>
      <c r="E130" s="209"/>
      <c r="F130" s="288"/>
      <c r="G130" s="288"/>
      <c r="H130" s="287"/>
      <c r="I130" s="289"/>
      <c r="J130" s="1171"/>
      <c r="K130" s="1335"/>
      <c r="L130" s="1284"/>
      <c r="M130" s="1130"/>
      <c r="N130" s="288"/>
      <c r="O130" s="79"/>
      <c r="P130" s="431"/>
      <c r="Q130" s="358"/>
      <c r="S130" s="1039" t="s">
        <v>182</v>
      </c>
      <c r="T130" s="1040">
        <f>G139+G146</f>
        <v>189.9</v>
      </c>
      <c r="U130" s="1040"/>
      <c r="V130" s="1040"/>
    </row>
    <row r="131" spans="1:22" ht="13.5" customHeight="1" x14ac:dyDescent="0.2">
      <c r="A131" s="172"/>
      <c r="B131" s="164"/>
      <c r="C131" s="171"/>
      <c r="D131" s="1561" t="s">
        <v>199</v>
      </c>
      <c r="E131" s="517" t="s">
        <v>144</v>
      </c>
      <c r="F131" s="1600" t="s">
        <v>134</v>
      </c>
      <c r="G131" s="1754">
        <v>505.5</v>
      </c>
      <c r="H131" s="1755"/>
      <c r="I131" s="1618"/>
      <c r="J131" s="1172"/>
      <c r="K131" s="1718"/>
      <c r="L131" s="1611"/>
      <c r="M131" s="1731"/>
      <c r="N131" s="1597" t="s">
        <v>191</v>
      </c>
      <c r="O131" s="457">
        <v>100</v>
      </c>
      <c r="P131" s="458"/>
      <c r="Q131" s="556"/>
      <c r="S131" s="1030" t="s">
        <v>3</v>
      </c>
      <c r="T131" s="1031"/>
      <c r="U131" s="1031">
        <f>H151+H155+H157</f>
        <v>1343</v>
      </c>
      <c r="V131" s="1031"/>
    </row>
    <row r="132" spans="1:22" ht="12" customHeight="1" x14ac:dyDescent="0.2">
      <c r="A132" s="172"/>
      <c r="B132" s="164"/>
      <c r="C132" s="171"/>
      <c r="D132" s="1562"/>
      <c r="E132" s="518" t="s">
        <v>2</v>
      </c>
      <c r="F132" s="1600"/>
      <c r="G132" s="1754"/>
      <c r="H132" s="1755"/>
      <c r="I132" s="1618"/>
      <c r="J132" s="1172"/>
      <c r="K132" s="1718"/>
      <c r="L132" s="1611"/>
      <c r="M132" s="1731"/>
      <c r="N132" s="1593"/>
      <c r="O132" s="457"/>
      <c r="P132" s="458"/>
      <c r="Q132" s="1025"/>
      <c r="S132" s="1030" t="s">
        <v>527</v>
      </c>
      <c r="T132" s="1031">
        <f>SUM(T121:T131)</f>
        <v>13791.800000000001</v>
      </c>
      <c r="U132" s="1031">
        <f>SUM(U121:U131)</f>
        <v>10202.1</v>
      </c>
      <c r="V132" s="1031">
        <f>SUM(V121:V131)</f>
        <v>600</v>
      </c>
    </row>
    <row r="133" spans="1:22" ht="14.25" customHeight="1" x14ac:dyDescent="0.2">
      <c r="A133" s="172"/>
      <c r="B133" s="164"/>
      <c r="C133" s="171"/>
      <c r="D133" s="1563"/>
      <c r="E133" s="518" t="s">
        <v>270</v>
      </c>
      <c r="F133" s="1041" t="s">
        <v>219</v>
      </c>
      <c r="G133" s="1145">
        <v>240</v>
      </c>
      <c r="H133" s="1251"/>
      <c r="I133" s="1227"/>
      <c r="J133" s="1228"/>
      <c r="K133" s="1251"/>
      <c r="L133" s="1227"/>
      <c r="M133" s="1231"/>
      <c r="N133" s="996"/>
      <c r="O133" s="1024"/>
      <c r="P133" s="95"/>
      <c r="Q133" s="647"/>
      <c r="S133" s="1030"/>
      <c r="T133" s="1031">
        <f>T132-G185</f>
        <v>0</v>
      </c>
      <c r="U133" s="1031">
        <f>U132-H185</f>
        <v>0</v>
      </c>
      <c r="V133" s="1031">
        <f>V132-M185</f>
        <v>0</v>
      </c>
    </row>
    <row r="134" spans="1:22" ht="12" customHeight="1" x14ac:dyDescent="0.2">
      <c r="A134" s="172"/>
      <c r="B134" s="164"/>
      <c r="C134" s="171"/>
      <c r="D134" s="1561" t="s">
        <v>200</v>
      </c>
      <c r="E134" s="300" t="s">
        <v>144</v>
      </c>
      <c r="F134" s="1043" t="s">
        <v>134</v>
      </c>
      <c r="G134" s="1150"/>
      <c r="H134" s="1263">
        <v>3088.7</v>
      </c>
      <c r="I134" s="1044">
        <v>3088.7</v>
      </c>
      <c r="J134" s="1173"/>
      <c r="K134" s="1271"/>
      <c r="L134" s="1110"/>
      <c r="M134" s="1131"/>
      <c r="N134" s="306" t="s">
        <v>191</v>
      </c>
      <c r="O134" s="838">
        <v>80</v>
      </c>
      <c r="P134" s="854">
        <v>100</v>
      </c>
      <c r="Q134" s="567"/>
      <c r="S134" s="1030"/>
      <c r="T134" s="1030"/>
      <c r="U134" s="1030"/>
      <c r="V134" s="1030"/>
    </row>
    <row r="135" spans="1:22" ht="15" customHeight="1" x14ac:dyDescent="0.2">
      <c r="A135" s="172"/>
      <c r="B135" s="164"/>
      <c r="C135" s="171"/>
      <c r="D135" s="1562"/>
      <c r="E135" s="518" t="s">
        <v>2</v>
      </c>
      <c r="F135" s="1043" t="s">
        <v>221</v>
      </c>
      <c r="G135" s="1150">
        <v>3569.4</v>
      </c>
      <c r="H135" s="1263"/>
      <c r="I135" s="1044"/>
      <c r="J135" s="1173"/>
      <c r="K135" s="1271"/>
      <c r="L135" s="1110"/>
      <c r="M135" s="1131"/>
      <c r="N135" s="307"/>
      <c r="O135" s="571"/>
      <c r="P135" s="572"/>
      <c r="Q135" s="573"/>
    </row>
    <row r="136" spans="1:22" ht="14.25" customHeight="1" x14ac:dyDescent="0.2">
      <c r="A136" s="172"/>
      <c r="B136" s="164"/>
      <c r="C136" s="171"/>
      <c r="D136" s="1562"/>
      <c r="E136" s="518" t="s">
        <v>270</v>
      </c>
      <c r="F136" s="1043" t="s">
        <v>528</v>
      </c>
      <c r="G136" s="1150">
        <v>3395.5</v>
      </c>
      <c r="H136" s="1263"/>
      <c r="I136" s="1044"/>
      <c r="J136" s="1173"/>
      <c r="K136" s="1270"/>
      <c r="L136" s="1103"/>
      <c r="M136" s="1132"/>
      <c r="N136" s="307"/>
      <c r="O136" s="571"/>
      <c r="P136" s="572"/>
      <c r="Q136" s="573"/>
    </row>
    <row r="137" spans="1:22" ht="28.15" customHeight="1" x14ac:dyDescent="0.2">
      <c r="A137" s="172"/>
      <c r="B137" s="164"/>
      <c r="C137" s="165"/>
      <c r="D137" s="1561" t="s">
        <v>538</v>
      </c>
      <c r="E137" s="756" t="s">
        <v>270</v>
      </c>
      <c r="F137" s="1116" t="s">
        <v>134</v>
      </c>
      <c r="G137" s="1226">
        <f>1080.1+40</f>
        <v>1120.0999999999999</v>
      </c>
      <c r="H137" s="1264">
        <v>590</v>
      </c>
      <c r="I137" s="1117">
        <f>590+200</f>
        <v>790</v>
      </c>
      <c r="J137" s="1121">
        <f>+I137-H137</f>
        <v>200</v>
      </c>
      <c r="K137" s="1264">
        <v>820</v>
      </c>
      <c r="L137" s="1117">
        <f>820+200</f>
        <v>1020</v>
      </c>
      <c r="M137" s="1122">
        <f>+L137-K137</f>
        <v>200</v>
      </c>
      <c r="N137" s="93" t="s">
        <v>98</v>
      </c>
      <c r="O137" s="13">
        <v>2</v>
      </c>
      <c r="P137" s="90">
        <v>1</v>
      </c>
      <c r="Q137" s="126">
        <v>1</v>
      </c>
    </row>
    <row r="138" spans="1:22" ht="20.45" customHeight="1" x14ac:dyDescent="0.2">
      <c r="A138" s="172"/>
      <c r="B138" s="164"/>
      <c r="C138" s="165"/>
      <c r="D138" s="1562"/>
      <c r="E138" s="139" t="s">
        <v>269</v>
      </c>
      <c r="F138" s="1099" t="s">
        <v>221</v>
      </c>
      <c r="G138" s="1226">
        <v>157.4</v>
      </c>
      <c r="H138" s="85"/>
      <c r="I138" s="1204"/>
      <c r="J138" s="71"/>
      <c r="K138" s="1254"/>
      <c r="L138" s="1197"/>
      <c r="M138" s="1192"/>
      <c r="N138" s="125" t="s">
        <v>183</v>
      </c>
      <c r="O138" s="1">
        <v>5</v>
      </c>
      <c r="P138" s="1236">
        <v>1</v>
      </c>
      <c r="Q138" s="1235">
        <v>1</v>
      </c>
    </row>
    <row r="139" spans="1:22" ht="56.25" customHeight="1" x14ac:dyDescent="0.2">
      <c r="A139" s="172"/>
      <c r="B139" s="164"/>
      <c r="C139" s="165"/>
      <c r="D139" s="1562"/>
      <c r="E139" s="139" t="s">
        <v>2</v>
      </c>
      <c r="F139" s="1099" t="s">
        <v>226</v>
      </c>
      <c r="G139" s="1226">
        <v>89.9</v>
      </c>
      <c r="H139" s="85"/>
      <c r="I139" s="1204"/>
      <c r="J139" s="71"/>
      <c r="K139" s="1254"/>
      <c r="L139" s="1197"/>
      <c r="M139" s="1192"/>
      <c r="N139" s="54"/>
      <c r="O139" s="71"/>
      <c r="P139" s="1216">
        <v>2</v>
      </c>
      <c r="Q139" s="710">
        <v>2</v>
      </c>
    </row>
    <row r="140" spans="1:22" ht="19.899999999999999" customHeight="1" x14ac:dyDescent="0.2">
      <c r="A140" s="172"/>
      <c r="B140" s="164"/>
      <c r="C140" s="171"/>
      <c r="D140" s="1561" t="s">
        <v>512</v>
      </c>
      <c r="E140" s="517" t="s">
        <v>144</v>
      </c>
      <c r="F140" s="1041" t="s">
        <v>221</v>
      </c>
      <c r="G140" s="1151">
        <v>43.5</v>
      </c>
      <c r="H140" s="1265"/>
      <c r="I140" s="1108"/>
      <c r="J140" s="1172"/>
      <c r="K140" s="1336"/>
      <c r="L140" s="1285"/>
      <c r="M140" s="1133"/>
      <c r="N140" s="1597" t="s">
        <v>318</v>
      </c>
      <c r="O140" s="459">
        <v>5</v>
      </c>
      <c r="P140" s="835"/>
      <c r="Q140" s="673"/>
    </row>
    <row r="141" spans="1:22" ht="19.899999999999999" customHeight="1" x14ac:dyDescent="0.2">
      <c r="A141" s="172"/>
      <c r="B141" s="164"/>
      <c r="C141" s="171"/>
      <c r="D141" s="1562"/>
      <c r="E141" s="518" t="s">
        <v>2</v>
      </c>
      <c r="F141" s="1041" t="s">
        <v>223</v>
      </c>
      <c r="G141" s="1151">
        <v>177.6</v>
      </c>
      <c r="H141" s="1265"/>
      <c r="I141" s="1108"/>
      <c r="J141" s="1172"/>
      <c r="K141" s="1336"/>
      <c r="L141" s="1285"/>
      <c r="M141" s="1133"/>
      <c r="N141" s="1598"/>
      <c r="O141" s="460"/>
      <c r="P141" s="836"/>
      <c r="Q141" s="837"/>
    </row>
    <row r="142" spans="1:22" ht="19.899999999999999" customHeight="1" x14ac:dyDescent="0.2">
      <c r="A142" s="172"/>
      <c r="B142" s="164"/>
      <c r="C142" s="171"/>
      <c r="D142" s="1562"/>
      <c r="E142" s="518"/>
      <c r="F142" s="1041" t="s">
        <v>224</v>
      </c>
      <c r="G142" s="1152">
        <v>12</v>
      </c>
      <c r="H142" s="1265"/>
      <c r="I142" s="1108"/>
      <c r="J142" s="1172"/>
      <c r="K142" s="1336"/>
      <c r="L142" s="1285"/>
      <c r="M142" s="1133"/>
      <c r="N142" s="310" t="s">
        <v>191</v>
      </c>
      <c r="O142" s="457">
        <v>100</v>
      </c>
      <c r="P142" s="458"/>
      <c r="Q142" s="588"/>
    </row>
    <row r="143" spans="1:22" ht="19.899999999999999" customHeight="1" x14ac:dyDescent="0.2">
      <c r="A143" s="172"/>
      <c r="B143" s="164"/>
      <c r="C143" s="171"/>
      <c r="D143" s="1562"/>
      <c r="E143" s="518"/>
      <c r="F143" s="1041" t="s">
        <v>219</v>
      </c>
      <c r="G143" s="1152">
        <v>16</v>
      </c>
      <c r="H143" s="1265"/>
      <c r="I143" s="1108"/>
      <c r="J143" s="1172"/>
      <c r="K143" s="1336"/>
      <c r="L143" s="1285"/>
      <c r="M143" s="1133"/>
      <c r="N143" s="310"/>
      <c r="O143" s="457"/>
      <c r="P143" s="458"/>
      <c r="Q143" s="298"/>
    </row>
    <row r="144" spans="1:22" ht="16.149999999999999" customHeight="1" x14ac:dyDescent="0.2">
      <c r="A144" s="172"/>
      <c r="B144" s="164"/>
      <c r="C144" s="171"/>
      <c r="D144" s="1563"/>
      <c r="E144" s="321"/>
      <c r="F144" s="1041" t="s">
        <v>225</v>
      </c>
      <c r="G144" s="1151">
        <v>1.1000000000000001</v>
      </c>
      <c r="H144" s="1265"/>
      <c r="I144" s="1108"/>
      <c r="J144" s="1172"/>
      <c r="K144" s="1271"/>
      <c r="L144" s="1110"/>
      <c r="M144" s="1131"/>
      <c r="N144" s="971"/>
      <c r="O144" s="460"/>
      <c r="P144" s="489"/>
      <c r="Q144" s="515"/>
    </row>
    <row r="145" spans="1:20" ht="24.75" customHeight="1" x14ac:dyDescent="0.2">
      <c r="A145" s="172"/>
      <c r="B145" s="164"/>
      <c r="C145" s="171"/>
      <c r="D145" s="1561" t="s">
        <v>513</v>
      </c>
      <c r="E145" s="517" t="s">
        <v>144</v>
      </c>
      <c r="F145" s="1118" t="s">
        <v>134</v>
      </c>
      <c r="G145" s="1152">
        <v>500</v>
      </c>
      <c r="H145" s="1266">
        <v>300</v>
      </c>
      <c r="I145" s="1119">
        <f>300+400</f>
        <v>700</v>
      </c>
      <c r="J145" s="1174">
        <f>+I145-H145</f>
        <v>400</v>
      </c>
      <c r="K145" s="1266">
        <v>300</v>
      </c>
      <c r="L145" s="1119">
        <f>300+400</f>
        <v>700</v>
      </c>
      <c r="M145" s="1134">
        <f>+L145-K145</f>
        <v>400</v>
      </c>
      <c r="N145" s="969" t="s">
        <v>254</v>
      </c>
      <c r="O145" s="459">
        <v>4</v>
      </c>
      <c r="P145" s="1237">
        <v>2</v>
      </c>
      <c r="Q145" s="1235">
        <v>2</v>
      </c>
    </row>
    <row r="146" spans="1:20" ht="29.25" customHeight="1" x14ac:dyDescent="0.2">
      <c r="A146" s="172"/>
      <c r="B146" s="164"/>
      <c r="C146" s="171"/>
      <c r="D146" s="1563"/>
      <c r="E146" s="321" t="s">
        <v>269</v>
      </c>
      <c r="F146" s="1102" t="s">
        <v>226</v>
      </c>
      <c r="G146" s="1152">
        <v>100</v>
      </c>
      <c r="H146" s="1267"/>
      <c r="I146" s="1120"/>
      <c r="J146" s="1175"/>
      <c r="K146" s="1337"/>
      <c r="L146" s="1286"/>
      <c r="M146" s="1135"/>
      <c r="N146" s="971"/>
      <c r="O146" s="460"/>
      <c r="P146" s="639">
        <v>4</v>
      </c>
      <c r="Q146" s="1238">
        <v>4</v>
      </c>
    </row>
    <row r="147" spans="1:20" ht="29.25" customHeight="1" x14ac:dyDescent="0.2">
      <c r="A147" s="172"/>
      <c r="B147" s="164"/>
      <c r="C147" s="171"/>
      <c r="D147" s="1561" t="s">
        <v>515</v>
      </c>
      <c r="E147" s="756" t="s">
        <v>2</v>
      </c>
      <c r="F147" s="1041" t="s">
        <v>134</v>
      </c>
      <c r="G147" s="1152">
        <v>112.9</v>
      </c>
      <c r="H147" s="1268">
        <v>249.5</v>
      </c>
      <c r="I147" s="1046">
        <v>249.5</v>
      </c>
      <c r="J147" s="1176"/>
      <c r="K147" s="1338"/>
      <c r="L147" s="1287"/>
      <c r="M147" s="1136"/>
      <c r="N147" s="971" t="s">
        <v>39</v>
      </c>
      <c r="O147" s="460">
        <v>1</v>
      </c>
      <c r="P147" s="720"/>
      <c r="Q147" s="721"/>
    </row>
    <row r="148" spans="1:20" ht="25.9" customHeight="1" x14ac:dyDescent="0.2">
      <c r="A148" s="172"/>
      <c r="B148" s="164"/>
      <c r="C148" s="171"/>
      <c r="D148" s="1563"/>
      <c r="E148" s="321" t="s">
        <v>274</v>
      </c>
      <c r="F148" s="1041"/>
      <c r="G148" s="1152"/>
      <c r="H148" s="1269"/>
      <c r="I148" s="1042"/>
      <c r="J148" s="1177"/>
      <c r="K148" s="1338"/>
      <c r="L148" s="1287"/>
      <c r="M148" s="1136"/>
      <c r="N148" s="971" t="s">
        <v>191</v>
      </c>
      <c r="O148" s="460">
        <v>30</v>
      </c>
      <c r="P148" s="748">
        <v>100</v>
      </c>
      <c r="Q148" s="721"/>
    </row>
    <row r="149" spans="1:20" ht="15" customHeight="1" x14ac:dyDescent="0.2">
      <c r="A149" s="172"/>
      <c r="B149" s="164"/>
      <c r="C149" s="171"/>
      <c r="D149" s="1561" t="s">
        <v>514</v>
      </c>
      <c r="E149" s="757" t="s">
        <v>274</v>
      </c>
      <c r="F149" s="1041" t="s">
        <v>134</v>
      </c>
      <c r="G149" s="1152">
        <f>200-100-80</f>
        <v>20</v>
      </c>
      <c r="H149" s="1269"/>
      <c r="I149" s="1042"/>
      <c r="J149" s="1177"/>
      <c r="K149" s="1338"/>
      <c r="L149" s="1287"/>
      <c r="M149" s="1136"/>
      <c r="N149" s="969" t="s">
        <v>191</v>
      </c>
      <c r="O149" s="459">
        <v>100</v>
      </c>
      <c r="P149" s="849"/>
      <c r="Q149" s="847"/>
    </row>
    <row r="150" spans="1:20" ht="12" customHeight="1" x14ac:dyDescent="0.2">
      <c r="A150" s="172"/>
      <c r="B150" s="164"/>
      <c r="C150" s="171"/>
      <c r="D150" s="1563"/>
      <c r="E150" s="757"/>
      <c r="F150" s="1041"/>
      <c r="G150" s="1152"/>
      <c r="H150" s="1269"/>
      <c r="I150" s="1042"/>
      <c r="J150" s="1177"/>
      <c r="K150" s="1338"/>
      <c r="L150" s="1287"/>
      <c r="M150" s="1136"/>
      <c r="N150" s="971"/>
      <c r="O150" s="460"/>
      <c r="P150" s="738"/>
      <c r="Q150" s="737"/>
    </row>
    <row r="151" spans="1:20" ht="28.5" customHeight="1" x14ac:dyDescent="0.2">
      <c r="A151" s="172"/>
      <c r="B151" s="164"/>
      <c r="C151" s="171"/>
      <c r="D151" s="1561" t="s">
        <v>186</v>
      </c>
      <c r="E151" s="517" t="s">
        <v>187</v>
      </c>
      <c r="F151" s="1600" t="s">
        <v>222</v>
      </c>
      <c r="G151" s="1600"/>
      <c r="H151" s="1718">
        <v>843</v>
      </c>
      <c r="I151" s="1611">
        <v>843</v>
      </c>
      <c r="J151" s="1178"/>
      <c r="K151" s="1718"/>
      <c r="L151" s="1611"/>
      <c r="M151" s="1731"/>
      <c r="N151" s="1020" t="s">
        <v>188</v>
      </c>
      <c r="O151" s="597"/>
      <c r="P151" s="598">
        <v>1</v>
      </c>
      <c r="Q151" s="126"/>
    </row>
    <row r="152" spans="1:20" ht="24.75" customHeight="1" x14ac:dyDescent="0.2">
      <c r="A152" s="172"/>
      <c r="B152" s="164"/>
      <c r="C152" s="171"/>
      <c r="D152" s="1563"/>
      <c r="E152" s="321" t="s">
        <v>324</v>
      </c>
      <c r="F152" s="1600"/>
      <c r="G152" s="1600"/>
      <c r="H152" s="1718"/>
      <c r="I152" s="1611"/>
      <c r="J152" s="1178"/>
      <c r="K152" s="1718"/>
      <c r="L152" s="1611"/>
      <c r="M152" s="1731"/>
      <c r="N152" s="1020" t="s">
        <v>191</v>
      </c>
      <c r="O152" s="597"/>
      <c r="P152" s="598">
        <v>100</v>
      </c>
      <c r="Q152" s="126"/>
    </row>
    <row r="153" spans="1:20" ht="26.25" customHeight="1" x14ac:dyDescent="0.2">
      <c r="A153" s="172"/>
      <c r="B153" s="164"/>
      <c r="C153" s="171"/>
      <c r="D153" s="1561" t="s">
        <v>190</v>
      </c>
      <c r="E153" s="517" t="s">
        <v>258</v>
      </c>
      <c r="F153" s="1041" t="s">
        <v>134</v>
      </c>
      <c r="G153" s="1153">
        <v>40</v>
      </c>
      <c r="H153" s="1270">
        <v>76.8</v>
      </c>
      <c r="I153" s="1103">
        <v>76.8</v>
      </c>
      <c r="J153" s="1048"/>
      <c r="K153" s="1271">
        <v>57</v>
      </c>
      <c r="L153" s="1110">
        <v>57</v>
      </c>
      <c r="M153" s="1131"/>
      <c r="N153" s="603" t="s">
        <v>310</v>
      </c>
      <c r="O153" s="1018"/>
      <c r="P153" s="598">
        <v>2</v>
      </c>
      <c r="Q153" s="605"/>
      <c r="R153" s="1587"/>
      <c r="S153" s="1588"/>
      <c r="T153" s="1588"/>
    </row>
    <row r="154" spans="1:20" ht="27.75" customHeight="1" x14ac:dyDescent="0.2">
      <c r="A154" s="172"/>
      <c r="B154" s="164"/>
      <c r="C154" s="171"/>
      <c r="D154" s="1562"/>
      <c r="E154" s="518" t="s">
        <v>270</v>
      </c>
      <c r="F154" s="1041" t="s">
        <v>529</v>
      </c>
      <c r="G154" s="1102"/>
      <c r="H154" s="1265"/>
      <c r="I154" s="1108"/>
      <c r="J154" s="1172"/>
      <c r="K154" s="1271">
        <v>323</v>
      </c>
      <c r="L154" s="1110">
        <v>323</v>
      </c>
      <c r="M154" s="1131"/>
      <c r="N154" s="606" t="s">
        <v>211</v>
      </c>
      <c r="O154" s="1018"/>
      <c r="P154" s="598">
        <v>100</v>
      </c>
      <c r="Q154" s="605"/>
      <c r="R154" s="1587"/>
      <c r="S154" s="1588"/>
      <c r="T154" s="1588"/>
    </row>
    <row r="155" spans="1:20" ht="27" customHeight="1" x14ac:dyDescent="0.2">
      <c r="A155" s="172"/>
      <c r="B155" s="164"/>
      <c r="C155" s="171"/>
      <c r="D155" s="1563"/>
      <c r="E155" s="321" t="s">
        <v>2</v>
      </c>
      <c r="F155" s="1041" t="s">
        <v>222</v>
      </c>
      <c r="G155" s="1102"/>
      <c r="H155" s="1271">
        <v>200</v>
      </c>
      <c r="I155" s="1110">
        <v>200</v>
      </c>
      <c r="J155" s="1178"/>
      <c r="K155" s="1271"/>
      <c r="L155" s="1110"/>
      <c r="M155" s="1131"/>
      <c r="N155" s="606" t="s">
        <v>309</v>
      </c>
      <c r="O155" s="1019"/>
      <c r="P155" s="608"/>
      <c r="Q155" s="515">
        <v>20</v>
      </c>
    </row>
    <row r="156" spans="1:20" ht="15" customHeight="1" x14ac:dyDescent="0.2">
      <c r="A156" s="172"/>
      <c r="B156" s="164"/>
      <c r="C156" s="171"/>
      <c r="D156" s="1561" t="s">
        <v>229</v>
      </c>
      <c r="E156" s="517" t="s">
        <v>258</v>
      </c>
      <c r="F156" s="1041" t="s">
        <v>134</v>
      </c>
      <c r="G156" s="1154"/>
      <c r="H156" s="1270">
        <v>58.6</v>
      </c>
      <c r="I156" s="1103">
        <v>58.6</v>
      </c>
      <c r="J156" s="1048"/>
      <c r="K156" s="1271"/>
      <c r="L156" s="1110"/>
      <c r="M156" s="1131"/>
      <c r="N156" s="1597" t="s">
        <v>191</v>
      </c>
      <c r="O156" s="1604"/>
      <c r="P156" s="1606">
        <v>100</v>
      </c>
      <c r="Q156" s="1608"/>
      <c r="R156" s="1587"/>
      <c r="S156" s="1588"/>
      <c r="T156" s="1588"/>
    </row>
    <row r="157" spans="1:20" ht="24.75" customHeight="1" x14ac:dyDescent="0.2">
      <c r="A157" s="172"/>
      <c r="B157" s="164"/>
      <c r="C157" s="171"/>
      <c r="D157" s="1563"/>
      <c r="E157" s="321" t="s">
        <v>324</v>
      </c>
      <c r="F157" s="1041" t="s">
        <v>222</v>
      </c>
      <c r="G157" s="1154"/>
      <c r="H157" s="1270">
        <v>300</v>
      </c>
      <c r="I157" s="1103">
        <v>300</v>
      </c>
      <c r="J157" s="1048"/>
      <c r="K157" s="1271"/>
      <c r="L157" s="1110"/>
      <c r="M157" s="1131"/>
      <c r="N157" s="1598"/>
      <c r="O157" s="1605"/>
      <c r="P157" s="1607"/>
      <c r="Q157" s="1609"/>
      <c r="R157" s="1587"/>
      <c r="S157" s="1588"/>
      <c r="T157" s="1588"/>
    </row>
    <row r="158" spans="1:20" ht="27" customHeight="1" x14ac:dyDescent="0.2">
      <c r="A158" s="172"/>
      <c r="B158" s="164"/>
      <c r="C158" s="171"/>
      <c r="D158" s="819" t="s">
        <v>300</v>
      </c>
      <c r="E158" s="757" t="s">
        <v>301</v>
      </c>
      <c r="F158" s="1600" t="s">
        <v>134</v>
      </c>
      <c r="G158" s="1730">
        <v>85.6</v>
      </c>
      <c r="H158" s="1732">
        <v>305.3</v>
      </c>
      <c r="I158" s="1602">
        <v>305.3</v>
      </c>
      <c r="J158" s="1048"/>
      <c r="K158" s="1718">
        <v>711.5</v>
      </c>
      <c r="L158" s="1611">
        <v>711.5</v>
      </c>
      <c r="M158" s="1731"/>
      <c r="N158" s="1020" t="s">
        <v>188</v>
      </c>
      <c r="O158" s="597">
        <v>1</v>
      </c>
      <c r="P158" s="598"/>
      <c r="Q158" s="126"/>
      <c r="R158" s="1587"/>
      <c r="S158" s="1588"/>
      <c r="T158" s="1588"/>
    </row>
    <row r="159" spans="1:20" ht="24" customHeight="1" x14ac:dyDescent="0.2">
      <c r="A159" s="172"/>
      <c r="B159" s="164"/>
      <c r="C159" s="171"/>
      <c r="D159" s="819"/>
      <c r="E159" s="321" t="s">
        <v>288</v>
      </c>
      <c r="F159" s="1600"/>
      <c r="G159" s="1730"/>
      <c r="H159" s="1732"/>
      <c r="I159" s="1602"/>
      <c r="J159" s="1048"/>
      <c r="K159" s="1718"/>
      <c r="L159" s="1611"/>
      <c r="M159" s="1731"/>
      <c r="N159" s="970" t="s">
        <v>191</v>
      </c>
      <c r="O159" s="457"/>
      <c r="P159" s="458">
        <v>20</v>
      </c>
      <c r="Q159" s="827">
        <v>100</v>
      </c>
      <c r="R159" s="1587"/>
      <c r="S159" s="1588"/>
      <c r="T159" s="1588"/>
    </row>
    <row r="160" spans="1:20" ht="22.5" customHeight="1" x14ac:dyDescent="0.2">
      <c r="A160" s="172"/>
      <c r="B160" s="164"/>
      <c r="C160" s="171"/>
      <c r="D160" s="1561" t="s">
        <v>262</v>
      </c>
      <c r="E160" s="756" t="s">
        <v>269</v>
      </c>
      <c r="F160" s="1041" t="s">
        <v>134</v>
      </c>
      <c r="G160" s="1154">
        <v>51.4</v>
      </c>
      <c r="H160" s="1270">
        <v>51.4</v>
      </c>
      <c r="I160" s="1103">
        <v>51.4</v>
      </c>
      <c r="J160" s="1048"/>
      <c r="K160" s="1271">
        <v>52.7</v>
      </c>
      <c r="L160" s="1110">
        <v>52.7</v>
      </c>
      <c r="M160" s="1131"/>
      <c r="N160" s="1597" t="s">
        <v>337</v>
      </c>
      <c r="O160" s="459">
        <v>81</v>
      </c>
      <c r="P160" s="849">
        <v>81</v>
      </c>
      <c r="Q160" s="847">
        <v>83</v>
      </c>
    </row>
    <row r="161" spans="1:21" ht="11.25" customHeight="1" x14ac:dyDescent="0.2">
      <c r="A161" s="172"/>
      <c r="B161" s="164"/>
      <c r="C161" s="171"/>
      <c r="D161" s="1563"/>
      <c r="E161" s="321"/>
      <c r="F161" s="1041" t="s">
        <v>221</v>
      </c>
      <c r="G161" s="1154">
        <v>82.3</v>
      </c>
      <c r="H161" s="1270"/>
      <c r="I161" s="1103"/>
      <c r="J161" s="1048"/>
      <c r="K161" s="1271"/>
      <c r="L161" s="1110"/>
      <c r="M161" s="1131"/>
      <c r="N161" s="1598"/>
      <c r="O161" s="460"/>
      <c r="P161" s="850"/>
      <c r="Q161" s="848"/>
    </row>
    <row r="162" spans="1:21" ht="42" customHeight="1" x14ac:dyDescent="0.2">
      <c r="A162" s="172"/>
      <c r="B162" s="164"/>
      <c r="C162" s="171"/>
      <c r="D162" s="41" t="s">
        <v>497</v>
      </c>
      <c r="E162" s="757" t="s">
        <v>274</v>
      </c>
      <c r="F162" s="1041" t="s">
        <v>134</v>
      </c>
      <c r="G162" s="1154">
        <v>40</v>
      </c>
      <c r="H162" s="1270"/>
      <c r="I162" s="1103"/>
      <c r="J162" s="1048"/>
      <c r="K162" s="1271"/>
      <c r="L162" s="1110"/>
      <c r="M162" s="1131"/>
      <c r="N162" s="603" t="s">
        <v>191</v>
      </c>
      <c r="O162" s="597">
        <v>100</v>
      </c>
      <c r="P162" s="598"/>
      <c r="Q162" s="126"/>
    </row>
    <row r="163" spans="1:21" ht="14.65" customHeight="1" x14ac:dyDescent="0.2">
      <c r="A163" s="172"/>
      <c r="B163" s="164"/>
      <c r="C163" s="171"/>
      <c r="D163" s="1589" t="s">
        <v>94</v>
      </c>
      <c r="E163" s="342"/>
      <c r="F163" s="975"/>
      <c r="G163" s="1112"/>
      <c r="H163" s="85"/>
      <c r="I163" s="1204"/>
      <c r="J163" s="71"/>
      <c r="K163" s="1339"/>
      <c r="L163" s="1288"/>
      <c r="M163" s="1137"/>
      <c r="N163" s="975"/>
      <c r="O163" s="71"/>
      <c r="P163" s="92"/>
      <c r="Q163" s="360"/>
    </row>
    <row r="164" spans="1:21" ht="14.65" customHeight="1" x14ac:dyDescent="0.2">
      <c r="A164" s="172"/>
      <c r="B164" s="164"/>
      <c r="C164" s="171"/>
      <c r="D164" s="1590"/>
      <c r="E164" s="342"/>
      <c r="F164" s="732"/>
      <c r="G164" s="732"/>
      <c r="H164" s="1272"/>
      <c r="I164" s="590"/>
      <c r="J164" s="589"/>
      <c r="K164" s="1254"/>
      <c r="L164" s="1197"/>
      <c r="M164" s="1192"/>
      <c r="N164" s="1093"/>
      <c r="O164" s="2"/>
      <c r="P164" s="91"/>
      <c r="Q164" s="1097"/>
    </row>
    <row r="165" spans="1:21" ht="17.45" customHeight="1" x14ac:dyDescent="0.2">
      <c r="A165" s="172"/>
      <c r="B165" s="164"/>
      <c r="C165" s="171"/>
      <c r="D165" s="1562" t="s">
        <v>126</v>
      </c>
      <c r="E165" s="150" t="s">
        <v>144</v>
      </c>
      <c r="F165" s="1041" t="s">
        <v>134</v>
      </c>
      <c r="G165" s="1154"/>
      <c r="H165" s="1270">
        <v>425.4</v>
      </c>
      <c r="I165" s="1103">
        <v>425.4</v>
      </c>
      <c r="J165" s="1048"/>
      <c r="K165" s="1271"/>
      <c r="L165" s="1110"/>
      <c r="M165" s="1131"/>
      <c r="N165" s="309" t="s">
        <v>69</v>
      </c>
      <c r="O165" s="1047">
        <v>70</v>
      </c>
      <c r="P165" s="617">
        <v>100</v>
      </c>
      <c r="Q165" s="618"/>
    </row>
    <row r="166" spans="1:21" ht="14.65" customHeight="1" x14ac:dyDescent="0.2">
      <c r="A166" s="172"/>
      <c r="B166" s="164"/>
      <c r="C166" s="171"/>
      <c r="D166" s="1562"/>
      <c r="E166" s="518" t="s">
        <v>270</v>
      </c>
      <c r="F166" s="1041" t="s">
        <v>221</v>
      </c>
      <c r="G166" s="1154">
        <v>1436</v>
      </c>
      <c r="H166" s="1270"/>
      <c r="I166" s="1103"/>
      <c r="J166" s="1048"/>
      <c r="K166" s="1271"/>
      <c r="L166" s="1110"/>
      <c r="M166" s="1131"/>
      <c r="N166" s="309"/>
      <c r="O166" s="616"/>
      <c r="P166" s="617"/>
      <c r="Q166" s="618"/>
    </row>
    <row r="167" spans="1:21" ht="14.65" customHeight="1" x14ac:dyDescent="0.2">
      <c r="A167" s="172"/>
      <c r="B167" s="164"/>
      <c r="C167" s="171"/>
      <c r="D167" s="1562"/>
      <c r="E167" s="301" t="s">
        <v>214</v>
      </c>
      <c r="F167" s="1041" t="s">
        <v>223</v>
      </c>
      <c r="G167" s="1154">
        <f>800.1-160.1</f>
        <v>640</v>
      </c>
      <c r="H167" s="1270">
        <v>239.1</v>
      </c>
      <c r="I167" s="1103">
        <v>239.1</v>
      </c>
      <c r="J167" s="1048"/>
      <c r="K167" s="1271"/>
      <c r="L167" s="1110"/>
      <c r="M167" s="1131"/>
      <c r="N167" s="309"/>
      <c r="O167" s="616"/>
      <c r="P167" s="617"/>
      <c r="Q167" s="618"/>
    </row>
    <row r="168" spans="1:21" x14ac:dyDescent="0.2">
      <c r="A168" s="172"/>
      <c r="B168" s="164"/>
      <c r="C168" s="171"/>
      <c r="D168" s="1563"/>
      <c r="E168" s="321" t="s">
        <v>272</v>
      </c>
      <c r="F168" s="1041"/>
      <c r="G168" s="1154"/>
      <c r="H168" s="1270"/>
      <c r="I168" s="1103"/>
      <c r="J168" s="1048"/>
      <c r="K168" s="1271"/>
      <c r="L168" s="1110"/>
      <c r="M168" s="1131"/>
      <c r="N168" s="1021"/>
      <c r="O168" s="624"/>
      <c r="P168" s="625"/>
      <c r="Q168" s="626"/>
    </row>
    <row r="169" spans="1:21" ht="13.9" customHeight="1" x14ac:dyDescent="0.2">
      <c r="A169" s="172"/>
      <c r="B169" s="164"/>
      <c r="C169" s="171"/>
      <c r="D169" s="1539" t="s">
        <v>171</v>
      </c>
      <c r="E169" s="518" t="s">
        <v>144</v>
      </c>
      <c r="F169" s="1599"/>
      <c r="G169" s="1155"/>
      <c r="H169" s="1273"/>
      <c r="I169" s="1049"/>
      <c r="J169" s="1051"/>
      <c r="K169" s="1340"/>
      <c r="L169" s="1289"/>
      <c r="M169" s="1138"/>
      <c r="N169" s="970"/>
      <c r="O169" s="457"/>
      <c r="P169" s="458"/>
      <c r="Q169" s="573"/>
    </row>
    <row r="170" spans="1:21" ht="13.9" customHeight="1" x14ac:dyDescent="0.2">
      <c r="A170" s="172"/>
      <c r="B170" s="164"/>
      <c r="C170" s="171"/>
      <c r="D170" s="1540"/>
      <c r="E170" s="518"/>
      <c r="F170" s="1599"/>
      <c r="G170" s="1155"/>
      <c r="H170" s="1273"/>
      <c r="I170" s="1049"/>
      <c r="J170" s="1051"/>
      <c r="K170" s="1340"/>
      <c r="L170" s="1289"/>
      <c r="M170" s="1138"/>
      <c r="N170" s="1092"/>
      <c r="O170" s="460"/>
      <c r="P170" s="1090"/>
      <c r="Q170" s="647"/>
    </row>
    <row r="171" spans="1:21" ht="13.9" customHeight="1" x14ac:dyDescent="0.2">
      <c r="A171" s="172"/>
      <c r="B171" s="164"/>
      <c r="C171" s="171"/>
      <c r="D171" s="1541" t="s">
        <v>516</v>
      </c>
      <c r="E171" s="518" t="s">
        <v>2</v>
      </c>
      <c r="F171" s="1041" t="s">
        <v>134</v>
      </c>
      <c r="G171" s="1154"/>
      <c r="H171" s="1270">
        <v>767.6</v>
      </c>
      <c r="I171" s="1103">
        <v>767.6</v>
      </c>
      <c r="J171" s="1048"/>
      <c r="K171" s="1336">
        <v>608.6</v>
      </c>
      <c r="L171" s="1285">
        <v>608.6</v>
      </c>
      <c r="M171" s="1133"/>
      <c r="N171" s="1593" t="s">
        <v>98</v>
      </c>
      <c r="O171" s="1059">
        <v>1</v>
      </c>
      <c r="P171" s="1060">
        <v>1</v>
      </c>
      <c r="Q171" s="573">
        <v>3</v>
      </c>
      <c r="R171" s="1587"/>
      <c r="S171" s="1588"/>
      <c r="T171" s="1588"/>
      <c r="U171" s="1588"/>
    </row>
    <row r="172" spans="1:21" ht="13.9" customHeight="1" x14ac:dyDescent="0.2">
      <c r="A172" s="172"/>
      <c r="B172" s="164"/>
      <c r="C172" s="171"/>
      <c r="D172" s="1541"/>
      <c r="E172" s="518" t="s">
        <v>270</v>
      </c>
      <c r="F172" s="1041" t="s">
        <v>221</v>
      </c>
      <c r="G172" s="1154">
        <v>346.8</v>
      </c>
      <c r="H172" s="1273"/>
      <c r="I172" s="1049"/>
      <c r="J172" s="1051"/>
      <c r="K172" s="1340"/>
      <c r="L172" s="1289"/>
      <c r="M172" s="1138"/>
      <c r="N172" s="1598"/>
      <c r="O172" s="638"/>
      <c r="P172" s="639"/>
      <c r="Q172" s="640"/>
      <c r="R172" s="1587"/>
      <c r="S172" s="1588"/>
      <c r="T172" s="1588"/>
      <c r="U172" s="1588"/>
    </row>
    <row r="173" spans="1:21" ht="13.9" customHeight="1" x14ac:dyDescent="0.2">
      <c r="A173" s="172"/>
      <c r="B173" s="164"/>
      <c r="C173" s="171"/>
      <c r="D173" s="1541"/>
      <c r="E173" s="518"/>
      <c r="F173" s="1050"/>
      <c r="G173" s="1155"/>
      <c r="H173" s="1273"/>
      <c r="I173" s="1049"/>
      <c r="J173" s="1051"/>
      <c r="K173" s="1340"/>
      <c r="L173" s="1289"/>
      <c r="M173" s="1138"/>
      <c r="N173" s="1597" t="s">
        <v>191</v>
      </c>
      <c r="O173" s="642"/>
      <c r="P173" s="774">
        <v>30</v>
      </c>
      <c r="Q173" s="567">
        <v>50</v>
      </c>
      <c r="R173" s="1587"/>
      <c r="S173" s="1588"/>
      <c r="T173" s="1588"/>
      <c r="U173" s="1588"/>
    </row>
    <row r="174" spans="1:21" ht="24" customHeight="1" x14ac:dyDescent="0.2">
      <c r="A174" s="172"/>
      <c r="B174" s="164"/>
      <c r="C174" s="171"/>
      <c r="D174" s="1540"/>
      <c r="E174" s="321"/>
      <c r="F174" s="1050"/>
      <c r="G174" s="1155"/>
      <c r="H174" s="1273"/>
      <c r="I174" s="1049"/>
      <c r="J174" s="1051"/>
      <c r="K174" s="1340"/>
      <c r="L174" s="1289"/>
      <c r="M174" s="1138"/>
      <c r="N174" s="1598"/>
      <c r="O174" s="638"/>
      <c r="P174" s="639"/>
      <c r="Q174" s="640"/>
      <c r="R174" s="1587"/>
      <c r="S174" s="1588"/>
      <c r="T174" s="1588"/>
      <c r="U174" s="1588"/>
    </row>
    <row r="175" spans="1:21" ht="15.75" customHeight="1" x14ac:dyDescent="0.2">
      <c r="A175" s="172"/>
      <c r="B175" s="164"/>
      <c r="C175" s="171"/>
      <c r="D175" s="1539" t="s">
        <v>338</v>
      </c>
      <c r="E175" s="517" t="s">
        <v>270</v>
      </c>
      <c r="F175" s="1041" t="s">
        <v>134</v>
      </c>
      <c r="G175" s="1154">
        <v>38.5</v>
      </c>
      <c r="H175" s="1270"/>
      <c r="I175" s="1103"/>
      <c r="J175" s="1048"/>
      <c r="K175" s="1336"/>
      <c r="L175" s="1285"/>
      <c r="M175" s="1133"/>
      <c r="N175" s="1597" t="s">
        <v>312</v>
      </c>
      <c r="O175" s="459">
        <v>100</v>
      </c>
      <c r="P175" s="488"/>
      <c r="Q175" s="567"/>
    </row>
    <row r="176" spans="1:21" ht="14.25" customHeight="1" x14ac:dyDescent="0.2">
      <c r="A176" s="172"/>
      <c r="B176" s="164"/>
      <c r="C176" s="171"/>
      <c r="D176" s="1540"/>
      <c r="E176" s="321" t="s">
        <v>269</v>
      </c>
      <c r="F176" s="1041" t="s">
        <v>221</v>
      </c>
      <c r="G176" s="1154">
        <v>931.6</v>
      </c>
      <c r="H176" s="1270"/>
      <c r="I176" s="1103"/>
      <c r="J176" s="1048"/>
      <c r="K176" s="1336"/>
      <c r="L176" s="1285"/>
      <c r="M176" s="1133"/>
      <c r="N176" s="1598"/>
      <c r="O176" s="460"/>
      <c r="P176" s="489"/>
      <c r="Q176" s="647"/>
    </row>
    <row r="177" spans="1:22" ht="29.25" customHeight="1" x14ac:dyDescent="0.2">
      <c r="A177" s="172"/>
      <c r="B177" s="164"/>
      <c r="C177" s="171"/>
      <c r="D177" s="151" t="s">
        <v>193</v>
      </c>
      <c r="E177" s="648" t="s">
        <v>313</v>
      </c>
      <c r="F177" s="1041" t="s">
        <v>134</v>
      </c>
      <c r="G177" s="1154"/>
      <c r="H177" s="1270">
        <v>367.8</v>
      </c>
      <c r="I177" s="1103">
        <v>367.8</v>
      </c>
      <c r="J177" s="1048"/>
      <c r="K177" s="1336">
        <v>304.8</v>
      </c>
      <c r="L177" s="1285">
        <v>304.8</v>
      </c>
      <c r="M177" s="1133"/>
      <c r="N177" s="971" t="s">
        <v>191</v>
      </c>
      <c r="O177" s="597"/>
      <c r="P177" s="598">
        <v>50</v>
      </c>
      <c r="Q177" s="290">
        <v>100</v>
      </c>
    </row>
    <row r="178" spans="1:22" ht="24" customHeight="1" x14ac:dyDescent="0.2">
      <c r="A178" s="172"/>
      <c r="B178" s="164"/>
      <c r="C178" s="171"/>
      <c r="D178" s="1539" t="s">
        <v>255</v>
      </c>
      <c r="E178" s="518" t="s">
        <v>256</v>
      </c>
      <c r="F178" s="1041" t="s">
        <v>134</v>
      </c>
      <c r="G178" s="1154"/>
      <c r="H178" s="1270">
        <v>350.9</v>
      </c>
      <c r="I178" s="1103">
        <v>350.9</v>
      </c>
      <c r="J178" s="1048"/>
      <c r="K178" s="1336">
        <v>452.8</v>
      </c>
      <c r="L178" s="1285">
        <v>452.8</v>
      </c>
      <c r="M178" s="1133"/>
      <c r="N178" s="1597" t="s">
        <v>191</v>
      </c>
      <c r="O178" s="457"/>
      <c r="P178" s="458">
        <v>50</v>
      </c>
      <c r="Q178" s="573">
        <v>100</v>
      </c>
      <c r="R178" s="1587"/>
      <c r="S178" s="1588"/>
    </row>
    <row r="179" spans="1:22" ht="17.25" customHeight="1" x14ac:dyDescent="0.2">
      <c r="A179" s="172"/>
      <c r="B179" s="164"/>
      <c r="C179" s="171"/>
      <c r="D179" s="1541"/>
      <c r="E179" s="518" t="s">
        <v>270</v>
      </c>
      <c r="F179" s="1041" t="s">
        <v>529</v>
      </c>
      <c r="G179" s="1154"/>
      <c r="H179" s="1270">
        <v>1988</v>
      </c>
      <c r="I179" s="1103">
        <v>1988</v>
      </c>
      <c r="J179" s="1048"/>
      <c r="K179" s="1336">
        <v>1999.4</v>
      </c>
      <c r="L179" s="1285">
        <v>1999.4</v>
      </c>
      <c r="M179" s="1133"/>
      <c r="N179" s="1593"/>
      <c r="O179" s="457"/>
      <c r="P179" s="458"/>
      <c r="Q179" s="573"/>
      <c r="R179" s="1587"/>
      <c r="S179" s="1588"/>
    </row>
    <row r="180" spans="1:22" ht="15.75" customHeight="1" x14ac:dyDescent="0.2">
      <c r="A180" s="172"/>
      <c r="B180" s="164"/>
      <c r="C180" s="171"/>
      <c r="D180" s="1540"/>
      <c r="E180" s="518" t="s">
        <v>2</v>
      </c>
      <c r="F180" s="1055"/>
      <c r="G180" s="1156"/>
      <c r="H180" s="1274"/>
      <c r="I180" s="1058"/>
      <c r="J180" s="1179"/>
      <c r="K180" s="1274"/>
      <c r="L180" s="1058"/>
      <c r="M180" s="1126"/>
      <c r="N180" s="1598"/>
      <c r="O180" s="457"/>
      <c r="P180" s="458"/>
      <c r="Q180" s="573"/>
      <c r="R180" s="1587"/>
      <c r="S180" s="1588"/>
    </row>
    <row r="181" spans="1:22" ht="15" customHeight="1" x14ac:dyDescent="0.2">
      <c r="A181" s="172"/>
      <c r="B181" s="164"/>
      <c r="C181" s="171"/>
      <c r="D181" s="1589" t="s">
        <v>95</v>
      </c>
      <c r="E181" s="517"/>
      <c r="F181" s="1034"/>
      <c r="G181" s="1099"/>
      <c r="H181" s="1275"/>
      <c r="I181" s="1045"/>
      <c r="J181" s="1052"/>
      <c r="K181" s="1271"/>
      <c r="L181" s="1110"/>
      <c r="M181" s="1131"/>
      <c r="N181" s="972"/>
      <c r="O181" s="1"/>
      <c r="P181" s="530"/>
      <c r="Q181" s="514"/>
      <c r="R181" s="14"/>
      <c r="S181" s="14"/>
      <c r="T181" s="14"/>
      <c r="U181" s="14"/>
      <c r="V181" s="14"/>
    </row>
    <row r="182" spans="1:22" ht="15" customHeight="1" x14ac:dyDescent="0.2">
      <c r="A182" s="172"/>
      <c r="B182" s="164"/>
      <c r="C182" s="171"/>
      <c r="D182" s="1590"/>
      <c r="E182" s="518"/>
      <c r="F182" s="1034"/>
      <c r="G182" s="1099"/>
      <c r="H182" s="1275"/>
      <c r="I182" s="1045"/>
      <c r="J182" s="1052"/>
      <c r="K182" s="1271"/>
      <c r="L182" s="1110"/>
      <c r="M182" s="1131"/>
      <c r="N182" s="1094"/>
      <c r="O182" s="2"/>
      <c r="P182" s="91"/>
      <c r="Q182" s="1091"/>
      <c r="R182" s="1591"/>
      <c r="S182" s="1592"/>
      <c r="T182" s="1592"/>
      <c r="U182" s="1592"/>
      <c r="V182" s="1592"/>
    </row>
    <row r="183" spans="1:22" ht="27.75" customHeight="1" x14ac:dyDescent="0.2">
      <c r="A183" s="172"/>
      <c r="B183" s="164"/>
      <c r="C183" s="171"/>
      <c r="D183" s="1562" t="s">
        <v>96</v>
      </c>
      <c r="E183" s="517" t="s">
        <v>144</v>
      </c>
      <c r="F183" s="1054" t="s">
        <v>221</v>
      </c>
      <c r="G183" s="1157">
        <v>8.9</v>
      </c>
      <c r="H183" s="1276"/>
      <c r="I183" s="1057"/>
      <c r="J183" s="1180"/>
      <c r="K183" s="1271"/>
      <c r="L183" s="1110"/>
      <c r="M183" s="1131"/>
      <c r="N183" s="1593" t="s">
        <v>68</v>
      </c>
      <c r="O183" s="1594">
        <v>100</v>
      </c>
      <c r="P183" s="1595"/>
      <c r="Q183" s="1596"/>
      <c r="R183" s="1591"/>
      <c r="S183" s="1592"/>
      <c r="T183" s="1592"/>
      <c r="U183" s="1592"/>
      <c r="V183" s="1592"/>
    </row>
    <row r="184" spans="1:22" ht="26.25" customHeight="1" x14ac:dyDescent="0.2">
      <c r="A184" s="172"/>
      <c r="B184" s="164"/>
      <c r="C184" s="170"/>
      <c r="D184" s="1562"/>
      <c r="E184" s="518" t="s">
        <v>2</v>
      </c>
      <c r="F184" s="1053" t="s">
        <v>224</v>
      </c>
      <c r="G184" s="1158">
        <v>29.8</v>
      </c>
      <c r="H184" s="1277"/>
      <c r="I184" s="1056"/>
      <c r="J184" s="1181"/>
      <c r="K184" s="1341"/>
      <c r="L184" s="1290"/>
      <c r="M184" s="1283"/>
      <c r="N184" s="1593"/>
      <c r="O184" s="1594"/>
      <c r="P184" s="1595"/>
      <c r="Q184" s="1596"/>
      <c r="R184" s="14"/>
      <c r="S184" s="14"/>
      <c r="T184" s="14"/>
      <c r="U184" s="14"/>
      <c r="V184" s="14"/>
    </row>
    <row r="185" spans="1:22" ht="14.25" customHeight="1" thickBot="1" x14ac:dyDescent="0.25">
      <c r="A185" s="188"/>
      <c r="B185" s="189"/>
      <c r="C185" s="190"/>
      <c r="D185" s="805"/>
      <c r="E185" s="1585" t="s">
        <v>12</v>
      </c>
      <c r="F185" s="1586"/>
      <c r="G185" s="266">
        <f t="shared" ref="G185:M185" si="19">SUM(G120:G129)</f>
        <v>13791.8</v>
      </c>
      <c r="H185" s="36">
        <f t="shared" si="19"/>
        <v>10202.1</v>
      </c>
      <c r="I185" s="1243">
        <f t="shared" si="19"/>
        <v>10802.1</v>
      </c>
      <c r="J185" s="1248">
        <f t="shared" si="19"/>
        <v>600</v>
      </c>
      <c r="K185" s="36">
        <f t="shared" si="19"/>
        <v>5629.8</v>
      </c>
      <c r="L185" s="1243">
        <f t="shared" si="19"/>
        <v>6229.8</v>
      </c>
      <c r="M185" s="1322">
        <f t="shared" si="19"/>
        <v>600</v>
      </c>
      <c r="N185" s="311"/>
      <c r="O185" s="1026"/>
      <c r="P185" s="678"/>
      <c r="Q185" s="982"/>
    </row>
    <row r="186" spans="1:22" ht="29.25" customHeight="1" x14ac:dyDescent="0.2">
      <c r="A186" s="184" t="s">
        <v>13</v>
      </c>
      <c r="B186" s="185" t="s">
        <v>10</v>
      </c>
      <c r="C186" s="162" t="s">
        <v>15</v>
      </c>
      <c r="D186" s="339" t="s">
        <v>60</v>
      </c>
      <c r="E186" s="176"/>
      <c r="F186" s="976" t="s">
        <v>11</v>
      </c>
      <c r="G186" s="705">
        <v>452.1</v>
      </c>
      <c r="H186" s="1278">
        <v>876.6</v>
      </c>
      <c r="I186" s="1104">
        <v>876.6</v>
      </c>
      <c r="J186" s="1061"/>
      <c r="K186" s="1342">
        <v>528.20000000000005</v>
      </c>
      <c r="L186" s="1291">
        <v>528.20000000000005</v>
      </c>
      <c r="M186" s="1139"/>
      <c r="N186" s="1008"/>
      <c r="O186" s="391"/>
      <c r="P186" s="387"/>
      <c r="Q186" s="362"/>
    </row>
    <row r="187" spans="1:22" ht="21" customHeight="1" x14ac:dyDescent="0.2">
      <c r="A187" s="172"/>
      <c r="B187" s="164"/>
      <c r="C187" s="165"/>
      <c r="D187" s="1561" t="s">
        <v>127</v>
      </c>
      <c r="E187" s="505" t="s">
        <v>269</v>
      </c>
      <c r="F187" s="1034" t="s">
        <v>134</v>
      </c>
      <c r="G187" s="1145">
        <v>131</v>
      </c>
      <c r="H187" s="1251">
        <v>158.80000000000001</v>
      </c>
      <c r="I187" s="1227">
        <v>158.80000000000001</v>
      </c>
      <c r="J187" s="1228"/>
      <c r="K187" s="1223">
        <v>150</v>
      </c>
      <c r="L187" s="1219">
        <v>150</v>
      </c>
      <c r="M187" s="1222"/>
      <c r="N187" s="972" t="s">
        <v>70</v>
      </c>
      <c r="O187" s="1">
        <v>11</v>
      </c>
      <c r="P187" s="88">
        <v>15</v>
      </c>
      <c r="Q187" s="363">
        <v>14</v>
      </c>
      <c r="S187" s="1030" t="s">
        <v>11</v>
      </c>
      <c r="T187" s="1031">
        <f>G187+G189+G191+G194</f>
        <v>452.1</v>
      </c>
      <c r="U187" s="1031">
        <f>H187+H189+H191+H192+H193+H194+H195+H197</f>
        <v>876.60000000000014</v>
      </c>
      <c r="V187" s="1031">
        <f>M187+M189+M194</f>
        <v>0</v>
      </c>
    </row>
    <row r="188" spans="1:22" ht="21" customHeight="1" x14ac:dyDescent="0.2">
      <c r="A188" s="172"/>
      <c r="B188" s="164"/>
      <c r="C188" s="165"/>
      <c r="D188" s="1563"/>
      <c r="E188" s="505"/>
      <c r="F188" s="1034"/>
      <c r="G188" s="1145"/>
      <c r="H188" s="1251"/>
      <c r="I188" s="1227"/>
      <c r="J188" s="1228"/>
      <c r="K188" s="1251"/>
      <c r="L188" s="1227"/>
      <c r="M188" s="1231"/>
      <c r="N188" s="96"/>
      <c r="O188" s="2"/>
      <c r="P188" s="91"/>
      <c r="Q188" s="390"/>
      <c r="T188" s="292"/>
      <c r="U188" s="292"/>
      <c r="V188" s="292"/>
    </row>
    <row r="189" spans="1:22" ht="16.5" customHeight="1" x14ac:dyDescent="0.2">
      <c r="A189" s="172"/>
      <c r="B189" s="164"/>
      <c r="C189" s="210"/>
      <c r="D189" s="1561" t="s">
        <v>128</v>
      </c>
      <c r="E189" s="139" t="s">
        <v>269</v>
      </c>
      <c r="F189" s="1581" t="s">
        <v>134</v>
      </c>
      <c r="G189" s="1145">
        <v>205</v>
      </c>
      <c r="H189" s="1251">
        <v>230</v>
      </c>
      <c r="I189" s="1227">
        <v>230</v>
      </c>
      <c r="J189" s="1228"/>
      <c r="K189" s="1223">
        <v>230</v>
      </c>
      <c r="L189" s="1219">
        <v>230</v>
      </c>
      <c r="M189" s="1222"/>
      <c r="N189" s="985" t="s">
        <v>70</v>
      </c>
      <c r="O189" s="71">
        <v>17</v>
      </c>
      <c r="P189" s="92">
        <v>23</v>
      </c>
      <c r="Q189" s="215">
        <v>23</v>
      </c>
    </row>
    <row r="190" spans="1:22" ht="12" customHeight="1" x14ac:dyDescent="0.2">
      <c r="A190" s="172"/>
      <c r="B190" s="164"/>
      <c r="C190" s="463"/>
      <c r="D190" s="1563"/>
      <c r="E190" s="139" t="s">
        <v>270</v>
      </c>
      <c r="F190" s="1581"/>
      <c r="G190" s="1145"/>
      <c r="H190" s="1251"/>
      <c r="I190" s="1227"/>
      <c r="J190" s="1228"/>
      <c r="K190" s="1223"/>
      <c r="L190" s="1219"/>
      <c r="M190" s="1222"/>
      <c r="N190" s="987"/>
      <c r="O190" s="2"/>
      <c r="P190" s="91"/>
      <c r="Q190" s="276"/>
    </row>
    <row r="191" spans="1:22" ht="29.25" customHeight="1" x14ac:dyDescent="0.2">
      <c r="A191" s="172"/>
      <c r="B191" s="164"/>
      <c r="C191" s="463"/>
      <c r="D191" s="41" t="s">
        <v>136</v>
      </c>
      <c r="E191" s="139" t="s">
        <v>328</v>
      </c>
      <c r="F191" s="1034" t="s">
        <v>134</v>
      </c>
      <c r="G191" s="1145">
        <v>19</v>
      </c>
      <c r="H191" s="1251">
        <v>15</v>
      </c>
      <c r="I191" s="1227">
        <v>15</v>
      </c>
      <c r="J191" s="1228"/>
      <c r="K191" s="1223"/>
      <c r="L191" s="1219"/>
      <c r="M191" s="1222"/>
      <c r="N191" s="999" t="s">
        <v>70</v>
      </c>
      <c r="O191" s="13">
        <v>5</v>
      </c>
      <c r="P191" s="90">
        <v>3</v>
      </c>
      <c r="Q191" s="275"/>
    </row>
    <row r="192" spans="1:22" ht="29.25" customHeight="1" x14ac:dyDescent="0.2">
      <c r="A192" s="172"/>
      <c r="B192" s="164"/>
      <c r="C192" s="463"/>
      <c r="D192" s="822" t="s">
        <v>517</v>
      </c>
      <c r="E192" s="139" t="s">
        <v>274</v>
      </c>
      <c r="F192" s="1034" t="s">
        <v>134</v>
      </c>
      <c r="G192" s="1145"/>
      <c r="H192" s="1251">
        <v>20</v>
      </c>
      <c r="I192" s="1227">
        <v>20</v>
      </c>
      <c r="J192" s="1228"/>
      <c r="K192" s="1223"/>
      <c r="L192" s="1219"/>
      <c r="M192" s="1222"/>
      <c r="N192" s="999" t="s">
        <v>280</v>
      </c>
      <c r="O192" s="13"/>
      <c r="P192" s="90">
        <v>1</v>
      </c>
      <c r="Q192" s="275"/>
    </row>
    <row r="193" spans="1:20" ht="42.75" customHeight="1" x14ac:dyDescent="0.2">
      <c r="A193" s="172"/>
      <c r="B193" s="164"/>
      <c r="C193" s="463"/>
      <c r="D193" s="76" t="s">
        <v>518</v>
      </c>
      <c r="E193" s="139" t="s">
        <v>274</v>
      </c>
      <c r="F193" s="1034" t="s">
        <v>134</v>
      </c>
      <c r="G193" s="1145"/>
      <c r="H193" s="1251">
        <v>124.4</v>
      </c>
      <c r="I193" s="1227">
        <v>124.4</v>
      </c>
      <c r="J193" s="1228"/>
      <c r="K193" s="1223"/>
      <c r="L193" s="1219"/>
      <c r="M193" s="1222"/>
      <c r="N193" s="999" t="s">
        <v>173</v>
      </c>
      <c r="O193" s="13"/>
      <c r="P193" s="90">
        <v>1</v>
      </c>
      <c r="Q193" s="275"/>
    </row>
    <row r="194" spans="1:20" ht="53.25" customHeight="1" x14ac:dyDescent="0.2">
      <c r="A194" s="172"/>
      <c r="B194" s="164"/>
      <c r="C194" s="463"/>
      <c r="D194" s="76" t="s">
        <v>281</v>
      </c>
      <c r="E194" s="139" t="s">
        <v>274</v>
      </c>
      <c r="F194" s="1034" t="s">
        <v>134</v>
      </c>
      <c r="G194" s="1145">
        <v>97.1</v>
      </c>
      <c r="H194" s="1251">
        <v>122.2</v>
      </c>
      <c r="I194" s="1227">
        <v>122.2</v>
      </c>
      <c r="J194" s="1228"/>
      <c r="K194" s="1223">
        <v>148.19999999999999</v>
      </c>
      <c r="L194" s="1219">
        <v>148.19999999999999</v>
      </c>
      <c r="M194" s="1222"/>
      <c r="N194" s="999" t="s">
        <v>282</v>
      </c>
      <c r="O194" s="13">
        <v>2</v>
      </c>
      <c r="P194" s="90">
        <v>3</v>
      </c>
      <c r="Q194" s="275">
        <v>3</v>
      </c>
    </row>
    <row r="195" spans="1:20" ht="30" customHeight="1" x14ac:dyDescent="0.2">
      <c r="A195" s="172"/>
      <c r="B195" s="164"/>
      <c r="C195" s="463"/>
      <c r="D195" s="1561" t="s">
        <v>519</v>
      </c>
      <c r="E195" s="139" t="s">
        <v>269</v>
      </c>
      <c r="F195" s="1034" t="s">
        <v>134</v>
      </c>
      <c r="G195" s="1145"/>
      <c r="H195" s="1251">
        <v>158.19999999999999</v>
      </c>
      <c r="I195" s="1227">
        <v>158.19999999999999</v>
      </c>
      <c r="J195" s="1228"/>
      <c r="K195" s="1223"/>
      <c r="L195" s="1219"/>
      <c r="M195" s="1222"/>
      <c r="N195" s="999" t="s">
        <v>283</v>
      </c>
      <c r="O195" s="13"/>
      <c r="P195" s="90">
        <v>4</v>
      </c>
      <c r="Q195" s="537"/>
    </row>
    <row r="196" spans="1:20" ht="18.75" customHeight="1" x14ac:dyDescent="0.2">
      <c r="A196" s="172"/>
      <c r="B196" s="164"/>
      <c r="C196" s="463"/>
      <c r="D196" s="1563"/>
      <c r="E196" s="549"/>
      <c r="F196" s="1034"/>
      <c r="G196" s="1145"/>
      <c r="H196" s="1251"/>
      <c r="I196" s="1227"/>
      <c r="J196" s="1228"/>
      <c r="K196" s="1223"/>
      <c r="L196" s="1219"/>
      <c r="M196" s="1222"/>
      <c r="N196" s="999" t="s">
        <v>173</v>
      </c>
      <c r="O196" s="13"/>
      <c r="P196" s="90">
        <v>4</v>
      </c>
      <c r="Q196" s="537"/>
    </row>
    <row r="197" spans="1:20" ht="37.5" customHeight="1" x14ac:dyDescent="0.2">
      <c r="A197" s="172"/>
      <c r="B197" s="164"/>
      <c r="C197" s="463"/>
      <c r="D197" s="1561" t="s">
        <v>530</v>
      </c>
      <c r="E197" s="139" t="s">
        <v>269</v>
      </c>
      <c r="F197" s="1032" t="s">
        <v>134</v>
      </c>
      <c r="G197" s="1146"/>
      <c r="H197" s="1252">
        <v>48</v>
      </c>
      <c r="I197" s="1033">
        <v>48</v>
      </c>
      <c r="J197" s="1170"/>
      <c r="K197" s="1343"/>
      <c r="L197" s="1220"/>
      <c r="M197" s="1230"/>
      <c r="N197" s="1546" t="s">
        <v>314</v>
      </c>
      <c r="O197" s="71"/>
      <c r="P197" s="92">
        <v>1</v>
      </c>
      <c r="Q197" s="215"/>
    </row>
    <row r="198" spans="1:20" ht="13.5" customHeight="1" thickBot="1" x14ac:dyDescent="0.25">
      <c r="A198" s="172"/>
      <c r="B198" s="164"/>
      <c r="C198" s="170"/>
      <c r="D198" s="1556"/>
      <c r="E198" s="1585" t="s">
        <v>12</v>
      </c>
      <c r="F198" s="1586"/>
      <c r="G198" s="266">
        <f t="shared" ref="G198:M198" si="20">G186</f>
        <v>452.1</v>
      </c>
      <c r="H198" s="36">
        <f t="shared" si="20"/>
        <v>876.6</v>
      </c>
      <c r="I198" s="108">
        <f t="shared" si="20"/>
        <v>876.6</v>
      </c>
      <c r="J198" s="106">
        <f t="shared" si="20"/>
        <v>0</v>
      </c>
      <c r="K198" s="36">
        <f t="shared" si="20"/>
        <v>528.20000000000005</v>
      </c>
      <c r="L198" s="108">
        <f t="shared" si="20"/>
        <v>528.20000000000005</v>
      </c>
      <c r="M198" s="111">
        <f t="shared" si="20"/>
        <v>0</v>
      </c>
      <c r="N198" s="1560"/>
      <c r="O198" s="392"/>
      <c r="P198" s="388"/>
      <c r="Q198" s="351"/>
    </row>
    <row r="199" spans="1:20" ht="15.75" customHeight="1" thickBot="1" x14ac:dyDescent="0.25">
      <c r="A199" s="194" t="s">
        <v>13</v>
      </c>
      <c r="B199" s="195" t="s">
        <v>10</v>
      </c>
      <c r="C199" s="1548" t="s">
        <v>16</v>
      </c>
      <c r="D199" s="1549"/>
      <c r="E199" s="1549"/>
      <c r="F199" s="1550"/>
      <c r="G199" s="425">
        <f t="shared" ref="G199:M199" si="21">+G198+G185+G119</f>
        <v>14315.699999999999</v>
      </c>
      <c r="H199" s="196">
        <f t="shared" si="21"/>
        <v>11150.5</v>
      </c>
      <c r="I199" s="1312">
        <f t="shared" si="21"/>
        <v>11750.5</v>
      </c>
      <c r="J199" s="1344">
        <f t="shared" si="21"/>
        <v>600</v>
      </c>
      <c r="K199" s="196">
        <f t="shared" si="21"/>
        <v>6229.8</v>
      </c>
      <c r="L199" s="1312">
        <f t="shared" si="21"/>
        <v>6829.8</v>
      </c>
      <c r="M199" s="1323">
        <f t="shared" si="21"/>
        <v>600</v>
      </c>
      <c r="N199" s="217"/>
      <c r="O199" s="403"/>
      <c r="P199" s="403"/>
      <c r="Q199" s="346"/>
    </row>
    <row r="200" spans="1:20" ht="17.25" customHeight="1" thickBot="1" x14ac:dyDescent="0.25">
      <c r="A200" s="172" t="s">
        <v>13</v>
      </c>
      <c r="B200" s="195" t="s">
        <v>13</v>
      </c>
      <c r="C200" s="1573" t="s">
        <v>47</v>
      </c>
      <c r="D200" s="1574"/>
      <c r="E200" s="1574"/>
      <c r="F200" s="1574"/>
      <c r="G200" s="1574"/>
      <c r="H200" s="1574"/>
      <c r="I200" s="1101"/>
      <c r="J200" s="1101"/>
      <c r="K200" s="1003"/>
      <c r="L200" s="1101"/>
      <c r="M200" s="1003"/>
      <c r="N200" s="1003"/>
      <c r="O200" s="1003"/>
      <c r="P200" s="1003"/>
      <c r="Q200" s="1004"/>
    </row>
    <row r="201" spans="1:20" ht="16.149999999999999" customHeight="1" x14ac:dyDescent="0.2">
      <c r="A201" s="184" t="s">
        <v>13</v>
      </c>
      <c r="B201" s="185" t="s">
        <v>13</v>
      </c>
      <c r="C201" s="218" t="s">
        <v>10</v>
      </c>
      <c r="D201" s="47" t="s">
        <v>55</v>
      </c>
      <c r="E201" s="546"/>
      <c r="F201" s="993" t="s">
        <v>11</v>
      </c>
      <c r="G201" s="1159">
        <v>43.6</v>
      </c>
      <c r="H201" s="1298">
        <v>2058.6999999999998</v>
      </c>
      <c r="I201" s="277">
        <v>2058.6999999999998</v>
      </c>
      <c r="J201" s="1299"/>
      <c r="K201" s="1296">
        <v>20</v>
      </c>
      <c r="L201" s="1291">
        <v>20</v>
      </c>
      <c r="M201" s="1139"/>
      <c r="N201" s="1008"/>
      <c r="O201" s="11"/>
      <c r="P201" s="400"/>
      <c r="Q201" s="362"/>
    </row>
    <row r="202" spans="1:20" ht="30" customHeight="1" x14ac:dyDescent="0.2">
      <c r="A202" s="172"/>
      <c r="B202" s="164"/>
      <c r="C202" s="165"/>
      <c r="D202" s="818" t="s">
        <v>284</v>
      </c>
      <c r="E202" s="139" t="s">
        <v>274</v>
      </c>
      <c r="F202" s="1065" t="s">
        <v>134</v>
      </c>
      <c r="G202" s="1114"/>
      <c r="H202" s="1251">
        <f>2008.7+30</f>
        <v>2038.7</v>
      </c>
      <c r="I202" s="1227">
        <f>2008.7+30</f>
        <v>2038.7</v>
      </c>
      <c r="J202" s="1231"/>
      <c r="K202" s="10"/>
      <c r="L202" s="1288"/>
      <c r="M202" s="1137"/>
      <c r="N202" s="972" t="s">
        <v>493</v>
      </c>
      <c r="O202" s="817"/>
      <c r="P202" s="828">
        <v>1</v>
      </c>
      <c r="Q202" s="361"/>
      <c r="R202" s="1587"/>
      <c r="S202" s="1588"/>
      <c r="T202" s="1588"/>
    </row>
    <row r="203" spans="1:20" ht="16.5" customHeight="1" x14ac:dyDescent="0.2">
      <c r="A203" s="172"/>
      <c r="B203" s="164"/>
      <c r="C203" s="165"/>
      <c r="D203" s="818"/>
      <c r="E203" s="139"/>
      <c r="F203" s="990"/>
      <c r="G203" s="1160"/>
      <c r="H203" s="1300"/>
      <c r="I203" s="542"/>
      <c r="J203" s="1301"/>
      <c r="K203" s="10"/>
      <c r="L203" s="1288"/>
      <c r="M203" s="1137"/>
      <c r="N203" s="972" t="s">
        <v>285</v>
      </c>
      <c r="O203" s="1"/>
      <c r="P203" s="808">
        <v>7960</v>
      </c>
      <c r="Q203" s="361"/>
    </row>
    <row r="204" spans="1:20" ht="15.6" customHeight="1" x14ac:dyDescent="0.2">
      <c r="A204" s="172"/>
      <c r="B204" s="164"/>
      <c r="C204" s="165"/>
      <c r="D204" s="1561" t="s">
        <v>521</v>
      </c>
      <c r="E204" s="548" t="s">
        <v>269</v>
      </c>
      <c r="F204" s="1062" t="s">
        <v>134</v>
      </c>
      <c r="G204" s="1161">
        <v>39</v>
      </c>
      <c r="H204" s="1302"/>
      <c r="I204" s="1063"/>
      <c r="J204" s="1303"/>
      <c r="K204" s="1297"/>
      <c r="L204" s="1293"/>
      <c r="M204" s="1140"/>
      <c r="N204" s="999" t="s">
        <v>70</v>
      </c>
      <c r="O204" s="13">
        <v>10</v>
      </c>
      <c r="P204" s="90"/>
      <c r="Q204" s="126"/>
    </row>
    <row r="205" spans="1:20" ht="15.6" customHeight="1" x14ac:dyDescent="0.2">
      <c r="A205" s="172"/>
      <c r="B205" s="164"/>
      <c r="C205" s="165"/>
      <c r="D205" s="1563"/>
      <c r="E205" s="547"/>
      <c r="F205" s="1062"/>
      <c r="G205" s="1161"/>
      <c r="H205" s="1302"/>
      <c r="I205" s="1063"/>
      <c r="J205" s="1303"/>
      <c r="K205" s="1297"/>
      <c r="L205" s="1293"/>
      <c r="M205" s="1140"/>
      <c r="N205" s="125" t="s">
        <v>174</v>
      </c>
      <c r="O205" s="1">
        <v>211</v>
      </c>
      <c r="P205" s="88"/>
      <c r="Q205" s="397"/>
    </row>
    <row r="206" spans="1:20" s="205" customFormat="1" ht="15.6" customHeight="1" x14ac:dyDescent="0.2">
      <c r="A206" s="337"/>
      <c r="B206" s="216"/>
      <c r="C206" s="219"/>
      <c r="D206" s="1561" t="s">
        <v>522</v>
      </c>
      <c r="E206" s="139" t="s">
        <v>269</v>
      </c>
      <c r="F206" s="1062" t="s">
        <v>134</v>
      </c>
      <c r="G206" s="1161">
        <v>4.5999999999999996</v>
      </c>
      <c r="H206" s="1302">
        <v>20</v>
      </c>
      <c r="I206" s="1063">
        <v>20</v>
      </c>
      <c r="J206" s="1303"/>
      <c r="K206" s="1225">
        <v>20</v>
      </c>
      <c r="L206" s="1224">
        <v>20</v>
      </c>
      <c r="M206" s="1064"/>
      <c r="N206" s="93" t="s">
        <v>70</v>
      </c>
      <c r="O206" s="13">
        <v>2</v>
      </c>
      <c r="P206" s="90">
        <v>6</v>
      </c>
      <c r="Q206" s="126">
        <v>6</v>
      </c>
    </row>
    <row r="207" spans="1:20" s="205" customFormat="1" ht="14.25" customHeight="1" x14ac:dyDescent="0.2">
      <c r="A207" s="736"/>
      <c r="B207" s="216"/>
      <c r="C207" s="219"/>
      <c r="D207" s="1562"/>
      <c r="E207" s="139"/>
      <c r="F207" s="1062"/>
      <c r="G207" s="1161"/>
      <c r="H207" s="1302"/>
      <c r="I207" s="1063"/>
      <c r="J207" s="1303"/>
      <c r="K207" s="1225"/>
      <c r="L207" s="1224"/>
      <c r="M207" s="1064"/>
      <c r="N207" s="1546" t="s">
        <v>502</v>
      </c>
      <c r="O207" s="71">
        <v>3</v>
      </c>
      <c r="P207" s="92">
        <v>10</v>
      </c>
      <c r="Q207" s="215">
        <v>10</v>
      </c>
    </row>
    <row r="208" spans="1:20" s="205" customFormat="1" ht="15.6" customHeight="1" thickBot="1" x14ac:dyDescent="0.25">
      <c r="A208" s="337"/>
      <c r="B208" s="216"/>
      <c r="C208" s="219"/>
      <c r="D208" s="1556"/>
      <c r="E208" s="139"/>
      <c r="F208" s="299" t="s">
        <v>12</v>
      </c>
      <c r="G208" s="266">
        <f t="shared" ref="G208:M208" si="22">G201</f>
        <v>43.6</v>
      </c>
      <c r="H208" s="36">
        <f t="shared" si="22"/>
        <v>2058.6999999999998</v>
      </c>
      <c r="I208" s="108">
        <f t="shared" si="22"/>
        <v>2058.6999999999998</v>
      </c>
      <c r="J208" s="111">
        <f t="shared" si="22"/>
        <v>0</v>
      </c>
      <c r="K208" s="106">
        <f t="shared" si="22"/>
        <v>20</v>
      </c>
      <c r="L208" s="108">
        <f t="shared" si="22"/>
        <v>20</v>
      </c>
      <c r="M208" s="106">
        <f t="shared" si="22"/>
        <v>0</v>
      </c>
      <c r="N208" s="1560"/>
      <c r="O208" s="71"/>
      <c r="P208" s="92"/>
      <c r="Q208" s="215"/>
    </row>
    <row r="209" spans="1:20" s="205" customFormat="1" ht="14.25" customHeight="1" x14ac:dyDescent="0.2">
      <c r="A209" s="336" t="s">
        <v>13</v>
      </c>
      <c r="B209" s="220" t="s">
        <v>13</v>
      </c>
      <c r="C209" s="221" t="s">
        <v>13</v>
      </c>
      <c r="D209" s="1537" t="s">
        <v>212</v>
      </c>
      <c r="E209" s="176" t="s">
        <v>2</v>
      </c>
      <c r="F209" s="412" t="s">
        <v>11</v>
      </c>
      <c r="G209" s="421">
        <v>316.3</v>
      </c>
      <c r="H209" s="1253">
        <v>165</v>
      </c>
      <c r="I209" s="142">
        <v>165</v>
      </c>
      <c r="J209" s="143"/>
      <c r="K209" s="1294">
        <v>137</v>
      </c>
      <c r="L209" s="1295">
        <v>137</v>
      </c>
      <c r="M209" s="471"/>
      <c r="N209" s="313"/>
      <c r="O209" s="405"/>
      <c r="P209" s="445"/>
      <c r="Q209" s="466"/>
      <c r="S209" s="1068" t="s">
        <v>11</v>
      </c>
      <c r="T209" s="1069">
        <f>G213+G215+G217</f>
        <v>316.3</v>
      </c>
    </row>
    <row r="210" spans="1:20" s="205" customFormat="1" ht="15.75" customHeight="1" x14ac:dyDescent="0.2">
      <c r="A210" s="983"/>
      <c r="B210" s="216"/>
      <c r="C210" s="219"/>
      <c r="D210" s="1538"/>
      <c r="E210" s="757"/>
      <c r="F210" s="975" t="s">
        <v>63</v>
      </c>
      <c r="G210" s="1114">
        <v>24.1</v>
      </c>
      <c r="H210" s="1254"/>
      <c r="I210" s="1197"/>
      <c r="J210" s="1192"/>
      <c r="K210" s="1210"/>
      <c r="L210" s="1209"/>
      <c r="M210" s="739"/>
      <c r="N210" s="314"/>
      <c r="O210" s="379"/>
      <c r="P210" s="1066"/>
      <c r="Q210" s="1067"/>
    </row>
    <row r="211" spans="1:20" s="205" customFormat="1" ht="16.899999999999999" customHeight="1" x14ac:dyDescent="0.2">
      <c r="A211" s="337"/>
      <c r="B211" s="216"/>
      <c r="C211" s="219"/>
      <c r="D211" s="1561" t="s">
        <v>109</v>
      </c>
      <c r="E211" s="757" t="s">
        <v>269</v>
      </c>
      <c r="F211" s="1581" t="s">
        <v>134</v>
      </c>
      <c r="G211" s="1727"/>
      <c r="H211" s="1720">
        <v>55</v>
      </c>
      <c r="I211" s="1583">
        <v>55</v>
      </c>
      <c r="J211" s="1231"/>
      <c r="K211" s="1719">
        <v>35</v>
      </c>
      <c r="L211" s="1715">
        <v>35</v>
      </c>
      <c r="M211" s="1756"/>
      <c r="N211" s="125" t="s">
        <v>74</v>
      </c>
      <c r="O211" s="13"/>
      <c r="P211" s="90">
        <v>11</v>
      </c>
      <c r="Q211" s="365">
        <v>7</v>
      </c>
    </row>
    <row r="212" spans="1:20" s="205" customFormat="1" ht="16.899999999999999" customHeight="1" x14ac:dyDescent="0.2">
      <c r="A212" s="504"/>
      <c r="B212" s="216"/>
      <c r="C212" s="219"/>
      <c r="D212" s="1563"/>
      <c r="E212" s="757"/>
      <c r="F212" s="1581"/>
      <c r="G212" s="1727"/>
      <c r="H212" s="1720"/>
      <c r="I212" s="1583"/>
      <c r="J212" s="1231"/>
      <c r="K212" s="1719"/>
      <c r="L212" s="1715"/>
      <c r="M212" s="1756"/>
      <c r="N212" s="125" t="s">
        <v>141</v>
      </c>
      <c r="O212" s="13"/>
      <c r="P212" s="90">
        <v>55</v>
      </c>
      <c r="Q212" s="365">
        <v>35</v>
      </c>
    </row>
    <row r="213" spans="1:20" s="205" customFormat="1" ht="24" customHeight="1" x14ac:dyDescent="0.2">
      <c r="A213" s="504"/>
      <c r="B213" s="216"/>
      <c r="C213" s="219"/>
      <c r="D213" s="1561" t="s">
        <v>286</v>
      </c>
      <c r="E213" s="757" t="s">
        <v>274</v>
      </c>
      <c r="F213" s="1034" t="s">
        <v>134</v>
      </c>
      <c r="G213" s="1145">
        <v>100</v>
      </c>
      <c r="H213" s="1251">
        <v>100</v>
      </c>
      <c r="I213" s="1227">
        <v>100</v>
      </c>
      <c r="J213" s="1231"/>
      <c r="K213" s="1225">
        <v>102</v>
      </c>
      <c r="L213" s="1224">
        <v>102</v>
      </c>
      <c r="M213" s="1064"/>
      <c r="N213" s="125" t="s">
        <v>141</v>
      </c>
      <c r="O213" s="13">
        <v>100</v>
      </c>
      <c r="P213" s="90">
        <v>100</v>
      </c>
      <c r="Q213" s="275">
        <v>102</v>
      </c>
    </row>
    <row r="214" spans="1:20" s="205" customFormat="1" ht="18.75" customHeight="1" x14ac:dyDescent="0.2">
      <c r="A214" s="784"/>
      <c r="B214" s="216"/>
      <c r="C214" s="219"/>
      <c r="D214" s="1563"/>
      <c r="E214" s="757"/>
      <c r="F214" s="1034"/>
      <c r="G214" s="1145"/>
      <c r="H214" s="1251"/>
      <c r="I214" s="1227"/>
      <c r="J214" s="1231"/>
      <c r="K214" s="1225"/>
      <c r="L214" s="1224"/>
      <c r="M214" s="1064"/>
      <c r="N214" s="125" t="s">
        <v>70</v>
      </c>
      <c r="O214" s="13">
        <v>53</v>
      </c>
      <c r="P214" s="90">
        <v>53</v>
      </c>
      <c r="Q214" s="275">
        <v>53</v>
      </c>
    </row>
    <row r="215" spans="1:20" s="205" customFormat="1" ht="16.899999999999999" customHeight="1" x14ac:dyDescent="0.2">
      <c r="A215" s="337"/>
      <c r="B215" s="216"/>
      <c r="C215" s="219"/>
      <c r="D215" s="1561" t="s">
        <v>108</v>
      </c>
      <c r="E215" s="1577" t="s">
        <v>329</v>
      </c>
      <c r="F215" s="1034" t="s">
        <v>134</v>
      </c>
      <c r="G215" s="1145">
        <v>122.3</v>
      </c>
      <c r="H215" s="1251"/>
      <c r="I215" s="1227"/>
      <c r="J215" s="1231"/>
      <c r="K215" s="1225"/>
      <c r="L215" s="1224"/>
      <c r="M215" s="1064"/>
      <c r="N215" s="125" t="s">
        <v>70</v>
      </c>
      <c r="O215" s="71">
        <v>10</v>
      </c>
      <c r="P215" s="92"/>
      <c r="Q215" s="215"/>
    </row>
    <row r="216" spans="1:20" s="205" customFormat="1" ht="20.25" customHeight="1" x14ac:dyDescent="0.2">
      <c r="A216" s="337"/>
      <c r="B216" s="216"/>
      <c r="C216" s="219"/>
      <c r="D216" s="1563"/>
      <c r="E216" s="1578"/>
      <c r="F216" s="1034" t="s">
        <v>221</v>
      </c>
      <c r="G216" s="1145">
        <v>24.1</v>
      </c>
      <c r="H216" s="1251"/>
      <c r="I216" s="1227"/>
      <c r="J216" s="1231"/>
      <c r="K216" s="1221"/>
      <c r="L216" s="1219"/>
      <c r="M216" s="1222"/>
      <c r="N216" s="96"/>
      <c r="O216" s="1027"/>
      <c r="P216" s="1028"/>
      <c r="Q216" s="1029"/>
    </row>
    <row r="217" spans="1:20" s="205" customFormat="1" ht="18" customHeight="1" x14ac:dyDescent="0.2">
      <c r="A217" s="395"/>
      <c r="B217" s="216"/>
      <c r="C217" s="219"/>
      <c r="D217" s="1561" t="s">
        <v>175</v>
      </c>
      <c r="E217" s="139" t="s">
        <v>274</v>
      </c>
      <c r="F217" s="1034" t="s">
        <v>134</v>
      </c>
      <c r="G217" s="1145">
        <v>94</v>
      </c>
      <c r="H217" s="1251">
        <v>10</v>
      </c>
      <c r="I217" s="1227">
        <v>10</v>
      </c>
      <c r="J217" s="1231"/>
      <c r="K217" s="1757"/>
      <c r="L217" s="1716"/>
      <c r="M217" s="1728"/>
      <c r="N217" s="93" t="s">
        <v>70</v>
      </c>
      <c r="O217" s="13">
        <v>44</v>
      </c>
      <c r="P217" s="90">
        <v>5</v>
      </c>
      <c r="Q217" s="365"/>
    </row>
    <row r="218" spans="1:20" s="205" customFormat="1" ht="18" customHeight="1" x14ac:dyDescent="0.2">
      <c r="A218" s="504"/>
      <c r="B218" s="216"/>
      <c r="C218" s="219"/>
      <c r="D218" s="1562"/>
      <c r="E218" s="139"/>
      <c r="F218" s="1034"/>
      <c r="G218" s="1145"/>
      <c r="H218" s="1251"/>
      <c r="I218" s="1227"/>
      <c r="J218" s="1231"/>
      <c r="K218" s="1757"/>
      <c r="L218" s="1716"/>
      <c r="M218" s="1728"/>
      <c r="N218" s="93" t="s">
        <v>141</v>
      </c>
      <c r="O218" s="13">
        <v>47</v>
      </c>
      <c r="P218" s="90">
        <v>5</v>
      </c>
      <c r="Q218" s="365"/>
    </row>
    <row r="219" spans="1:20" s="205" customFormat="1" ht="15" customHeight="1" x14ac:dyDescent="0.2">
      <c r="A219" s="736"/>
      <c r="B219" s="216"/>
      <c r="C219" s="219"/>
      <c r="D219" s="1562"/>
      <c r="E219" s="139"/>
      <c r="F219" s="1034"/>
      <c r="G219" s="1145"/>
      <c r="H219" s="1251"/>
      <c r="I219" s="1227"/>
      <c r="J219" s="1231"/>
      <c r="K219" s="1758"/>
      <c r="L219" s="1717"/>
      <c r="M219" s="1737"/>
      <c r="N219" s="1546" t="s">
        <v>287</v>
      </c>
      <c r="O219" s="1567">
        <v>47</v>
      </c>
      <c r="P219" s="1569">
        <v>5</v>
      </c>
      <c r="Q219" s="1571"/>
    </row>
    <row r="220" spans="1:20" s="205" customFormat="1" ht="13.5" customHeight="1" thickBot="1" x14ac:dyDescent="0.25">
      <c r="A220" s="338"/>
      <c r="B220" s="225"/>
      <c r="C220" s="226"/>
      <c r="D220" s="1556"/>
      <c r="E220" s="1015"/>
      <c r="F220" s="39" t="s">
        <v>12</v>
      </c>
      <c r="G220" s="440">
        <f t="shared" ref="G220:M220" si="23">SUM(G209:G210)</f>
        <v>340.40000000000003</v>
      </c>
      <c r="H220" s="1193">
        <f t="shared" si="23"/>
        <v>165</v>
      </c>
      <c r="I220" s="1201">
        <f t="shared" si="23"/>
        <v>165</v>
      </c>
      <c r="J220" s="1199">
        <f t="shared" si="23"/>
        <v>0</v>
      </c>
      <c r="K220" s="109">
        <f t="shared" si="23"/>
        <v>137</v>
      </c>
      <c r="L220" s="1201">
        <f t="shared" si="23"/>
        <v>137</v>
      </c>
      <c r="M220" s="1202">
        <f t="shared" si="23"/>
        <v>0</v>
      </c>
      <c r="N220" s="1560"/>
      <c r="O220" s="1568"/>
      <c r="P220" s="1570"/>
      <c r="Q220" s="1572"/>
    </row>
    <row r="221" spans="1:20" ht="15.75" customHeight="1" thickBot="1" x14ac:dyDescent="0.25">
      <c r="A221" s="194" t="s">
        <v>13</v>
      </c>
      <c r="B221" s="189" t="s">
        <v>13</v>
      </c>
      <c r="C221" s="1548" t="s">
        <v>16</v>
      </c>
      <c r="D221" s="1549"/>
      <c r="E221" s="1549"/>
      <c r="F221" s="1550"/>
      <c r="G221" s="441">
        <f t="shared" ref="G221:M221" si="24">G208+G220</f>
        <v>384.00000000000006</v>
      </c>
      <c r="H221" s="228">
        <f t="shared" si="24"/>
        <v>2223.6999999999998</v>
      </c>
      <c r="I221" s="229">
        <f t="shared" si="24"/>
        <v>2223.6999999999998</v>
      </c>
      <c r="J221" s="475">
        <f t="shared" si="24"/>
        <v>0</v>
      </c>
      <c r="K221" s="1125">
        <f t="shared" si="24"/>
        <v>157</v>
      </c>
      <c r="L221" s="229">
        <f t="shared" si="24"/>
        <v>157</v>
      </c>
      <c r="M221" s="475">
        <f t="shared" si="24"/>
        <v>0</v>
      </c>
      <c r="N221" s="230"/>
      <c r="O221" s="231"/>
      <c r="P221" s="231"/>
      <c r="Q221" s="346"/>
    </row>
    <row r="222" spans="1:20" ht="15.75" customHeight="1" thickBot="1" x14ac:dyDescent="0.25">
      <c r="A222" s="194" t="s">
        <v>13</v>
      </c>
      <c r="B222" s="232" t="s">
        <v>15</v>
      </c>
      <c r="C222" s="1573" t="s">
        <v>25</v>
      </c>
      <c r="D222" s="1574"/>
      <c r="E222" s="1574"/>
      <c r="F222" s="1574"/>
      <c r="G222" s="1574"/>
      <c r="H222" s="1574"/>
      <c r="I222" s="1101"/>
      <c r="J222" s="1101"/>
      <c r="K222" s="1003"/>
      <c r="L222" s="1003"/>
      <c r="M222" s="1003"/>
      <c r="N222" s="1003"/>
      <c r="O222" s="1003"/>
      <c r="P222" s="1003"/>
      <c r="Q222" s="1004"/>
    </row>
    <row r="223" spans="1:20" ht="15.6" customHeight="1" x14ac:dyDescent="0.2">
      <c r="A223" s="184" t="s">
        <v>13</v>
      </c>
      <c r="B223" s="185" t="s">
        <v>15</v>
      </c>
      <c r="C223" s="162" t="s">
        <v>10</v>
      </c>
      <c r="D223" s="1575" t="s">
        <v>26</v>
      </c>
      <c r="E223" s="282"/>
      <c r="F223" s="1070" t="s">
        <v>11</v>
      </c>
      <c r="G223" s="1162">
        <v>2252.1</v>
      </c>
      <c r="H223" s="1304">
        <v>2274.9</v>
      </c>
      <c r="I223" s="1073">
        <v>2274.9</v>
      </c>
      <c r="J223" s="1072"/>
      <c r="K223" s="1345">
        <v>2281.8000000000002</v>
      </c>
      <c r="L223" s="1326">
        <v>2281.8000000000002</v>
      </c>
      <c r="M223" s="1320"/>
      <c r="N223" s="991"/>
      <c r="O223" s="407"/>
      <c r="P223" s="450"/>
      <c r="Q223" s="362"/>
    </row>
    <row r="224" spans="1:20" ht="13.15" customHeight="1" x14ac:dyDescent="0.2">
      <c r="A224" s="172"/>
      <c r="B224" s="164"/>
      <c r="C224" s="171"/>
      <c r="D224" s="1576"/>
      <c r="E224" s="345"/>
      <c r="F224" s="1071" t="s">
        <v>63</v>
      </c>
      <c r="G224" s="1163">
        <v>458.4</v>
      </c>
      <c r="H224" s="1305"/>
      <c r="I224" s="1074"/>
      <c r="J224" s="1182"/>
      <c r="K224" s="1346"/>
      <c r="L224" s="1327"/>
      <c r="M224" s="1321"/>
      <c r="N224" s="992"/>
      <c r="O224" s="408"/>
      <c r="P224" s="451"/>
      <c r="Q224" s="360"/>
    </row>
    <row r="225" spans="1:22" ht="13.15" customHeight="1" x14ac:dyDescent="0.2">
      <c r="A225" s="172"/>
      <c r="B225" s="164"/>
      <c r="C225" s="171"/>
      <c r="D225" s="994"/>
      <c r="E225" s="1000"/>
      <c r="F225" s="980" t="s">
        <v>14</v>
      </c>
      <c r="G225" s="1164">
        <v>2.9</v>
      </c>
      <c r="H225" s="1306">
        <v>2.9</v>
      </c>
      <c r="I225" s="1076">
        <v>2.9</v>
      </c>
      <c r="J225" s="1075"/>
      <c r="K225" s="1347">
        <v>2.9</v>
      </c>
      <c r="L225" s="1328">
        <v>2.9</v>
      </c>
      <c r="M225" s="1141"/>
      <c r="N225" s="992"/>
      <c r="O225" s="408"/>
      <c r="P225" s="451"/>
      <c r="Q225" s="360"/>
    </row>
    <row r="226" spans="1:22" ht="29.45" customHeight="1" x14ac:dyDescent="0.2">
      <c r="A226" s="172"/>
      <c r="B226" s="164"/>
      <c r="C226" s="233"/>
      <c r="D226" s="1561" t="s">
        <v>339</v>
      </c>
      <c r="E226" s="519" t="s">
        <v>269</v>
      </c>
      <c r="F226" s="1035" t="s">
        <v>134</v>
      </c>
      <c r="G226" s="1145">
        <v>710</v>
      </c>
      <c r="H226" s="1251">
        <v>760</v>
      </c>
      <c r="I226" s="1227">
        <v>760</v>
      </c>
      <c r="J226" s="1228"/>
      <c r="K226" s="1251">
        <v>760</v>
      </c>
      <c r="L226" s="1227">
        <v>760</v>
      </c>
      <c r="M226" s="1231"/>
      <c r="N226" s="93" t="s">
        <v>320</v>
      </c>
      <c r="O226" s="13">
        <v>26</v>
      </c>
      <c r="P226" s="90">
        <v>27</v>
      </c>
      <c r="Q226" s="275">
        <v>27</v>
      </c>
      <c r="R226" s="292"/>
      <c r="S226" s="1030" t="s">
        <v>11</v>
      </c>
      <c r="T226" s="1031">
        <f>G226+G228+G229+G231+G232+G233+G234+G236+G237+G238+G239+G241+G242+G243</f>
        <v>2252.1</v>
      </c>
      <c r="U226" s="1031">
        <f>H226+H228+H229+H231+H232+H234+H236+H237+H238+H239+H241+H242+H243</f>
        <v>2274.9</v>
      </c>
      <c r="V226" s="1031">
        <f>M226+M228+M229+M231+M232+M234+M236+M237+M238+M239+M241+M242+M243</f>
        <v>0</v>
      </c>
    </row>
    <row r="227" spans="1:22" ht="26.45" customHeight="1" x14ac:dyDescent="0.2">
      <c r="A227" s="172"/>
      <c r="B227" s="164"/>
      <c r="C227" s="233"/>
      <c r="D227" s="1562"/>
      <c r="E227" s="679"/>
      <c r="F227" s="1035" t="s">
        <v>221</v>
      </c>
      <c r="G227" s="1145">
        <v>432.7</v>
      </c>
      <c r="H227" s="1275"/>
      <c r="I227" s="1045"/>
      <c r="J227" s="1052"/>
      <c r="K227" s="1223"/>
      <c r="L227" s="1219"/>
      <c r="M227" s="1222"/>
      <c r="N227" s="54" t="s">
        <v>265</v>
      </c>
      <c r="O227" s="71">
        <v>41</v>
      </c>
      <c r="P227" s="92"/>
      <c r="Q227" s="215"/>
      <c r="S227" s="1030" t="s">
        <v>63</v>
      </c>
      <c r="T227" s="1031">
        <f>G227+G230+G240</f>
        <v>458.4</v>
      </c>
      <c r="U227" s="1031"/>
      <c r="V227" s="1031"/>
    </row>
    <row r="228" spans="1:22" s="234" customFormat="1" ht="30" customHeight="1" x14ac:dyDescent="0.2">
      <c r="A228" s="172"/>
      <c r="B228" s="164"/>
      <c r="C228" s="233"/>
      <c r="D228" s="510" t="s">
        <v>57</v>
      </c>
      <c r="E228" s="519" t="s">
        <v>269</v>
      </c>
      <c r="F228" s="1035" t="s">
        <v>134</v>
      </c>
      <c r="G228" s="1145">
        <v>34.5</v>
      </c>
      <c r="H228" s="1251">
        <v>34.5</v>
      </c>
      <c r="I228" s="1227">
        <v>34.5</v>
      </c>
      <c r="J228" s="1228"/>
      <c r="K228" s="1223">
        <v>41.4</v>
      </c>
      <c r="L228" s="1219">
        <v>41.4</v>
      </c>
      <c r="M228" s="1222"/>
      <c r="N228" s="972" t="s">
        <v>70</v>
      </c>
      <c r="O228" s="1">
        <v>93</v>
      </c>
      <c r="P228" s="530">
        <v>93</v>
      </c>
      <c r="Q228" s="531">
        <v>94</v>
      </c>
      <c r="S228" s="1077" t="s">
        <v>14</v>
      </c>
      <c r="T228" s="1078">
        <f>G235</f>
        <v>2.9</v>
      </c>
      <c r="U228" s="1078">
        <f>H235</f>
        <v>2.9</v>
      </c>
      <c r="V228" s="1078">
        <f>M235</f>
        <v>0</v>
      </c>
    </row>
    <row r="229" spans="1:22" ht="16.5" customHeight="1" x14ac:dyDescent="0.2">
      <c r="A229" s="172"/>
      <c r="B229" s="164"/>
      <c r="C229" s="233"/>
      <c r="D229" s="1561" t="s">
        <v>30</v>
      </c>
      <c r="E229" s="519" t="s">
        <v>269</v>
      </c>
      <c r="F229" s="1035" t="s">
        <v>134</v>
      </c>
      <c r="G229" s="1145">
        <v>98</v>
      </c>
      <c r="H229" s="1251">
        <v>107.8</v>
      </c>
      <c r="I229" s="1227">
        <v>107.8</v>
      </c>
      <c r="J229" s="1228"/>
      <c r="K229" s="1223">
        <v>107.8</v>
      </c>
      <c r="L229" s="1219">
        <v>107.8</v>
      </c>
      <c r="M229" s="1222"/>
      <c r="N229" s="1546" t="s">
        <v>504</v>
      </c>
      <c r="O229" s="1">
        <v>31</v>
      </c>
      <c r="P229" s="832">
        <v>30</v>
      </c>
      <c r="Q229" s="833">
        <v>30</v>
      </c>
      <c r="S229" s="1030" t="s">
        <v>527</v>
      </c>
      <c r="T229" s="1031">
        <f>SUM(T226:T228)</f>
        <v>2713.4</v>
      </c>
      <c r="U229" s="1031">
        <f>SUM(U226:U228)</f>
        <v>2277.8000000000002</v>
      </c>
      <c r="V229" s="1031">
        <f>SUM(V226:V228)</f>
        <v>0</v>
      </c>
    </row>
    <row r="230" spans="1:22" ht="16.5" customHeight="1" x14ac:dyDescent="0.2">
      <c r="A230" s="172"/>
      <c r="B230" s="164"/>
      <c r="C230" s="233"/>
      <c r="D230" s="1563"/>
      <c r="E230" s="834"/>
      <c r="F230" s="1035" t="s">
        <v>221</v>
      </c>
      <c r="G230" s="1145">
        <v>15.8</v>
      </c>
      <c r="H230" s="1251"/>
      <c r="I230" s="1227"/>
      <c r="J230" s="1228"/>
      <c r="K230" s="1223"/>
      <c r="L230" s="1219"/>
      <c r="M230" s="1222"/>
      <c r="N230" s="1564"/>
      <c r="O230" s="2"/>
      <c r="P230" s="91"/>
      <c r="Q230" s="276"/>
      <c r="T230" s="292"/>
      <c r="U230" s="292"/>
      <c r="V230" s="292"/>
    </row>
    <row r="231" spans="1:22" ht="29.25" customHeight="1" x14ac:dyDescent="0.2">
      <c r="A231" s="172"/>
      <c r="B231" s="164"/>
      <c r="C231" s="233"/>
      <c r="D231" s="522" t="s">
        <v>32</v>
      </c>
      <c r="E231" s="519" t="s">
        <v>269</v>
      </c>
      <c r="F231" s="1035" t="s">
        <v>134</v>
      </c>
      <c r="G231" s="1145">
        <v>56</v>
      </c>
      <c r="H231" s="1251">
        <v>56</v>
      </c>
      <c r="I231" s="1227">
        <v>56</v>
      </c>
      <c r="J231" s="1228"/>
      <c r="K231" s="1223">
        <v>56</v>
      </c>
      <c r="L231" s="1219">
        <v>56</v>
      </c>
      <c r="M231" s="1222"/>
      <c r="N231" s="987" t="s">
        <v>321</v>
      </c>
      <c r="O231" s="2">
        <v>4</v>
      </c>
      <c r="P231" s="91">
        <v>4</v>
      </c>
      <c r="Q231" s="276">
        <v>4</v>
      </c>
    </row>
    <row r="232" spans="1:22" ht="18" customHeight="1" x14ac:dyDescent="0.2">
      <c r="A232" s="172"/>
      <c r="B232" s="164"/>
      <c r="C232" s="233"/>
      <c r="D232" s="41" t="s">
        <v>29</v>
      </c>
      <c r="E232" s="519" t="s">
        <v>269</v>
      </c>
      <c r="F232" s="1035" t="s">
        <v>134</v>
      </c>
      <c r="G232" s="1145">
        <v>17.5</v>
      </c>
      <c r="H232" s="1251">
        <v>17.5</v>
      </c>
      <c r="I232" s="1227">
        <v>17.5</v>
      </c>
      <c r="J232" s="1228"/>
      <c r="K232" s="1223">
        <v>17.5</v>
      </c>
      <c r="L232" s="1219">
        <v>17.5</v>
      </c>
      <c r="M232" s="1222"/>
      <c r="N232" s="999" t="s">
        <v>33</v>
      </c>
      <c r="O232" s="13">
        <v>38</v>
      </c>
      <c r="P232" s="90">
        <v>38</v>
      </c>
      <c r="Q232" s="682">
        <v>38</v>
      </c>
    </row>
    <row r="233" spans="1:22" ht="18" customHeight="1" x14ac:dyDescent="0.2">
      <c r="A233" s="172"/>
      <c r="B233" s="164"/>
      <c r="C233" s="171"/>
      <c r="D233" s="760" t="s">
        <v>330</v>
      </c>
      <c r="E233" s="759" t="s">
        <v>269</v>
      </c>
      <c r="F233" s="1035" t="s">
        <v>134</v>
      </c>
      <c r="G233" s="1145">
        <v>3</v>
      </c>
      <c r="H233" s="1251"/>
      <c r="I233" s="1227"/>
      <c r="J233" s="1228"/>
      <c r="K233" s="1223"/>
      <c r="L233" s="1219"/>
      <c r="M233" s="1222"/>
      <c r="N233" s="972" t="s">
        <v>331</v>
      </c>
      <c r="O233" s="13">
        <v>70</v>
      </c>
      <c r="P233" s="90"/>
      <c r="Q233" s="682"/>
    </row>
    <row r="234" spans="1:22" ht="18" customHeight="1" x14ac:dyDescent="0.2">
      <c r="A234" s="172"/>
      <c r="B234" s="164"/>
      <c r="C234" s="171"/>
      <c r="D234" s="510" t="s">
        <v>31</v>
      </c>
      <c r="E234" s="519" t="s">
        <v>269</v>
      </c>
      <c r="F234" s="1035" t="s">
        <v>134</v>
      </c>
      <c r="G234" s="1165">
        <v>312.7</v>
      </c>
      <c r="H234" s="1223">
        <v>312.7</v>
      </c>
      <c r="I234" s="1219">
        <v>312.7</v>
      </c>
      <c r="J234" s="1221"/>
      <c r="K234" s="1223">
        <v>312.7</v>
      </c>
      <c r="L234" s="1219">
        <v>312.7</v>
      </c>
      <c r="M234" s="1222"/>
      <c r="N234" s="1546" t="s">
        <v>97</v>
      </c>
      <c r="O234" s="71">
        <v>103</v>
      </c>
      <c r="P234" s="92">
        <v>104</v>
      </c>
      <c r="Q234" s="215">
        <v>104</v>
      </c>
    </row>
    <row r="235" spans="1:22" ht="14.45" customHeight="1" x14ac:dyDescent="0.2">
      <c r="A235" s="172"/>
      <c r="B235" s="164"/>
      <c r="C235" s="171"/>
      <c r="D235" s="512"/>
      <c r="E235" s="679"/>
      <c r="F235" s="1079" t="s">
        <v>219</v>
      </c>
      <c r="G235" s="1165">
        <v>2.9</v>
      </c>
      <c r="H235" s="1223">
        <v>2.9</v>
      </c>
      <c r="I235" s="1219">
        <v>2.9</v>
      </c>
      <c r="J235" s="1221"/>
      <c r="K235" s="1223">
        <v>2.9</v>
      </c>
      <c r="L235" s="1219">
        <v>2.9</v>
      </c>
      <c r="M235" s="1222"/>
      <c r="N235" s="1564"/>
      <c r="O235" s="71"/>
      <c r="P235" s="92"/>
      <c r="Q235" s="215"/>
    </row>
    <row r="236" spans="1:22" ht="27" customHeight="1" x14ac:dyDescent="0.2">
      <c r="A236" s="172"/>
      <c r="B236" s="164"/>
      <c r="C236" s="233"/>
      <c r="D236" s="521" t="s">
        <v>36</v>
      </c>
      <c r="E236" s="519" t="s">
        <v>269</v>
      </c>
      <c r="F236" s="1035" t="s">
        <v>134</v>
      </c>
      <c r="G236" s="1165">
        <v>205</v>
      </c>
      <c r="H236" s="1223">
        <v>205</v>
      </c>
      <c r="I236" s="1219">
        <v>205</v>
      </c>
      <c r="J236" s="1221"/>
      <c r="K236" s="1223">
        <v>205</v>
      </c>
      <c r="L236" s="1219">
        <v>205</v>
      </c>
      <c r="M236" s="1222"/>
      <c r="N236" s="93" t="s">
        <v>70</v>
      </c>
      <c r="O236" s="13">
        <v>10</v>
      </c>
      <c r="P236" s="90">
        <v>10</v>
      </c>
      <c r="Q236" s="275">
        <v>10</v>
      </c>
    </row>
    <row r="237" spans="1:22" ht="27" customHeight="1" x14ac:dyDescent="0.2">
      <c r="A237" s="172"/>
      <c r="B237" s="164"/>
      <c r="C237" s="233"/>
      <c r="D237" s="76" t="s">
        <v>153</v>
      </c>
      <c r="E237" s="520" t="s">
        <v>269</v>
      </c>
      <c r="F237" s="1035" t="s">
        <v>134</v>
      </c>
      <c r="G237" s="1165">
        <v>300</v>
      </c>
      <c r="H237" s="1223">
        <v>300</v>
      </c>
      <c r="I237" s="1219">
        <v>300</v>
      </c>
      <c r="J237" s="1221"/>
      <c r="K237" s="1223">
        <v>300</v>
      </c>
      <c r="L237" s="1219">
        <v>300</v>
      </c>
      <c r="M237" s="1222"/>
      <c r="N237" s="93" t="s">
        <v>70</v>
      </c>
      <c r="O237" s="2">
        <v>9</v>
      </c>
      <c r="P237" s="91">
        <v>9</v>
      </c>
      <c r="Q237" s="689">
        <v>9</v>
      </c>
    </row>
    <row r="238" spans="1:22" ht="18" customHeight="1" x14ac:dyDescent="0.2">
      <c r="A238" s="172"/>
      <c r="B238" s="164"/>
      <c r="C238" s="233"/>
      <c r="D238" s="512" t="s">
        <v>51</v>
      </c>
      <c r="E238" s="690" t="s">
        <v>269</v>
      </c>
      <c r="F238" s="1035" t="s">
        <v>134</v>
      </c>
      <c r="G238" s="1165">
        <v>200</v>
      </c>
      <c r="H238" s="1223">
        <v>200</v>
      </c>
      <c r="I238" s="1219">
        <v>200</v>
      </c>
      <c r="J238" s="1221"/>
      <c r="K238" s="1223">
        <v>200</v>
      </c>
      <c r="L238" s="1219">
        <v>200</v>
      </c>
      <c r="M238" s="1222"/>
      <c r="N238" s="93" t="s">
        <v>70</v>
      </c>
      <c r="O238" s="2">
        <v>10</v>
      </c>
      <c r="P238" s="91">
        <v>10</v>
      </c>
      <c r="Q238" s="276">
        <v>10</v>
      </c>
    </row>
    <row r="239" spans="1:22" ht="27.75" customHeight="1" x14ac:dyDescent="0.2">
      <c r="A239" s="172"/>
      <c r="B239" s="164"/>
      <c r="C239" s="171"/>
      <c r="D239" s="1561" t="s">
        <v>340</v>
      </c>
      <c r="E239" s="1565" t="s">
        <v>269</v>
      </c>
      <c r="F239" s="1035" t="s">
        <v>134</v>
      </c>
      <c r="G239" s="1165">
        <v>184</v>
      </c>
      <c r="H239" s="1223">
        <v>150</v>
      </c>
      <c r="I239" s="1219">
        <v>150</v>
      </c>
      <c r="J239" s="1221"/>
      <c r="K239" s="1223">
        <v>150</v>
      </c>
      <c r="L239" s="1219">
        <v>150</v>
      </c>
      <c r="M239" s="1222"/>
      <c r="N239" s="985" t="s">
        <v>99</v>
      </c>
      <c r="O239" s="71">
        <v>2</v>
      </c>
      <c r="P239" s="693"/>
      <c r="Q239" s="276"/>
    </row>
    <row r="240" spans="1:22" ht="27.75" customHeight="1" x14ac:dyDescent="0.2">
      <c r="A240" s="172"/>
      <c r="B240" s="164"/>
      <c r="C240" s="171"/>
      <c r="D240" s="1563"/>
      <c r="E240" s="1566"/>
      <c r="F240" s="1035" t="s">
        <v>221</v>
      </c>
      <c r="G240" s="1145">
        <v>9.9</v>
      </c>
      <c r="H240" s="1275"/>
      <c r="I240" s="1045"/>
      <c r="J240" s="1052"/>
      <c r="K240" s="1223"/>
      <c r="L240" s="1219"/>
      <c r="M240" s="1222"/>
      <c r="N240" s="999" t="s">
        <v>102</v>
      </c>
      <c r="O240" s="1">
        <v>2</v>
      </c>
      <c r="P240" s="530">
        <v>2</v>
      </c>
      <c r="Q240" s="531">
        <v>2</v>
      </c>
    </row>
    <row r="241" spans="1:20" ht="28.5" customHeight="1" x14ac:dyDescent="0.2">
      <c r="A241" s="172"/>
      <c r="B241" s="164"/>
      <c r="C241" s="171"/>
      <c r="D241" s="41" t="s">
        <v>85</v>
      </c>
      <c r="E241" s="694" t="s">
        <v>269</v>
      </c>
      <c r="F241" s="1035" t="s">
        <v>134</v>
      </c>
      <c r="G241" s="1165">
        <v>40</v>
      </c>
      <c r="H241" s="1223">
        <v>40</v>
      </c>
      <c r="I241" s="1219">
        <v>40</v>
      </c>
      <c r="J241" s="1221"/>
      <c r="K241" s="1223">
        <v>40</v>
      </c>
      <c r="L241" s="1219">
        <v>40</v>
      </c>
      <c r="M241" s="1222"/>
      <c r="N241" s="972" t="s">
        <v>70</v>
      </c>
      <c r="O241" s="1">
        <v>33</v>
      </c>
      <c r="P241" s="530">
        <v>33</v>
      </c>
      <c r="Q241" s="531">
        <v>33</v>
      </c>
    </row>
    <row r="242" spans="1:20" ht="18" customHeight="1" x14ac:dyDescent="0.2">
      <c r="A242" s="172"/>
      <c r="B242" s="164"/>
      <c r="C242" s="171"/>
      <c r="D242" s="41" t="s">
        <v>341</v>
      </c>
      <c r="E242" s="695" t="s">
        <v>269</v>
      </c>
      <c r="F242" s="1035" t="s">
        <v>134</v>
      </c>
      <c r="G242" s="1165">
        <v>75</v>
      </c>
      <c r="H242" s="1223">
        <v>75</v>
      </c>
      <c r="I242" s="1219">
        <v>75</v>
      </c>
      <c r="J242" s="1221"/>
      <c r="K242" s="1223">
        <v>75</v>
      </c>
      <c r="L242" s="1219">
        <v>75</v>
      </c>
      <c r="M242" s="1222"/>
      <c r="N242" s="93" t="s">
        <v>70</v>
      </c>
      <c r="O242" s="13">
        <v>3</v>
      </c>
      <c r="P242" s="90">
        <v>3</v>
      </c>
      <c r="Q242" s="275">
        <v>3</v>
      </c>
    </row>
    <row r="243" spans="1:20" ht="18" customHeight="1" x14ac:dyDescent="0.2">
      <c r="A243" s="172"/>
      <c r="B243" s="164"/>
      <c r="C243" s="171"/>
      <c r="D243" s="831" t="s">
        <v>335</v>
      </c>
      <c r="E243" s="821" t="s">
        <v>274</v>
      </c>
      <c r="F243" s="1032" t="s">
        <v>134</v>
      </c>
      <c r="G243" s="1146">
        <v>16.399999999999999</v>
      </c>
      <c r="H243" s="1252">
        <v>16.399999999999999</v>
      </c>
      <c r="I243" s="1033">
        <v>16.399999999999999</v>
      </c>
      <c r="J243" s="1170"/>
      <c r="K243" s="1343">
        <v>16.399999999999999</v>
      </c>
      <c r="L243" s="1220">
        <v>16.399999999999999</v>
      </c>
      <c r="M243" s="1230"/>
      <c r="N243" s="54" t="s">
        <v>70</v>
      </c>
      <c r="O243" s="71">
        <v>90</v>
      </c>
      <c r="P243" s="92">
        <v>90</v>
      </c>
      <c r="Q243" s="215">
        <v>90</v>
      </c>
    </row>
    <row r="244" spans="1:20" ht="16.899999999999999" customHeight="1" thickBot="1" x14ac:dyDescent="0.25">
      <c r="A244" s="188"/>
      <c r="B244" s="189"/>
      <c r="C244" s="190"/>
      <c r="D244" s="315"/>
      <c r="E244" s="816"/>
      <c r="F244" s="39" t="s">
        <v>12</v>
      </c>
      <c r="G244" s="266">
        <f t="shared" ref="G244:M244" si="25">SUM(G223:G225)</f>
        <v>2713.4</v>
      </c>
      <c r="H244" s="36">
        <f t="shared" si="25"/>
        <v>2277.8000000000002</v>
      </c>
      <c r="I244" s="108">
        <f t="shared" si="25"/>
        <v>2277.8000000000002</v>
      </c>
      <c r="J244" s="106">
        <f t="shared" si="25"/>
        <v>0</v>
      </c>
      <c r="K244" s="36">
        <f t="shared" si="25"/>
        <v>2284.7000000000003</v>
      </c>
      <c r="L244" s="108">
        <f t="shared" si="25"/>
        <v>2284.7000000000003</v>
      </c>
      <c r="M244" s="111">
        <f t="shared" si="25"/>
        <v>0</v>
      </c>
      <c r="N244" s="852"/>
      <c r="O244" s="12"/>
      <c r="P244" s="401"/>
      <c r="Q244" s="367"/>
    </row>
    <row r="245" spans="1:20" s="205" customFormat="1" ht="19.5" customHeight="1" x14ac:dyDescent="0.2">
      <c r="A245" s="1551" t="s">
        <v>13</v>
      </c>
      <c r="B245" s="1553" t="s">
        <v>15</v>
      </c>
      <c r="C245" s="219" t="s">
        <v>13</v>
      </c>
      <c r="D245" s="1555" t="s">
        <v>140</v>
      </c>
      <c r="E245" s="1557" t="s">
        <v>269</v>
      </c>
      <c r="F245" s="465" t="s">
        <v>11</v>
      </c>
      <c r="G245" s="1166">
        <v>33</v>
      </c>
      <c r="H245" s="1307">
        <v>33</v>
      </c>
      <c r="I245" s="729">
        <v>33</v>
      </c>
      <c r="J245" s="728"/>
      <c r="K245" s="1234">
        <v>33</v>
      </c>
      <c r="L245" s="1200">
        <v>33</v>
      </c>
      <c r="M245" s="1218"/>
      <c r="N245" s="1559" t="s">
        <v>124</v>
      </c>
      <c r="O245" s="11">
        <v>300</v>
      </c>
      <c r="P245" s="400">
        <v>300</v>
      </c>
      <c r="Q245" s="368">
        <v>300</v>
      </c>
    </row>
    <row r="246" spans="1:20" s="205" customFormat="1" ht="15" customHeight="1" thickBot="1" x14ac:dyDescent="0.25">
      <c r="A246" s="1552"/>
      <c r="B246" s="1554"/>
      <c r="C246" s="236"/>
      <c r="D246" s="1556"/>
      <c r="E246" s="1558"/>
      <c r="F246" s="39" t="s">
        <v>12</v>
      </c>
      <c r="G246" s="440">
        <f t="shared" ref="G246:H246" si="26">SUM(G245:G245)</f>
        <v>33</v>
      </c>
      <c r="H246" s="1193">
        <f t="shared" si="26"/>
        <v>33</v>
      </c>
      <c r="I246" s="1201">
        <f t="shared" ref="I246:J246" si="27">SUM(I245:I245)</f>
        <v>33</v>
      </c>
      <c r="J246" s="1202">
        <f t="shared" si="27"/>
        <v>0</v>
      </c>
      <c r="K246" s="1193">
        <f t="shared" ref="K246:M246" si="28">SUM(K245:K245)</f>
        <v>33</v>
      </c>
      <c r="L246" s="1201">
        <f t="shared" si="28"/>
        <v>33</v>
      </c>
      <c r="M246" s="1199">
        <f t="shared" si="28"/>
        <v>0</v>
      </c>
      <c r="N246" s="1560"/>
      <c r="O246" s="12"/>
      <c r="P246" s="401"/>
      <c r="Q246" s="366"/>
    </row>
    <row r="247" spans="1:20" ht="27" customHeight="1" x14ac:dyDescent="0.2">
      <c r="A247" s="184" t="s">
        <v>13</v>
      </c>
      <c r="B247" s="185" t="s">
        <v>15</v>
      </c>
      <c r="C247" s="218" t="s">
        <v>15</v>
      </c>
      <c r="D247" s="984" t="s">
        <v>84</v>
      </c>
      <c r="E247" s="1557" t="s">
        <v>269</v>
      </c>
      <c r="F247" s="976" t="s">
        <v>11</v>
      </c>
      <c r="G247" s="1115">
        <v>30</v>
      </c>
      <c r="H247" s="1255">
        <v>30</v>
      </c>
      <c r="I247" s="1217">
        <v>30</v>
      </c>
      <c r="J247" s="110"/>
      <c r="K247" s="1255">
        <v>30</v>
      </c>
      <c r="L247" s="1217">
        <v>30</v>
      </c>
      <c r="M247" s="99"/>
      <c r="N247" s="148" t="s">
        <v>100</v>
      </c>
      <c r="O247" s="11">
        <v>2</v>
      </c>
      <c r="P247" s="400">
        <v>2</v>
      </c>
      <c r="Q247" s="389">
        <v>2</v>
      </c>
    </row>
    <row r="248" spans="1:20" ht="15" customHeight="1" thickBot="1" x14ac:dyDescent="0.25">
      <c r="A248" s="188"/>
      <c r="B248" s="189"/>
      <c r="C248" s="237"/>
      <c r="D248" s="335"/>
      <c r="E248" s="1558"/>
      <c r="F248" s="39" t="s">
        <v>12</v>
      </c>
      <c r="G248" s="266">
        <f t="shared" ref="G248:M248" si="29">SUM(G247:G247)</f>
        <v>30</v>
      </c>
      <c r="H248" s="36">
        <f t="shared" si="29"/>
        <v>30</v>
      </c>
      <c r="I248" s="108">
        <f t="shared" si="29"/>
        <v>30</v>
      </c>
      <c r="J248" s="106">
        <f t="shared" si="29"/>
        <v>0</v>
      </c>
      <c r="K248" s="36">
        <f t="shared" si="29"/>
        <v>30</v>
      </c>
      <c r="L248" s="108">
        <f t="shared" si="29"/>
        <v>30</v>
      </c>
      <c r="M248" s="111">
        <f t="shared" si="29"/>
        <v>0</v>
      </c>
      <c r="N248" s="852"/>
      <c r="O248" s="14"/>
      <c r="P248" s="402"/>
      <c r="Q248" s="360"/>
    </row>
    <row r="249" spans="1:20" ht="15.75" customHeight="1" x14ac:dyDescent="0.2">
      <c r="A249" s="184" t="s">
        <v>13</v>
      </c>
      <c r="B249" s="185" t="s">
        <v>15</v>
      </c>
      <c r="C249" s="83" t="s">
        <v>17</v>
      </c>
      <c r="D249" s="1537" t="s">
        <v>58</v>
      </c>
      <c r="E249" s="238"/>
      <c r="F249" s="412" t="s">
        <v>11</v>
      </c>
      <c r="G249" s="421">
        <v>109.6</v>
      </c>
      <c r="H249" s="1253">
        <v>49.7</v>
      </c>
      <c r="I249" s="142">
        <v>49.7</v>
      </c>
      <c r="J249" s="179"/>
      <c r="K249" s="1253">
        <v>49.7</v>
      </c>
      <c r="L249" s="142">
        <v>49.7</v>
      </c>
      <c r="M249" s="143"/>
      <c r="N249" s="1008"/>
      <c r="O249" s="391"/>
      <c r="P249" s="387"/>
      <c r="Q249" s="362"/>
    </row>
    <row r="250" spans="1:20" ht="17.25" customHeight="1" x14ac:dyDescent="0.2">
      <c r="A250" s="172"/>
      <c r="B250" s="164"/>
      <c r="C250" s="233"/>
      <c r="D250" s="1538"/>
      <c r="E250" s="131"/>
      <c r="F250" s="975" t="s">
        <v>63</v>
      </c>
      <c r="G250" s="1114">
        <v>18.5</v>
      </c>
      <c r="H250" s="1254"/>
      <c r="I250" s="1197"/>
      <c r="J250" s="1191"/>
      <c r="K250" s="1254"/>
      <c r="L250" s="1197"/>
      <c r="M250" s="1192"/>
      <c r="N250" s="985"/>
      <c r="O250" s="977"/>
      <c r="P250" s="978"/>
      <c r="Q250" s="360"/>
      <c r="S250" s="1030" t="s">
        <v>11</v>
      </c>
      <c r="T250" s="1081">
        <f>G251+G252+G253+G254</f>
        <v>109.6</v>
      </c>
    </row>
    <row r="251" spans="1:20" s="19" customFormat="1" ht="31.15" customHeight="1" x14ac:dyDescent="0.2">
      <c r="A251" s="172"/>
      <c r="B251" s="164"/>
      <c r="C251" s="213"/>
      <c r="D251" s="1539" t="s">
        <v>56</v>
      </c>
      <c r="E251" s="501" t="s">
        <v>269</v>
      </c>
      <c r="F251" s="1084" t="s">
        <v>134</v>
      </c>
      <c r="G251" s="1165">
        <v>12.7</v>
      </c>
      <c r="H251" s="1223">
        <v>12.7</v>
      </c>
      <c r="I251" s="1219">
        <v>12.7</v>
      </c>
      <c r="J251" s="1221"/>
      <c r="K251" s="1223">
        <v>12.7</v>
      </c>
      <c r="L251" s="1219">
        <v>12.7</v>
      </c>
      <c r="M251" s="1222"/>
      <c r="N251" s="308" t="s">
        <v>101</v>
      </c>
      <c r="O251" s="580">
        <v>79</v>
      </c>
      <c r="P251" s="94">
        <v>79</v>
      </c>
      <c r="Q251" s="275">
        <v>79</v>
      </c>
      <c r="S251" s="1082"/>
      <c r="T251" s="1081"/>
    </row>
    <row r="252" spans="1:20" s="19" customFormat="1" ht="43.9" customHeight="1" x14ac:dyDescent="0.2">
      <c r="A252" s="172"/>
      <c r="B252" s="164"/>
      <c r="C252" s="213"/>
      <c r="D252" s="1540"/>
      <c r="E252" s="239"/>
      <c r="F252" s="1084" t="s">
        <v>134</v>
      </c>
      <c r="G252" s="1165">
        <v>37</v>
      </c>
      <c r="H252" s="1223">
        <v>37</v>
      </c>
      <c r="I252" s="1219">
        <v>37</v>
      </c>
      <c r="J252" s="1221"/>
      <c r="K252" s="1223">
        <v>37</v>
      </c>
      <c r="L252" s="1219">
        <v>37</v>
      </c>
      <c r="M252" s="1222"/>
      <c r="N252" s="308" t="s">
        <v>322</v>
      </c>
      <c r="O252" s="580">
        <v>27</v>
      </c>
      <c r="P252" s="94">
        <v>27</v>
      </c>
      <c r="Q252" s="531">
        <v>27</v>
      </c>
    </row>
    <row r="253" spans="1:20" s="19" customFormat="1" ht="29.25" customHeight="1" x14ac:dyDescent="0.2">
      <c r="A253" s="172"/>
      <c r="B253" s="167"/>
      <c r="C253" s="213"/>
      <c r="D253" s="1539" t="s">
        <v>342</v>
      </c>
      <c r="E253" s="812" t="s">
        <v>270</v>
      </c>
      <c r="F253" s="1084" t="s">
        <v>134</v>
      </c>
      <c r="G253" s="1145">
        <v>0.5</v>
      </c>
      <c r="H253" s="1251"/>
      <c r="I253" s="1227"/>
      <c r="J253" s="1228"/>
      <c r="K253" s="1223"/>
      <c r="L253" s="1219"/>
      <c r="M253" s="1222"/>
      <c r="N253" s="316" t="s">
        <v>299</v>
      </c>
      <c r="O253" s="1022">
        <v>2</v>
      </c>
      <c r="P253" s="265"/>
      <c r="Q253" s="126"/>
      <c r="R253" s="292"/>
    </row>
    <row r="254" spans="1:20" ht="19.5" customHeight="1" x14ac:dyDescent="0.2">
      <c r="A254" s="172"/>
      <c r="B254" s="167"/>
      <c r="C254" s="213"/>
      <c r="D254" s="1541"/>
      <c r="E254" s="701"/>
      <c r="F254" s="1084" t="s">
        <v>134</v>
      </c>
      <c r="G254" s="1167">
        <v>59.4</v>
      </c>
      <c r="H254" s="1251"/>
      <c r="I254" s="1227"/>
      <c r="J254" s="1228"/>
      <c r="K254" s="1223"/>
      <c r="L254" s="1219"/>
      <c r="M254" s="1222"/>
      <c r="N254" s="1543" t="s">
        <v>125</v>
      </c>
      <c r="O254" s="580">
        <v>5</v>
      </c>
      <c r="P254" s="755"/>
      <c r="Q254" s="754"/>
      <c r="R254" s="292"/>
    </row>
    <row r="255" spans="1:20" ht="19.5" customHeight="1" x14ac:dyDescent="0.2">
      <c r="A255" s="172"/>
      <c r="B255" s="167"/>
      <c r="C255" s="213"/>
      <c r="D255" s="1541"/>
      <c r="E255" s="141"/>
      <c r="F255" s="1083" t="s">
        <v>221</v>
      </c>
      <c r="G255" s="1168">
        <v>18.5</v>
      </c>
      <c r="H255" s="1252"/>
      <c r="I255" s="1033"/>
      <c r="J255" s="1170"/>
      <c r="K255" s="1343"/>
      <c r="L255" s="1220"/>
      <c r="M255" s="1230"/>
      <c r="N255" s="1544"/>
      <c r="O255" s="281"/>
      <c r="P255" s="765"/>
      <c r="Q255" s="215"/>
      <c r="R255" s="292"/>
    </row>
    <row r="256" spans="1:20" ht="14.25" customHeight="1" thickBot="1" x14ac:dyDescent="0.25">
      <c r="A256" s="172"/>
      <c r="B256" s="164"/>
      <c r="C256" s="212"/>
      <c r="D256" s="1542"/>
      <c r="E256" s="141"/>
      <c r="F256" s="317" t="s">
        <v>12</v>
      </c>
      <c r="G256" s="266">
        <f t="shared" ref="G256:M256" si="30">SUM(G251:G255)</f>
        <v>128.1</v>
      </c>
      <c r="H256" s="36">
        <f t="shared" si="30"/>
        <v>49.7</v>
      </c>
      <c r="I256" s="108">
        <f t="shared" si="30"/>
        <v>49.7</v>
      </c>
      <c r="J256" s="106">
        <f t="shared" si="30"/>
        <v>0</v>
      </c>
      <c r="K256" s="36">
        <f t="shared" si="30"/>
        <v>49.7</v>
      </c>
      <c r="L256" s="108">
        <f t="shared" si="30"/>
        <v>49.7</v>
      </c>
      <c r="M256" s="111">
        <f t="shared" si="30"/>
        <v>0</v>
      </c>
      <c r="N256" s="1545"/>
      <c r="O256" s="406"/>
      <c r="P256" s="399"/>
      <c r="Q256" s="298"/>
      <c r="R256" s="292"/>
    </row>
    <row r="257" spans="1:22" ht="16.149999999999999" customHeight="1" x14ac:dyDescent="0.2">
      <c r="A257" s="184" t="s">
        <v>13</v>
      </c>
      <c r="B257" s="185" t="s">
        <v>15</v>
      </c>
      <c r="C257" s="240" t="s">
        <v>18</v>
      </c>
      <c r="D257" s="274" t="s">
        <v>206</v>
      </c>
      <c r="E257" s="704" t="s">
        <v>269</v>
      </c>
      <c r="F257" s="1239" t="s">
        <v>11</v>
      </c>
      <c r="G257" s="421">
        <v>3796.2</v>
      </c>
      <c r="H257" s="1308">
        <v>3809.1</v>
      </c>
      <c r="I257" s="1311">
        <f>3809.1-200</f>
        <v>3609.1</v>
      </c>
      <c r="J257" s="1315">
        <f>+I257-H257</f>
        <v>-200</v>
      </c>
      <c r="K257" s="1308">
        <v>3809.1</v>
      </c>
      <c r="L257" s="1311">
        <f>3809.1-200</f>
        <v>3609.1</v>
      </c>
      <c r="M257" s="1315">
        <f>+L257-K257</f>
        <v>-200</v>
      </c>
      <c r="N257" s="148"/>
      <c r="O257" s="186"/>
      <c r="P257" s="274"/>
      <c r="Q257" s="513"/>
      <c r="S257" s="1088"/>
      <c r="T257" s="1088"/>
      <c r="U257" s="1088"/>
      <c r="V257" s="1088"/>
    </row>
    <row r="258" spans="1:22" ht="11.25" customHeight="1" x14ac:dyDescent="0.2">
      <c r="A258" s="172"/>
      <c r="B258" s="164"/>
      <c r="C258" s="165"/>
      <c r="D258" s="997"/>
      <c r="E258" s="224"/>
      <c r="F258" s="975" t="s">
        <v>14</v>
      </c>
      <c r="G258" s="1114">
        <v>11.5</v>
      </c>
      <c r="H258" s="1254">
        <v>12</v>
      </c>
      <c r="I258" s="1197">
        <v>12</v>
      </c>
      <c r="J258" s="100"/>
      <c r="K258" s="1254">
        <v>12</v>
      </c>
      <c r="L258" s="1197">
        <v>12</v>
      </c>
      <c r="M258" s="1192"/>
      <c r="N258" s="54"/>
      <c r="O258" s="14"/>
      <c r="P258" s="997"/>
      <c r="Q258" s="986"/>
      <c r="S258" s="1030" t="s">
        <v>11</v>
      </c>
      <c r="T258" s="1081">
        <f>G259+G260+G261</f>
        <v>3796.2</v>
      </c>
      <c r="U258" s="1081">
        <f>H259+H260+H261</f>
        <v>3809.1</v>
      </c>
      <c r="V258" s="1081">
        <f>M259+M260+M261</f>
        <v>-200</v>
      </c>
    </row>
    <row r="259" spans="1:22" ht="15.75" customHeight="1" x14ac:dyDescent="0.2">
      <c r="A259" s="172"/>
      <c r="B259" s="164"/>
      <c r="C259" s="171"/>
      <c r="D259" s="998" t="s">
        <v>207</v>
      </c>
      <c r="E259" s="224"/>
      <c r="F259" s="1116" t="s">
        <v>134</v>
      </c>
      <c r="G259" s="1226">
        <v>3036.7</v>
      </c>
      <c r="H259" s="1264">
        <v>3040</v>
      </c>
      <c r="I259" s="1117">
        <f>3040-200</f>
        <v>2840</v>
      </c>
      <c r="J259" s="1122">
        <f>+I259-H259</f>
        <v>-200</v>
      </c>
      <c r="K259" s="1264">
        <v>3040</v>
      </c>
      <c r="L259" s="1117">
        <f>3040-200</f>
        <v>2840</v>
      </c>
      <c r="M259" s="1122">
        <f>+L259-K259</f>
        <v>-200</v>
      </c>
      <c r="N259" s="54" t="s">
        <v>70</v>
      </c>
      <c r="O259" s="71">
        <v>92</v>
      </c>
      <c r="P259" s="92">
        <v>92</v>
      </c>
      <c r="Q259" s="298">
        <v>92</v>
      </c>
      <c r="S259" s="1088"/>
      <c r="T259" s="1089"/>
      <c r="U259" s="1089"/>
      <c r="V259" s="1089"/>
    </row>
    <row r="260" spans="1:22" ht="16.149999999999999" customHeight="1" x14ac:dyDescent="0.2">
      <c r="A260" s="172"/>
      <c r="B260" s="164"/>
      <c r="C260" s="171"/>
      <c r="D260" s="521" t="s">
        <v>208</v>
      </c>
      <c r="E260" s="139" t="s">
        <v>269</v>
      </c>
      <c r="F260" s="1034" t="s">
        <v>134</v>
      </c>
      <c r="G260" s="1165">
        <v>750.4</v>
      </c>
      <c r="H260" s="1223">
        <v>760</v>
      </c>
      <c r="I260" s="1219">
        <v>760</v>
      </c>
      <c r="J260" s="1222"/>
      <c r="K260" s="1223">
        <v>760</v>
      </c>
      <c r="L260" s="1219">
        <v>760</v>
      </c>
      <c r="M260" s="1222"/>
      <c r="N260" s="1546" t="s">
        <v>325</v>
      </c>
      <c r="O260" s="1">
        <v>90</v>
      </c>
      <c r="P260" s="744">
        <v>90</v>
      </c>
      <c r="Q260" s="746">
        <v>90</v>
      </c>
      <c r="S260" s="1088"/>
      <c r="T260" s="1089"/>
      <c r="U260" s="1089"/>
      <c r="V260" s="1080"/>
    </row>
    <row r="261" spans="1:22" ht="16.149999999999999" customHeight="1" x14ac:dyDescent="0.2">
      <c r="A261" s="172"/>
      <c r="B261" s="164"/>
      <c r="C261" s="171"/>
      <c r="D261" s="521"/>
      <c r="E261" s="145"/>
      <c r="F261" s="1034" t="s">
        <v>134</v>
      </c>
      <c r="G261" s="1167">
        <v>9.1</v>
      </c>
      <c r="H261" s="1309">
        <v>9.1</v>
      </c>
      <c r="I261" s="1086">
        <v>9.1</v>
      </c>
      <c r="J261" s="1142"/>
      <c r="K261" s="1309">
        <v>9.1</v>
      </c>
      <c r="L261" s="1086">
        <v>9.1</v>
      </c>
      <c r="M261" s="1142"/>
      <c r="N261" s="1547"/>
      <c r="O261" s="745"/>
      <c r="P261" s="743"/>
      <c r="Q261" s="298"/>
    </row>
    <row r="262" spans="1:22" ht="15" customHeight="1" x14ac:dyDescent="0.2">
      <c r="A262" s="172"/>
      <c r="B262" s="164"/>
      <c r="C262" s="171"/>
      <c r="D262" s="747"/>
      <c r="E262" s="145"/>
      <c r="F262" s="1032" t="s">
        <v>219</v>
      </c>
      <c r="G262" s="1168">
        <v>11.5</v>
      </c>
      <c r="H262" s="1310">
        <v>12</v>
      </c>
      <c r="I262" s="1085">
        <v>12</v>
      </c>
      <c r="J262" s="1316"/>
      <c r="K262" s="1310">
        <v>12</v>
      </c>
      <c r="L262" s="1085">
        <v>12</v>
      </c>
      <c r="M262" s="1316"/>
      <c r="N262" s="1547"/>
      <c r="O262" s="1087"/>
      <c r="P262" s="978"/>
      <c r="Q262" s="986"/>
    </row>
    <row r="263" spans="1:22" ht="15" customHeight="1" thickBot="1" x14ac:dyDescent="0.25">
      <c r="A263" s="172"/>
      <c r="B263" s="164"/>
      <c r="C263" s="212"/>
      <c r="D263" s="511"/>
      <c r="E263" s="141"/>
      <c r="F263" s="317" t="s">
        <v>12</v>
      </c>
      <c r="G263" s="266">
        <f t="shared" ref="G263:M263" si="31">SUM(G257:G258)</f>
        <v>3807.7</v>
      </c>
      <c r="H263" s="36">
        <f t="shared" si="31"/>
        <v>3821.1</v>
      </c>
      <c r="I263" s="1243">
        <f t="shared" si="31"/>
        <v>3621.1</v>
      </c>
      <c r="J263" s="1281">
        <f t="shared" si="31"/>
        <v>-200</v>
      </c>
      <c r="K263" s="36">
        <f t="shared" si="31"/>
        <v>3821.1</v>
      </c>
      <c r="L263" s="1243">
        <f t="shared" si="31"/>
        <v>3621.1</v>
      </c>
      <c r="M263" s="1322">
        <f t="shared" si="31"/>
        <v>-200</v>
      </c>
      <c r="N263" s="973"/>
      <c r="O263" s="516"/>
      <c r="P263" s="979"/>
      <c r="Q263" s="982"/>
    </row>
    <row r="264" spans="1:22" ht="14.25" customHeight="1" thickBot="1" x14ac:dyDescent="0.25">
      <c r="A264" s="241" t="s">
        <v>13</v>
      </c>
      <c r="B264" s="242" t="s">
        <v>15</v>
      </c>
      <c r="C264" s="1548" t="s">
        <v>16</v>
      </c>
      <c r="D264" s="1549"/>
      <c r="E264" s="1549"/>
      <c r="F264" s="1550"/>
      <c r="G264" s="425">
        <f t="shared" ref="G264:M264" si="32">G246+G248+G256+G244+G263</f>
        <v>6712.2</v>
      </c>
      <c r="H264" s="196">
        <f t="shared" si="32"/>
        <v>6211.6</v>
      </c>
      <c r="I264" s="1312">
        <f t="shared" si="32"/>
        <v>6011.6</v>
      </c>
      <c r="J264" s="1317">
        <f t="shared" si="32"/>
        <v>-200</v>
      </c>
      <c r="K264" s="196">
        <f t="shared" si="32"/>
        <v>6218.5</v>
      </c>
      <c r="L264" s="1312">
        <f t="shared" si="32"/>
        <v>6018.5</v>
      </c>
      <c r="M264" s="1323">
        <f t="shared" si="32"/>
        <v>-200</v>
      </c>
      <c r="N264" s="217"/>
      <c r="O264" s="403"/>
      <c r="P264" s="403"/>
      <c r="Q264" s="346"/>
    </row>
    <row r="265" spans="1:22" s="64" customFormat="1" ht="14.25" customHeight="1" thickBot="1" x14ac:dyDescent="0.25">
      <c r="A265" s="241" t="s">
        <v>13</v>
      </c>
      <c r="B265" s="1523" t="s">
        <v>5</v>
      </c>
      <c r="C265" s="1524"/>
      <c r="D265" s="1524"/>
      <c r="E265" s="1524"/>
      <c r="F265" s="1525"/>
      <c r="G265" s="448">
        <f t="shared" ref="G265:M265" si="33">G264+G221+G199</f>
        <v>21411.899999999998</v>
      </c>
      <c r="H265" s="243">
        <f t="shared" si="33"/>
        <v>19585.8</v>
      </c>
      <c r="I265" s="1313">
        <f t="shared" si="33"/>
        <v>19985.8</v>
      </c>
      <c r="J265" s="1318">
        <f t="shared" si="33"/>
        <v>400</v>
      </c>
      <c r="K265" s="243">
        <f t="shared" si="33"/>
        <v>12605.3</v>
      </c>
      <c r="L265" s="1313">
        <f t="shared" si="33"/>
        <v>13005.3</v>
      </c>
      <c r="M265" s="1324">
        <f t="shared" si="33"/>
        <v>400</v>
      </c>
      <c r="N265" s="245"/>
      <c r="O265" s="202"/>
      <c r="P265" s="202"/>
      <c r="Q265" s="203"/>
    </row>
    <row r="266" spans="1:22" s="64" customFormat="1" ht="14.25" customHeight="1" thickBot="1" x14ac:dyDescent="0.25">
      <c r="A266" s="246" t="s">
        <v>4</v>
      </c>
      <c r="B266" s="1526" t="s">
        <v>6</v>
      </c>
      <c r="C266" s="1527"/>
      <c r="D266" s="1527"/>
      <c r="E266" s="1527"/>
      <c r="F266" s="1528"/>
      <c r="G266" s="449">
        <f t="shared" ref="G266:M266" si="34">G265+G113</f>
        <v>142426.49999999997</v>
      </c>
      <c r="H266" s="247">
        <f t="shared" si="34"/>
        <v>140305.59999999998</v>
      </c>
      <c r="I266" s="1314">
        <f t="shared" si="34"/>
        <v>140705.59999999998</v>
      </c>
      <c r="J266" s="1319">
        <f t="shared" si="34"/>
        <v>400</v>
      </c>
      <c r="K266" s="247">
        <f t="shared" si="34"/>
        <v>132334.9</v>
      </c>
      <c r="L266" s="1314">
        <f t="shared" si="34"/>
        <v>132734.9</v>
      </c>
      <c r="M266" s="1325">
        <f t="shared" si="34"/>
        <v>400</v>
      </c>
      <c r="N266" s="249"/>
      <c r="O266" s="250"/>
      <c r="P266" s="250"/>
      <c r="Q266" s="251"/>
    </row>
    <row r="267" spans="1:22" s="64" customFormat="1" ht="14.25" customHeight="1" x14ac:dyDescent="0.2">
      <c r="A267" s="1529" t="s">
        <v>532</v>
      </c>
      <c r="B267" s="1529"/>
      <c r="C267" s="1529"/>
      <c r="D267" s="1529"/>
      <c r="E267" s="1529"/>
      <c r="F267" s="1529"/>
      <c r="G267" s="1529"/>
      <c r="H267" s="1529"/>
      <c r="I267" s="1529"/>
      <c r="J267" s="1529"/>
      <c r="K267" s="1529"/>
      <c r="L267" s="1529"/>
      <c r="M267" s="1529"/>
      <c r="N267" s="1529"/>
      <c r="O267" s="1529"/>
      <c r="P267" s="1529"/>
      <c r="Q267" s="1529"/>
    </row>
    <row r="268" spans="1:22" s="64" customFormat="1" ht="14.25" customHeight="1" x14ac:dyDescent="0.2">
      <c r="A268" s="452"/>
      <c r="B268" s="452"/>
      <c r="C268" s="452"/>
      <c r="D268" s="452"/>
      <c r="E268" s="452"/>
      <c r="F268" s="452"/>
      <c r="G268" s="452"/>
      <c r="H268" s="452"/>
      <c r="I268" s="1111"/>
      <c r="J268" s="1111"/>
      <c r="K268" s="1111"/>
      <c r="L268" s="1111"/>
      <c r="M268" s="452"/>
      <c r="N268" s="452"/>
      <c r="O268" s="452"/>
      <c r="P268" s="452"/>
      <c r="Q268" s="452"/>
    </row>
    <row r="269" spans="1:22" s="64" customFormat="1" ht="18" customHeight="1" thickBot="1" x14ac:dyDescent="0.25">
      <c r="A269" s="1530" t="s">
        <v>0</v>
      </c>
      <c r="B269" s="1530"/>
      <c r="C269" s="1530"/>
      <c r="D269" s="1530"/>
      <c r="E269" s="1530"/>
      <c r="F269" s="1530"/>
      <c r="G269" s="1530"/>
      <c r="H269" s="1530"/>
      <c r="I269" s="1530"/>
      <c r="J269" s="1530"/>
      <c r="K269" s="1530"/>
      <c r="L269" s="1530"/>
      <c r="M269" s="1530"/>
      <c r="N269" s="252"/>
      <c r="O269" s="252"/>
      <c r="P269" s="252"/>
      <c r="Q269" s="252"/>
    </row>
    <row r="270" spans="1:22" s="64" customFormat="1" ht="99" customHeight="1" thickBot="1" x14ac:dyDescent="0.25">
      <c r="A270" s="1531" t="s">
        <v>1</v>
      </c>
      <c r="B270" s="1532"/>
      <c r="C270" s="1532"/>
      <c r="D270" s="1532"/>
      <c r="E270" s="1532"/>
      <c r="F270" s="1533"/>
      <c r="G270" s="477" t="s">
        <v>247</v>
      </c>
      <c r="H270" s="1187" t="s">
        <v>498</v>
      </c>
      <c r="I270" s="1205" t="s">
        <v>536</v>
      </c>
      <c r="J270" s="1189" t="s">
        <v>534</v>
      </c>
      <c r="K270" s="1188" t="s">
        <v>253</v>
      </c>
      <c r="L270" s="1205" t="s">
        <v>537</v>
      </c>
      <c r="M270" s="1206" t="s">
        <v>534</v>
      </c>
      <c r="N270" s="49"/>
      <c r="O270" s="49"/>
      <c r="P270" s="49"/>
      <c r="Q270" s="15"/>
    </row>
    <row r="271" spans="1:22" s="64" customFormat="1" ht="13.5" customHeight="1" x14ac:dyDescent="0.2">
      <c r="A271" s="1534" t="s">
        <v>500</v>
      </c>
      <c r="B271" s="1535"/>
      <c r="C271" s="1535"/>
      <c r="D271" s="1535"/>
      <c r="E271" s="1535"/>
      <c r="F271" s="1536"/>
      <c r="G271" s="253">
        <f t="shared" ref="G271:M271" si="35">+G272+G278+G279+G280+G281</f>
        <v>142236.6</v>
      </c>
      <c r="H271" s="253">
        <f t="shared" si="35"/>
        <v>136974.6</v>
      </c>
      <c r="I271" s="254">
        <f t="shared" si="35"/>
        <v>137374.6</v>
      </c>
      <c r="J271" s="1240">
        <f t="shared" si="35"/>
        <v>400</v>
      </c>
      <c r="K271" s="253">
        <f t="shared" si="35"/>
        <v>130012.5</v>
      </c>
      <c r="L271" s="254">
        <f t="shared" si="35"/>
        <v>130412.5</v>
      </c>
      <c r="M271" s="1244">
        <f t="shared" si="35"/>
        <v>400</v>
      </c>
      <c r="N271" s="49"/>
      <c r="O271" s="49"/>
      <c r="P271" s="49"/>
      <c r="Q271" s="15"/>
    </row>
    <row r="272" spans="1:22" s="64" customFormat="1" ht="13.5" customHeight="1" x14ac:dyDescent="0.2">
      <c r="A272" s="1517" t="s">
        <v>131</v>
      </c>
      <c r="B272" s="1518"/>
      <c r="C272" s="1518"/>
      <c r="D272" s="1518"/>
      <c r="E272" s="1518"/>
      <c r="F272" s="1519"/>
      <c r="G272" s="256">
        <f t="shared" ref="G272:M272" si="36">SUM(G273:G277)</f>
        <v>134384.9</v>
      </c>
      <c r="H272" s="256">
        <f t="shared" si="36"/>
        <v>136974.6</v>
      </c>
      <c r="I272" s="257">
        <f t="shared" si="36"/>
        <v>137374.6</v>
      </c>
      <c r="J272" s="1241">
        <f t="shared" si="36"/>
        <v>400</v>
      </c>
      <c r="K272" s="256">
        <f t="shared" si="36"/>
        <v>130012.5</v>
      </c>
      <c r="L272" s="257">
        <f t="shared" si="36"/>
        <v>130412.5</v>
      </c>
      <c r="M272" s="1245">
        <f t="shared" si="36"/>
        <v>400</v>
      </c>
      <c r="N272" s="49"/>
      <c r="O272" s="49"/>
      <c r="P272" s="49"/>
      <c r="Q272" s="15"/>
      <c r="R272" s="17"/>
    </row>
    <row r="273" spans="1:17" s="64" customFormat="1" ht="14.25" customHeight="1" x14ac:dyDescent="0.2">
      <c r="A273" s="1502" t="s">
        <v>201</v>
      </c>
      <c r="B273" s="1503"/>
      <c r="C273" s="1503"/>
      <c r="D273" s="1503"/>
      <c r="E273" s="1503"/>
      <c r="F273" s="1504"/>
      <c r="G273" s="4">
        <f>SUMIF(F15:F263,"sb",G15:G263)</f>
        <v>57283.099999999991</v>
      </c>
      <c r="H273" s="4">
        <f>SUMIF(F15:F263,"sb",H15:H263)</f>
        <v>64797.299999999988</v>
      </c>
      <c r="I273" s="107">
        <f>SUMIF(F15:F263,"sb",I15:I263)</f>
        <v>65197.299999999988</v>
      </c>
      <c r="J273" s="1242">
        <f>SUMIF(F15:F263,"sb",J15:J263)</f>
        <v>400</v>
      </c>
      <c r="K273" s="4">
        <f>SUMIF(F15:F263,"sb",K15:K263)</f>
        <v>58074.5</v>
      </c>
      <c r="L273" s="107">
        <f>SUMIF(F15:F263,"sb",L15:L263)</f>
        <v>58474.5</v>
      </c>
      <c r="M273" s="1246">
        <f>SUMIF(F15:F263,"sb",M15:M263)</f>
        <v>400</v>
      </c>
      <c r="N273" s="10"/>
      <c r="O273" s="10"/>
      <c r="P273" s="10"/>
      <c r="Q273" s="15"/>
    </row>
    <row r="274" spans="1:17" s="64" customFormat="1" ht="15.75" customHeight="1" x14ac:dyDescent="0.2">
      <c r="A274" s="1502" t="s">
        <v>202</v>
      </c>
      <c r="B274" s="1503"/>
      <c r="C274" s="1503"/>
      <c r="D274" s="1503"/>
      <c r="E274" s="1503"/>
      <c r="F274" s="1504"/>
      <c r="G274" s="4">
        <f>SUMIF(F15:F263,"sb(sp)",G15:G263)</f>
        <v>5105.3</v>
      </c>
      <c r="H274" s="4">
        <f>SUMIF(F15:F263,"sb(sp)",H15:H263)</f>
        <v>5105.5</v>
      </c>
      <c r="I274" s="107">
        <f>SUMIF(F15:F263,"sb(sp)",I15:I263)</f>
        <v>5105.5</v>
      </c>
      <c r="J274" s="1183"/>
      <c r="K274" s="4">
        <f>SUMIF(F15:F263,"sb(sp)",K15:K263)</f>
        <v>5105.3</v>
      </c>
      <c r="L274" s="107">
        <f>SUMIF(F15:F263,"sb(sp)",L15:L263)</f>
        <v>5105.3</v>
      </c>
      <c r="M274" s="1183"/>
      <c r="N274" s="18"/>
      <c r="O274" s="18"/>
      <c r="P274" s="18"/>
      <c r="Q274" s="15"/>
    </row>
    <row r="275" spans="1:17" s="64" customFormat="1" ht="15.75" customHeight="1" x14ac:dyDescent="0.2">
      <c r="A275" s="1502" t="s">
        <v>194</v>
      </c>
      <c r="B275" s="1503"/>
      <c r="C275" s="1503"/>
      <c r="D275" s="1503"/>
      <c r="E275" s="1503"/>
      <c r="F275" s="1504"/>
      <c r="G275" s="4">
        <f>SUMIF(F15:F263,"sb(p)",G15:G263)</f>
        <v>3395.5</v>
      </c>
      <c r="H275" s="4">
        <f>SUMIF(F15:F263,"sb(p)",H15:H263)</f>
        <v>0</v>
      </c>
      <c r="I275" s="107">
        <f>SUMIF(F15:F263,"sb(p)",I15:I263)</f>
        <v>0</v>
      </c>
      <c r="J275" s="1183"/>
      <c r="K275" s="4">
        <f>SUMIF(F15:F263,"sb(p)",K15:K263)</f>
        <v>0</v>
      </c>
      <c r="L275" s="107">
        <f>SUMIF(F15:F263,"sb(p)",L15:L263)</f>
        <v>0</v>
      </c>
      <c r="M275" s="1183"/>
      <c r="N275" s="18"/>
      <c r="O275" s="18"/>
      <c r="P275" s="18"/>
      <c r="Q275" s="15"/>
    </row>
    <row r="276" spans="1:17" s="64" customFormat="1" ht="15.75" customHeight="1" x14ac:dyDescent="0.2">
      <c r="A276" s="1520" t="s">
        <v>203</v>
      </c>
      <c r="B276" s="1521"/>
      <c r="C276" s="1521"/>
      <c r="D276" s="1521"/>
      <c r="E276" s="1521"/>
      <c r="F276" s="1522"/>
      <c r="G276" s="4">
        <f>SUMIF(F15:F262,"sb(vb)",G15:G262)</f>
        <v>67107.5</v>
      </c>
      <c r="H276" s="4">
        <f>SUMIF(F15:F263,"sb(vb)",H15:H263)</f>
        <v>66832.7</v>
      </c>
      <c r="I276" s="107">
        <f>SUMIF(F15:F263,"sb(vb)",I15:I263)</f>
        <v>66832.7</v>
      </c>
      <c r="J276" s="1183"/>
      <c r="K276" s="4">
        <f>SUMIF(F15:F263,"sb(vb)",K15:K263)</f>
        <v>66832.7</v>
      </c>
      <c r="L276" s="107">
        <f>SUMIF(F15:F263,"sb(vb)",L15:L263)</f>
        <v>66832.7</v>
      </c>
      <c r="M276" s="1183"/>
      <c r="N276" s="18"/>
      <c r="O276" s="18"/>
      <c r="P276" s="18"/>
      <c r="Q276" s="15"/>
    </row>
    <row r="277" spans="1:17" ht="28.5" customHeight="1" x14ac:dyDescent="0.2">
      <c r="A277" s="1502" t="s">
        <v>129</v>
      </c>
      <c r="B277" s="1503"/>
      <c r="C277" s="1503"/>
      <c r="D277" s="1503"/>
      <c r="E277" s="1503"/>
      <c r="F277" s="1504"/>
      <c r="G277" s="4">
        <f>SUMIF(F15:F263,"sb(es)",G15:G263)</f>
        <v>1493.5</v>
      </c>
      <c r="H277" s="4">
        <f>SUMIF(F15:F263,"sb(es)",H15:H263)</f>
        <v>239.1</v>
      </c>
      <c r="I277" s="107">
        <f>SUMIF(F15:F263,"sb(es)",I15:I263)</f>
        <v>239.1</v>
      </c>
      <c r="J277" s="1183"/>
      <c r="K277" s="4">
        <f>SUMIF(F15:F263,"sb(es)",K15:K263)</f>
        <v>0</v>
      </c>
      <c r="L277" s="107">
        <f>SUMIF(F15:F263,"sb(es)",L15:L263)</f>
        <v>0</v>
      </c>
      <c r="M277" s="1183"/>
      <c r="N277" s="18"/>
      <c r="O277" s="18"/>
      <c r="P277" s="18"/>
      <c r="Q277" s="15"/>
    </row>
    <row r="278" spans="1:17" ht="15.75" customHeight="1" x14ac:dyDescent="0.2">
      <c r="A278" s="1509" t="s">
        <v>64</v>
      </c>
      <c r="B278" s="1510"/>
      <c r="C278" s="1510"/>
      <c r="D278" s="1510"/>
      <c r="E278" s="1510"/>
      <c r="F278" s="1511"/>
      <c r="G278" s="113">
        <f>SUMIF(F15:F261,"sb(l)",G15:G261)</f>
        <v>7093.4</v>
      </c>
      <c r="H278" s="1214">
        <f>SUMIF(F15:F263,"sb(l)",H15:H263)</f>
        <v>0</v>
      </c>
      <c r="I278" s="1207">
        <f>SUMIF(F15:F263,"sb(l)",I15:I263)</f>
        <v>0</v>
      </c>
      <c r="J278" s="1215"/>
      <c r="K278" s="1214">
        <f>SUMIF(F15:F261,"sb(l)",K15:K261)</f>
        <v>0</v>
      </c>
      <c r="L278" s="1207">
        <f>SUMIF(F15:F261,"sb(l)",L15:L261)</f>
        <v>0</v>
      </c>
      <c r="M278" s="1215"/>
      <c r="N278" s="18"/>
      <c r="O278" s="18"/>
      <c r="P278" s="18"/>
      <c r="Q278" s="15"/>
    </row>
    <row r="279" spans="1:17" ht="27.75" customHeight="1" x14ac:dyDescent="0.2">
      <c r="A279" s="1509" t="s">
        <v>130</v>
      </c>
      <c r="B279" s="1510"/>
      <c r="C279" s="1510"/>
      <c r="D279" s="1510"/>
      <c r="E279" s="1510"/>
      <c r="F279" s="1511"/>
      <c r="G279" s="113">
        <f>SUMIF(F15:F263,"sb(esl)",G15:G263)</f>
        <v>137</v>
      </c>
      <c r="H279" s="1214">
        <f>SUMIF(F22:F263,"sb(esl)",H22:H263)</f>
        <v>0</v>
      </c>
      <c r="I279" s="1207">
        <f>SUMIF(F22:F263,"sb(esl)",I22:I263)</f>
        <v>0</v>
      </c>
      <c r="J279" s="1215"/>
      <c r="K279" s="1214">
        <f>SUMIF(F22:F263,"sb(esl)",K22:K263)</f>
        <v>0</v>
      </c>
      <c r="L279" s="1207">
        <f>SUMIF(F22:F263,"sb(esl)",L22:L263)</f>
        <v>0</v>
      </c>
      <c r="M279" s="1215"/>
      <c r="N279" s="18"/>
      <c r="O279" s="18"/>
      <c r="P279" s="18"/>
      <c r="Q279" s="15"/>
    </row>
    <row r="280" spans="1:17" ht="16.5" customHeight="1" x14ac:dyDescent="0.2">
      <c r="A280" s="1509" t="s">
        <v>45</v>
      </c>
      <c r="B280" s="1510"/>
      <c r="C280" s="1510"/>
      <c r="D280" s="1510"/>
      <c r="E280" s="1510"/>
      <c r="F280" s="1511"/>
      <c r="G280" s="113">
        <f>SUMIF(F15:F263,"sb(spl)",G15:G263)</f>
        <v>620.20000000000005</v>
      </c>
      <c r="H280" s="1214">
        <f>SUMIF(F15:F263,"sb(spl)",H15:H263)</f>
        <v>0</v>
      </c>
      <c r="I280" s="1207">
        <f>SUMIF(F15:F263,"sb(spl)",I15:I263)</f>
        <v>0</v>
      </c>
      <c r="J280" s="1215"/>
      <c r="K280" s="1214">
        <f>SUMIF(F15:F263,"sb(spl)",K15:K263)</f>
        <v>0</v>
      </c>
      <c r="L280" s="1207">
        <f>SUMIF(F15:F263,"sb(spl)",L15:L263)</f>
        <v>0</v>
      </c>
      <c r="M280" s="1215"/>
      <c r="N280" s="18"/>
      <c r="O280" s="18"/>
      <c r="P280" s="18"/>
      <c r="Q280" s="15"/>
    </row>
    <row r="281" spans="1:17" ht="16.5" customHeight="1" x14ac:dyDescent="0.2">
      <c r="A281" s="1509" t="s">
        <v>135</v>
      </c>
      <c r="B281" s="1510"/>
      <c r="C281" s="1510"/>
      <c r="D281" s="1510"/>
      <c r="E281" s="1510"/>
      <c r="F281" s="1511"/>
      <c r="G281" s="113">
        <f>SUMIF(F22:F263,"sb(vbl)",G22:G263)</f>
        <v>1.1000000000000001</v>
      </c>
      <c r="H281" s="1214">
        <f>SUMIF(F22:F263,"sb(vbl)",H22:H263)</f>
        <v>0</v>
      </c>
      <c r="I281" s="1207">
        <f>SUMIF(F22:F263,"sb(vbl)",I22:I263)</f>
        <v>0</v>
      </c>
      <c r="J281" s="1215"/>
      <c r="K281" s="1214">
        <f>SUMIF(F22:F263,"sb(vbl)",K22:K263)</f>
        <v>0</v>
      </c>
      <c r="L281" s="1207">
        <f>SUMIF(F22:F263,"sb(vbl)",L22:L263)</f>
        <v>0</v>
      </c>
      <c r="M281" s="1215"/>
      <c r="N281" s="18"/>
      <c r="O281" s="18"/>
      <c r="P281" s="18"/>
      <c r="Q281" s="15"/>
    </row>
    <row r="282" spans="1:17" ht="17.25" customHeight="1" x14ac:dyDescent="0.2">
      <c r="A282" s="1512" t="s">
        <v>20</v>
      </c>
      <c r="B282" s="1513"/>
      <c r="C282" s="1513"/>
      <c r="D282" s="1513"/>
      <c r="E282" s="1513"/>
      <c r="F282" s="1514"/>
      <c r="G282" s="271">
        <f>SUM(G283:G285)</f>
        <v>189.9</v>
      </c>
      <c r="H282" s="271">
        <f>SUM(H283:H285)</f>
        <v>3331</v>
      </c>
      <c r="I282" s="272">
        <f>SUM(I283:I285)</f>
        <v>3331</v>
      </c>
      <c r="J282" s="1184"/>
      <c r="K282" s="271">
        <f>SUM(K283:K285)</f>
        <v>2322.4</v>
      </c>
      <c r="L282" s="272">
        <f>SUM(L283:L285)</f>
        <v>2322.4</v>
      </c>
      <c r="M282" s="1184"/>
      <c r="N282" s="49"/>
      <c r="O282" s="49"/>
      <c r="P282" s="49"/>
      <c r="Q282" s="15"/>
    </row>
    <row r="283" spans="1:17" ht="17.25" customHeight="1" x14ac:dyDescent="0.2">
      <c r="A283" s="1515" t="s">
        <v>289</v>
      </c>
      <c r="B283" s="1516"/>
      <c r="C283" s="1516"/>
      <c r="D283" s="1516"/>
      <c r="E283" s="708"/>
      <c r="F283" s="708"/>
      <c r="G283" s="709">
        <f>SUMIF(F15:F263,"ES",G15:G263)</f>
        <v>0</v>
      </c>
      <c r="H283" s="8">
        <f>SUMIF(F15:F263,"ES",H15:H263)</f>
        <v>1988</v>
      </c>
      <c r="I283" s="103">
        <f>SUMIF(F15:F263,"ES",I15:I263)</f>
        <v>1988</v>
      </c>
      <c r="J283" s="1100"/>
      <c r="K283" s="709">
        <f>SUMIF(F15:F263,"ES",K15:K263)</f>
        <v>2322.4</v>
      </c>
      <c r="L283" s="1106">
        <f>SUMIF(F15:F263,"ES",L15:L263)</f>
        <v>2322.4</v>
      </c>
      <c r="M283" s="1100"/>
      <c r="N283" s="49"/>
      <c r="O283" s="49"/>
      <c r="P283" s="49"/>
      <c r="Q283" s="15"/>
    </row>
    <row r="284" spans="1:17" ht="15" customHeight="1" x14ac:dyDescent="0.2">
      <c r="A284" s="1502" t="s">
        <v>66</v>
      </c>
      <c r="B284" s="1503"/>
      <c r="C284" s="1503"/>
      <c r="D284" s="1503"/>
      <c r="E284" s="1503"/>
      <c r="F284" s="1504"/>
      <c r="G284" s="114">
        <f>SUMIF(F15:F263,"lrvb",G15:G263)</f>
        <v>0</v>
      </c>
      <c r="H284" s="114">
        <f>SUMIF(F15:F263,"lrvb",H15:H263)</f>
        <v>1343</v>
      </c>
      <c r="I284" s="120">
        <f>SUMIF(F15:F263,"lrvb",I15:I263)</f>
        <v>1343</v>
      </c>
      <c r="J284" s="1185"/>
      <c r="K284" s="114">
        <f>SUMIF(F15:F263,"lrvb",K15:K263)</f>
        <v>0</v>
      </c>
      <c r="L284" s="120">
        <f>SUMIF(F15:F263,"lrvb",L15:L263)</f>
        <v>0</v>
      </c>
      <c r="M284" s="1185"/>
      <c r="N284" s="18"/>
      <c r="O284" s="18"/>
      <c r="P284" s="18"/>
      <c r="Q284" s="15"/>
    </row>
    <row r="285" spans="1:17" ht="15" customHeight="1" x14ac:dyDescent="0.2">
      <c r="A285" s="1502" t="s">
        <v>185</v>
      </c>
      <c r="B285" s="1503"/>
      <c r="C285" s="1503"/>
      <c r="D285" s="1503"/>
      <c r="E285" s="1503"/>
      <c r="F285" s="1504"/>
      <c r="G285" s="115">
        <f>SUMIF(F23:F263,"kt",G23:G263)</f>
        <v>189.9</v>
      </c>
      <c r="H285" s="115">
        <f>SUMIF(F15:F263,"kt",H15:H263)</f>
        <v>0</v>
      </c>
      <c r="I285" s="1208">
        <f>SUMIF(F15:F263,"kt",I15:I263)</f>
        <v>0</v>
      </c>
      <c r="J285" s="1232"/>
      <c r="K285" s="115">
        <f>SUMIF(F23:F263,"kt",K23:K263)</f>
        <v>0</v>
      </c>
      <c r="L285" s="1208">
        <f>SUMIF(F23:F263,"kt",L23:L263)</f>
        <v>0</v>
      </c>
      <c r="M285" s="1232"/>
      <c r="N285" s="18"/>
      <c r="O285" s="18"/>
      <c r="P285" s="18"/>
      <c r="Q285" s="15"/>
    </row>
    <row r="286" spans="1:17" ht="16.5" customHeight="1" thickBot="1" x14ac:dyDescent="0.25">
      <c r="A286" s="1505" t="s">
        <v>21</v>
      </c>
      <c r="B286" s="1506"/>
      <c r="C286" s="1506"/>
      <c r="D286" s="1506"/>
      <c r="E286" s="1506"/>
      <c r="F286" s="1507"/>
      <c r="G286" s="36">
        <f t="shared" ref="G286:M286" si="37">G282+G271</f>
        <v>142426.5</v>
      </c>
      <c r="H286" s="36">
        <f t="shared" si="37"/>
        <v>140305.60000000001</v>
      </c>
      <c r="I286" s="108">
        <f t="shared" si="37"/>
        <v>140705.60000000001</v>
      </c>
      <c r="J286" s="1243">
        <f t="shared" si="37"/>
        <v>400</v>
      </c>
      <c r="K286" s="36">
        <f t="shared" si="37"/>
        <v>132334.9</v>
      </c>
      <c r="L286" s="108">
        <f t="shared" si="37"/>
        <v>132734.9</v>
      </c>
      <c r="M286" s="1247">
        <f t="shared" si="37"/>
        <v>400</v>
      </c>
      <c r="N286" s="49"/>
      <c r="O286" s="49"/>
      <c r="P286" s="49"/>
    </row>
    <row r="287" spans="1:17" ht="22.5" customHeight="1" x14ac:dyDescent="0.2">
      <c r="A287" s="1508" t="s">
        <v>103</v>
      </c>
      <c r="B287" s="1508"/>
      <c r="C287" s="1508"/>
      <c r="D287" s="1508"/>
      <c r="E287" s="1508"/>
      <c r="F287" s="1508"/>
      <c r="G287" s="1508"/>
      <c r="H287" s="1508"/>
      <c r="I287" s="1508"/>
      <c r="J287" s="1508"/>
      <c r="K287" s="1508"/>
      <c r="L287" s="1508"/>
      <c r="M287" s="1508"/>
      <c r="N287" s="1508"/>
      <c r="O287" s="1508"/>
      <c r="P287" s="1508"/>
      <c r="Q287" s="1508"/>
    </row>
    <row r="288" spans="1:17" x14ac:dyDescent="0.2">
      <c r="D288" s="17"/>
      <c r="E288" s="259"/>
      <c r="F288" s="71"/>
      <c r="G288" s="71"/>
      <c r="H288" s="71"/>
      <c r="I288" s="71"/>
      <c r="J288" s="71"/>
      <c r="K288" s="71"/>
      <c r="L288" s="71"/>
      <c r="M288" s="320">
        <f>+M286-M266</f>
        <v>0</v>
      </c>
      <c r="N288" s="14"/>
      <c r="O288" s="14"/>
      <c r="P288" s="14"/>
    </row>
    <row r="289" spans="1:17" x14ac:dyDescent="0.2">
      <c r="D289" s="17"/>
      <c r="E289" s="259"/>
      <c r="F289" s="51"/>
      <c r="G289" s="51"/>
      <c r="H289" s="51"/>
      <c r="I289" s="51"/>
      <c r="J289" s="51"/>
      <c r="K289" s="51"/>
      <c r="L289" s="51"/>
      <c r="M289" s="65"/>
      <c r="N289" s="78"/>
      <c r="O289" s="78"/>
      <c r="P289" s="78"/>
    </row>
    <row r="290" spans="1:17" x14ac:dyDescent="0.2">
      <c r="D290" s="17"/>
      <c r="E290" s="259"/>
      <c r="F290" s="343"/>
      <c r="G290" s="394"/>
      <c r="H290" s="394"/>
      <c r="I290" s="1107"/>
      <c r="J290" s="1107"/>
      <c r="K290" s="1107"/>
      <c r="L290" s="1107"/>
      <c r="M290" s="63"/>
    </row>
    <row r="291" spans="1:17" x14ac:dyDescent="0.2">
      <c r="D291" s="17"/>
      <c r="E291" s="259"/>
      <c r="F291" s="343"/>
      <c r="G291" s="394"/>
      <c r="H291" s="394"/>
      <c r="I291" s="1107"/>
      <c r="J291" s="1107"/>
      <c r="K291" s="1107"/>
      <c r="L291" s="1107"/>
      <c r="M291" s="63"/>
      <c r="Q291" s="17"/>
    </row>
    <row r="292" spans="1:17" x14ac:dyDescent="0.2">
      <c r="D292" s="17"/>
      <c r="E292" s="259"/>
      <c r="F292" s="343"/>
      <c r="G292" s="394"/>
      <c r="H292" s="394"/>
      <c r="I292" s="1107"/>
      <c r="J292" s="1107"/>
      <c r="K292" s="1107"/>
      <c r="L292" s="1107"/>
      <c r="M292" s="63"/>
      <c r="Q292" s="17"/>
    </row>
    <row r="293" spans="1:17" x14ac:dyDescent="0.2">
      <c r="D293" s="17"/>
      <c r="E293" s="259"/>
      <c r="F293" s="343"/>
      <c r="G293" s="394"/>
      <c r="H293" s="394"/>
      <c r="I293" s="1107"/>
      <c r="J293" s="1107"/>
      <c r="K293" s="1107"/>
      <c r="L293" s="1107"/>
      <c r="M293" s="63"/>
      <c r="Q293" s="17"/>
    </row>
    <row r="294" spans="1:17" x14ac:dyDescent="0.2">
      <c r="D294" s="17"/>
      <c r="E294" s="259"/>
      <c r="F294" s="343"/>
      <c r="G294" s="394"/>
      <c r="H294" s="394"/>
      <c r="I294" s="1107"/>
      <c r="J294" s="1107"/>
      <c r="K294" s="1107"/>
      <c r="L294" s="1107"/>
      <c r="M294" s="63"/>
      <c r="Q294" s="17"/>
    </row>
    <row r="295" spans="1:17" x14ac:dyDescent="0.2">
      <c r="D295" s="17"/>
      <c r="E295" s="259"/>
      <c r="F295" s="343"/>
      <c r="G295" s="394"/>
      <c r="H295" s="394"/>
      <c r="I295" s="1107"/>
      <c r="J295" s="1107"/>
      <c r="K295" s="1107"/>
      <c r="L295" s="1107"/>
      <c r="M295" s="63"/>
      <c r="Q295" s="17"/>
    </row>
    <row r="296" spans="1:17" x14ac:dyDescent="0.2">
      <c r="A296" s="260"/>
      <c r="B296" s="260"/>
      <c r="C296" s="260"/>
      <c r="D296" s="17"/>
      <c r="E296" s="259"/>
      <c r="F296" s="343"/>
      <c r="G296" s="394"/>
      <c r="H296" s="394"/>
      <c r="I296" s="1107"/>
      <c r="J296" s="1107"/>
      <c r="K296" s="1107"/>
      <c r="L296" s="1107"/>
      <c r="M296" s="63"/>
      <c r="N296" s="17"/>
      <c r="O296" s="17"/>
      <c r="P296" s="17"/>
      <c r="Q296" s="17"/>
    </row>
    <row r="297" spans="1:17" x14ac:dyDescent="0.2">
      <c r="A297" s="260"/>
      <c r="B297" s="260"/>
      <c r="C297" s="260"/>
      <c r="D297" s="17"/>
      <c r="E297" s="259"/>
      <c r="F297" s="343"/>
      <c r="G297" s="394"/>
      <c r="H297" s="394"/>
      <c r="I297" s="1107"/>
      <c r="J297" s="1107"/>
      <c r="K297" s="1107"/>
      <c r="L297" s="1107"/>
      <c r="M297" s="63"/>
      <c r="N297" s="17"/>
      <c r="O297" s="17"/>
      <c r="P297" s="17"/>
      <c r="Q297" s="17"/>
    </row>
    <row r="298" spans="1:17" x14ac:dyDescent="0.2">
      <c r="A298" s="260"/>
      <c r="B298" s="260"/>
      <c r="C298" s="260"/>
      <c r="D298" s="17"/>
      <c r="E298" s="259"/>
      <c r="F298" s="343"/>
      <c r="G298" s="394"/>
      <c r="H298" s="394"/>
      <c r="I298" s="1107"/>
      <c r="J298" s="1107"/>
      <c r="K298" s="1107"/>
      <c r="L298" s="1107"/>
      <c r="M298" s="63"/>
      <c r="N298" s="17"/>
      <c r="O298" s="17"/>
      <c r="P298" s="17"/>
      <c r="Q298" s="17"/>
    </row>
    <row r="299" spans="1:17" x14ac:dyDescent="0.2">
      <c r="A299" s="260"/>
      <c r="B299" s="260"/>
      <c r="C299" s="260"/>
      <c r="D299" s="17"/>
      <c r="E299" s="259"/>
      <c r="F299" s="343"/>
      <c r="G299" s="394"/>
      <c r="H299" s="394"/>
      <c r="I299" s="1107"/>
      <c r="J299" s="1107"/>
      <c r="K299" s="1107"/>
      <c r="L299" s="1107"/>
      <c r="M299" s="63"/>
      <c r="N299" s="17"/>
      <c r="O299" s="17"/>
      <c r="P299" s="17"/>
      <c r="Q299" s="17"/>
    </row>
    <row r="300" spans="1:17" x14ac:dyDescent="0.2">
      <c r="A300" s="260"/>
      <c r="B300" s="260"/>
      <c r="C300" s="260"/>
      <c r="D300" s="17"/>
      <c r="E300" s="259"/>
      <c r="F300" s="343"/>
      <c r="G300" s="394"/>
      <c r="H300" s="394"/>
      <c r="I300" s="1107"/>
      <c r="J300" s="1107"/>
      <c r="K300" s="1107"/>
      <c r="L300" s="1107"/>
      <c r="M300" s="63"/>
      <c r="N300" s="17"/>
      <c r="O300" s="17"/>
      <c r="P300" s="17"/>
      <c r="Q300" s="17"/>
    </row>
    <row r="301" spans="1:17" x14ac:dyDescent="0.2">
      <c r="A301" s="260"/>
      <c r="B301" s="260"/>
      <c r="C301" s="260"/>
      <c r="D301" s="17"/>
      <c r="E301" s="259"/>
      <c r="F301" s="343"/>
      <c r="G301" s="394"/>
      <c r="H301" s="394"/>
      <c r="I301" s="1107"/>
      <c r="J301" s="1107"/>
      <c r="K301" s="1107"/>
      <c r="L301" s="1107"/>
      <c r="M301" s="63"/>
      <c r="N301" s="17"/>
      <c r="O301" s="17"/>
      <c r="P301" s="17"/>
      <c r="Q301" s="17"/>
    </row>
    <row r="302" spans="1:17" x14ac:dyDescent="0.2">
      <c r="A302" s="260"/>
      <c r="B302" s="260"/>
      <c r="C302" s="260"/>
      <c r="D302" s="17"/>
      <c r="E302" s="259"/>
      <c r="F302" s="343"/>
      <c r="G302" s="394"/>
      <c r="H302" s="394"/>
      <c r="I302" s="1107"/>
      <c r="J302" s="1107"/>
      <c r="K302" s="1107"/>
      <c r="L302" s="1107"/>
      <c r="M302" s="63"/>
      <c r="N302" s="17"/>
      <c r="O302" s="17"/>
      <c r="P302" s="17"/>
      <c r="Q302" s="17"/>
    </row>
    <row r="303" spans="1:17" x14ac:dyDescent="0.2">
      <c r="A303" s="260"/>
      <c r="B303" s="260"/>
      <c r="C303" s="260"/>
      <c r="D303" s="17"/>
      <c r="E303" s="259"/>
      <c r="F303" s="343"/>
      <c r="G303" s="394"/>
      <c r="H303" s="394"/>
      <c r="I303" s="1107"/>
      <c r="J303" s="1107"/>
      <c r="K303" s="1107"/>
      <c r="L303" s="1107"/>
      <c r="M303" s="63"/>
      <c r="N303" s="17"/>
      <c r="O303" s="17"/>
      <c r="P303" s="17"/>
      <c r="Q303" s="17"/>
    </row>
    <row r="304" spans="1:17" x14ac:dyDescent="0.2">
      <c r="A304" s="260"/>
      <c r="B304" s="260"/>
      <c r="C304" s="260"/>
      <c r="D304" s="17"/>
      <c r="E304" s="259"/>
      <c r="F304" s="343"/>
      <c r="G304" s="394"/>
      <c r="H304" s="394"/>
      <c r="I304" s="1107"/>
      <c r="J304" s="1107"/>
      <c r="K304" s="1107"/>
      <c r="L304" s="1107"/>
      <c r="M304" s="63"/>
      <c r="N304" s="17"/>
      <c r="O304" s="17"/>
      <c r="P304" s="17"/>
      <c r="Q304" s="17"/>
    </row>
    <row r="305" spans="1:17" x14ac:dyDescent="0.2">
      <c r="A305" s="260"/>
      <c r="B305" s="260"/>
      <c r="C305" s="260"/>
      <c r="D305" s="17"/>
      <c r="E305" s="259"/>
      <c r="F305" s="343"/>
      <c r="G305" s="394"/>
      <c r="H305" s="394"/>
      <c r="I305" s="1107"/>
      <c r="J305" s="1107"/>
      <c r="K305" s="1107"/>
      <c r="L305" s="1107"/>
      <c r="M305" s="63"/>
      <c r="N305" s="17"/>
      <c r="O305" s="17"/>
      <c r="P305" s="17"/>
      <c r="Q305" s="17"/>
    </row>
    <row r="306" spans="1:17" x14ac:dyDescent="0.2">
      <c r="A306" s="260"/>
      <c r="B306" s="260"/>
      <c r="C306" s="260"/>
      <c r="D306" s="17"/>
      <c r="E306" s="259"/>
      <c r="F306" s="343"/>
      <c r="G306" s="394"/>
      <c r="H306" s="394"/>
      <c r="I306" s="1107"/>
      <c r="J306" s="1107"/>
      <c r="K306" s="1107"/>
      <c r="L306" s="1107"/>
      <c r="M306" s="63"/>
      <c r="N306" s="17"/>
      <c r="O306" s="17"/>
      <c r="P306" s="17"/>
      <c r="Q306" s="17"/>
    </row>
    <row r="307" spans="1:17" x14ac:dyDescent="0.2">
      <c r="A307" s="260"/>
      <c r="B307" s="260"/>
      <c r="C307" s="260"/>
      <c r="D307" s="17"/>
      <c r="E307" s="259"/>
      <c r="F307" s="343"/>
      <c r="G307" s="394"/>
      <c r="H307" s="394"/>
      <c r="I307" s="1107"/>
      <c r="J307" s="1107"/>
      <c r="K307" s="1107"/>
      <c r="L307" s="1107"/>
      <c r="M307" s="63"/>
      <c r="N307" s="17"/>
      <c r="O307" s="17"/>
      <c r="P307" s="17"/>
      <c r="Q307" s="17"/>
    </row>
    <row r="308" spans="1:17" x14ac:dyDescent="0.2">
      <c r="A308" s="260"/>
      <c r="B308" s="260"/>
      <c r="C308" s="260"/>
      <c r="D308" s="17"/>
      <c r="E308" s="259"/>
      <c r="F308" s="343"/>
      <c r="G308" s="394"/>
      <c r="H308" s="394"/>
      <c r="I308" s="1107"/>
      <c r="J308" s="1107"/>
      <c r="K308" s="1107"/>
      <c r="L308" s="1107"/>
      <c r="M308" s="63"/>
      <c r="N308" s="17"/>
      <c r="O308" s="17"/>
      <c r="P308" s="17"/>
      <c r="Q308" s="17"/>
    </row>
  </sheetData>
  <mergeCells count="265">
    <mergeCell ref="D120:D122"/>
    <mergeCell ref="E74:E75"/>
    <mergeCell ref="M1:Q1"/>
    <mergeCell ref="M2:N2"/>
    <mergeCell ref="D37:D38"/>
    <mergeCell ref="D39:D41"/>
    <mergeCell ref="D92:D93"/>
    <mergeCell ref="D149:D150"/>
    <mergeCell ref="D183:D184"/>
    <mergeCell ref="N183:N184"/>
    <mergeCell ref="O183:O184"/>
    <mergeCell ref="P183:P184"/>
    <mergeCell ref="Q183:Q184"/>
    <mergeCell ref="D160:D161"/>
    <mergeCell ref="D137:D139"/>
    <mergeCell ref="H102:H104"/>
    <mergeCell ref="G151:G152"/>
    <mergeCell ref="H151:H152"/>
    <mergeCell ref="N116:N118"/>
    <mergeCell ref="D102:D105"/>
    <mergeCell ref="N106:N107"/>
    <mergeCell ref="D106:D107"/>
    <mergeCell ref="A6:Q6"/>
    <mergeCell ref="N99:N101"/>
    <mergeCell ref="R153:T154"/>
    <mergeCell ref="R156:T157"/>
    <mergeCell ref="R158:T159"/>
    <mergeCell ref="R171:U174"/>
    <mergeCell ref="R178:S180"/>
    <mergeCell ref="R182:V183"/>
    <mergeCell ref="P156:P157"/>
    <mergeCell ref="Q156:Q157"/>
    <mergeCell ref="N178:N180"/>
    <mergeCell ref="N171:N172"/>
    <mergeCell ref="N173:N174"/>
    <mergeCell ref="O156:O157"/>
    <mergeCell ref="N160:N161"/>
    <mergeCell ref="G131:G132"/>
    <mergeCell ref="H131:H132"/>
    <mergeCell ref="M131:M132"/>
    <mergeCell ref="D213:D214"/>
    <mergeCell ref="N175:N176"/>
    <mergeCell ref="O219:O220"/>
    <mergeCell ref="F189:F190"/>
    <mergeCell ref="D211:D212"/>
    <mergeCell ref="D189:D190"/>
    <mergeCell ref="D204:D205"/>
    <mergeCell ref="D195:D196"/>
    <mergeCell ref="H211:H212"/>
    <mergeCell ref="M211:M212"/>
    <mergeCell ref="C199:F199"/>
    <mergeCell ref="N197:N198"/>
    <mergeCell ref="N207:N208"/>
    <mergeCell ref="C200:H200"/>
    <mergeCell ref="D209:D210"/>
    <mergeCell ref="D206:D208"/>
    <mergeCell ref="E198:F198"/>
    <mergeCell ref="D187:D188"/>
    <mergeCell ref="D163:D164"/>
    <mergeCell ref="K217:K219"/>
    <mergeCell ref="I158:I159"/>
    <mergeCell ref="D116:D119"/>
    <mergeCell ref="E116:E119"/>
    <mergeCell ref="F158:F159"/>
    <mergeCell ref="D145:D146"/>
    <mergeCell ref="A5:Q5"/>
    <mergeCell ref="N9:N10"/>
    <mergeCell ref="D63:D67"/>
    <mergeCell ref="N7:Q7"/>
    <mergeCell ref="D147:D148"/>
    <mergeCell ref="B116:B119"/>
    <mergeCell ref="Q104:Q105"/>
    <mergeCell ref="A116:A119"/>
    <mergeCell ref="D47:D48"/>
    <mergeCell ref="E8:E10"/>
    <mergeCell ref="F63:F64"/>
    <mergeCell ref="N49:N50"/>
    <mergeCell ref="D43:D45"/>
    <mergeCell ref="D52:D56"/>
    <mergeCell ref="N54:N56"/>
    <mergeCell ref="D32:D34"/>
    <mergeCell ref="G8:G10"/>
    <mergeCell ref="N8:Q8"/>
    <mergeCell ref="D15:D16"/>
    <mergeCell ref="N104:N105"/>
    <mergeCell ref="H30:H31"/>
    <mergeCell ref="A287:Q287"/>
    <mergeCell ref="A276:F276"/>
    <mergeCell ref="A277:F277"/>
    <mergeCell ref="A278:F278"/>
    <mergeCell ref="A279:F279"/>
    <mergeCell ref="A280:F280"/>
    <mergeCell ref="A270:F270"/>
    <mergeCell ref="A271:F271"/>
    <mergeCell ref="A272:F272"/>
    <mergeCell ref="A273:F273"/>
    <mergeCell ref="A274:F274"/>
    <mergeCell ref="A281:F281"/>
    <mergeCell ref="A282:F282"/>
    <mergeCell ref="A284:F284"/>
    <mergeCell ref="A275:F275"/>
    <mergeCell ref="A285:F285"/>
    <mergeCell ref="A286:F286"/>
    <mergeCell ref="A283:D283"/>
    <mergeCell ref="G30:G31"/>
    <mergeCell ref="P219:P220"/>
    <mergeCell ref="Q219:Q220"/>
    <mergeCell ref="F211:F212"/>
    <mergeCell ref="G211:G212"/>
    <mergeCell ref="A8:A10"/>
    <mergeCell ref="B8:B10"/>
    <mergeCell ref="F8:F10"/>
    <mergeCell ref="D8:D10"/>
    <mergeCell ref="H8:H10"/>
    <mergeCell ref="O9:Q9"/>
    <mergeCell ref="C8:C10"/>
    <mergeCell ref="D22:D24"/>
    <mergeCell ref="D27:D29"/>
    <mergeCell ref="N24:N25"/>
    <mergeCell ref="O24:O25"/>
    <mergeCell ref="P24:P25"/>
    <mergeCell ref="Q24:Q25"/>
    <mergeCell ref="K8:K10"/>
    <mergeCell ref="I8:I10"/>
    <mergeCell ref="J8:J10"/>
    <mergeCell ref="L8:L10"/>
    <mergeCell ref="M8:M10"/>
    <mergeCell ref="R37:R38"/>
    <mergeCell ref="R43:T45"/>
    <mergeCell ref="R90:S90"/>
    <mergeCell ref="R94:T95"/>
    <mergeCell ref="G102:G104"/>
    <mergeCell ref="N95:N96"/>
    <mergeCell ref="B113:F113"/>
    <mergeCell ref="D134:D136"/>
    <mergeCell ref="C112:F112"/>
    <mergeCell ref="D131:D133"/>
    <mergeCell ref="P104:P105"/>
    <mergeCell ref="O104:O105"/>
    <mergeCell ref="N131:N132"/>
    <mergeCell ref="F71:F72"/>
    <mergeCell ref="G71:G72"/>
    <mergeCell ref="H71:H72"/>
    <mergeCell ref="M71:M72"/>
    <mergeCell ref="D80:D82"/>
    <mergeCell ref="D90:D91"/>
    <mergeCell ref="O116:O118"/>
    <mergeCell ref="P116:P118"/>
    <mergeCell ref="Q116:Q118"/>
    <mergeCell ref="D98:D101"/>
    <mergeCell ref="M102:M104"/>
    <mergeCell ref="R202:T202"/>
    <mergeCell ref="D181:D182"/>
    <mergeCell ref="E185:F185"/>
    <mergeCell ref="D178:D180"/>
    <mergeCell ref="D165:D168"/>
    <mergeCell ref="D169:D170"/>
    <mergeCell ref="F169:F170"/>
    <mergeCell ref="D171:D174"/>
    <mergeCell ref="D175:D176"/>
    <mergeCell ref="D197:D198"/>
    <mergeCell ref="N234:N235"/>
    <mergeCell ref="N254:N256"/>
    <mergeCell ref="D251:D252"/>
    <mergeCell ref="N245:N246"/>
    <mergeCell ref="E215:E216"/>
    <mergeCell ref="D239:D240"/>
    <mergeCell ref="E239:E240"/>
    <mergeCell ref="D223:D224"/>
    <mergeCell ref="D226:D227"/>
    <mergeCell ref="C221:F221"/>
    <mergeCell ref="M217:M219"/>
    <mergeCell ref="N219:N220"/>
    <mergeCell ref="E245:E246"/>
    <mergeCell ref="D245:D246"/>
    <mergeCell ref="N229:N230"/>
    <mergeCell ref="D229:D230"/>
    <mergeCell ref="D215:D216"/>
    <mergeCell ref="C222:H222"/>
    <mergeCell ref="D217:D220"/>
    <mergeCell ref="D253:D256"/>
    <mergeCell ref="E247:E248"/>
    <mergeCell ref="B245:B246"/>
    <mergeCell ref="A245:A246"/>
    <mergeCell ref="A269:M269"/>
    <mergeCell ref="A267:Q267"/>
    <mergeCell ref="B266:F266"/>
    <mergeCell ref="B265:F265"/>
    <mergeCell ref="C264:F264"/>
    <mergeCell ref="N260:N262"/>
    <mergeCell ref="D249:D250"/>
    <mergeCell ref="E95:E96"/>
    <mergeCell ref="D95:D96"/>
    <mergeCell ref="C115:G115"/>
    <mergeCell ref="G158:G159"/>
    <mergeCell ref="N156:N157"/>
    <mergeCell ref="D156:D157"/>
    <mergeCell ref="D153:D155"/>
    <mergeCell ref="M151:M152"/>
    <mergeCell ref="F151:F152"/>
    <mergeCell ref="D151:D152"/>
    <mergeCell ref="D108:D109"/>
    <mergeCell ref="D110:D111"/>
    <mergeCell ref="N108:N109"/>
    <mergeCell ref="D140:D144"/>
    <mergeCell ref="M158:M159"/>
    <mergeCell ref="H158:H159"/>
    <mergeCell ref="F116:F117"/>
    <mergeCell ref="G116:G117"/>
    <mergeCell ref="H116:H117"/>
    <mergeCell ref="M116:M117"/>
    <mergeCell ref="F131:F132"/>
    <mergeCell ref="C116:C119"/>
    <mergeCell ref="N140:N141"/>
    <mergeCell ref="I151:I152"/>
    <mergeCell ref="A4:Q4"/>
    <mergeCell ref="B13:H13"/>
    <mergeCell ref="C14:G14"/>
    <mergeCell ref="B114:F114"/>
    <mergeCell ref="Q78:Q79"/>
    <mergeCell ref="P78:P79"/>
    <mergeCell ref="O78:O79"/>
    <mergeCell ref="N65:N66"/>
    <mergeCell ref="G63:G64"/>
    <mergeCell ref="Q49:Q50"/>
    <mergeCell ref="D49:D50"/>
    <mergeCell ref="D71:D72"/>
    <mergeCell ref="D78:D79"/>
    <mergeCell ref="N78:N79"/>
    <mergeCell ref="D60:D62"/>
    <mergeCell ref="H63:H64"/>
    <mergeCell ref="M63:M64"/>
    <mergeCell ref="E91:F91"/>
    <mergeCell ref="D88:D89"/>
    <mergeCell ref="M30:M31"/>
    <mergeCell ref="A11:Q11"/>
    <mergeCell ref="A12:Q12"/>
    <mergeCell ref="D30:D31"/>
    <mergeCell ref="F30:F31"/>
    <mergeCell ref="I30:I31"/>
    <mergeCell ref="I63:I64"/>
    <mergeCell ref="I71:I72"/>
    <mergeCell ref="I102:I104"/>
    <mergeCell ref="L30:L31"/>
    <mergeCell ref="L63:L64"/>
    <mergeCell ref="L71:L72"/>
    <mergeCell ref="L102:L104"/>
    <mergeCell ref="I116:I117"/>
    <mergeCell ref="K30:K31"/>
    <mergeCell ref="K63:K64"/>
    <mergeCell ref="K71:K72"/>
    <mergeCell ref="K102:K104"/>
    <mergeCell ref="K116:K117"/>
    <mergeCell ref="L116:L117"/>
    <mergeCell ref="L131:L132"/>
    <mergeCell ref="L151:L152"/>
    <mergeCell ref="L158:L159"/>
    <mergeCell ref="L211:L212"/>
    <mergeCell ref="L217:L219"/>
    <mergeCell ref="I211:I212"/>
    <mergeCell ref="K131:K132"/>
    <mergeCell ref="K151:K152"/>
    <mergeCell ref="K158:K159"/>
    <mergeCell ref="K211:K212"/>
    <mergeCell ref="I131:I132"/>
  </mergeCells>
  <printOptions horizontalCentered="1"/>
  <pageMargins left="0.78740157480314965" right="0.19685039370078741" top="0.39370078740157483" bottom="0.39370078740157483" header="0.31496062992125984" footer="0.31496062992125984"/>
  <pageSetup paperSize="9" scale="59" fitToHeight="0" orientation="portrait" r:id="rId1"/>
  <rowBreaks count="5" manualBreakCount="5">
    <brk id="62" max="16" man="1"/>
    <brk id="101" max="16" man="1"/>
    <brk id="157" max="16" man="1"/>
    <brk id="208" max="16" man="1"/>
    <brk id="263" max="1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44"/>
  <sheetViews>
    <sheetView zoomScaleNormal="100" zoomScaleSheetLayoutView="100" workbookViewId="0"/>
  </sheetViews>
  <sheetFormatPr defaultColWidth="9.28515625" defaultRowHeight="12.75" x14ac:dyDescent="0.2"/>
  <cols>
    <col min="1" max="3" width="3.28515625" style="154" customWidth="1"/>
    <col min="4" max="4" width="3.5703125" style="30" customWidth="1"/>
    <col min="5" max="5" width="3.28515625" style="30" customWidth="1"/>
    <col min="6" max="6" width="31.42578125" style="64" customWidth="1"/>
    <col min="7" max="7" width="2.7109375" style="155" customWidth="1"/>
    <col min="8" max="8" width="14.42578125" style="15" customWidth="1"/>
    <col min="9" max="9" width="8" style="15" customWidth="1"/>
    <col min="10" max="10" width="9.140625" style="15" customWidth="1"/>
    <col min="11" max="11" width="10" style="15" customWidth="1"/>
    <col min="12" max="12" width="9.28515625" style="15" customWidth="1"/>
    <col min="13" max="13" width="8.7109375" style="261" customWidth="1"/>
    <col min="14" max="14" width="23" style="64" customWidth="1"/>
    <col min="15" max="15" width="6.85546875" style="64" customWidth="1"/>
    <col min="16" max="16" width="6.42578125" style="64" customWidth="1"/>
    <col min="17" max="17" width="6.28515625" style="64" customWidth="1"/>
    <col min="18" max="18" width="6.42578125" style="937" customWidth="1"/>
    <col min="19" max="19" width="9.28515625" style="17"/>
    <col min="20" max="20" width="10.140625" style="17" bestFit="1" customWidth="1"/>
    <col min="21" max="16384" width="9.28515625" style="17"/>
  </cols>
  <sheetData>
    <row r="1" spans="1:20" ht="15.75" x14ac:dyDescent="0.2">
      <c r="H1" s="1901" t="s">
        <v>523</v>
      </c>
      <c r="I1" s="1901"/>
      <c r="J1" s="1901"/>
      <c r="K1" s="1901"/>
      <c r="L1" s="1901"/>
      <c r="M1" s="1901"/>
      <c r="N1" s="1901"/>
      <c r="O1" s="1901"/>
      <c r="P1" s="1901"/>
      <c r="Q1" s="1901"/>
      <c r="R1" s="1901"/>
    </row>
    <row r="2" spans="1:20" ht="12" customHeight="1" x14ac:dyDescent="0.2">
      <c r="H2" s="957"/>
      <c r="I2" s="957"/>
      <c r="J2" s="957"/>
      <c r="K2" s="957"/>
      <c r="L2" s="957"/>
      <c r="M2" s="957"/>
      <c r="N2" s="957"/>
      <c r="O2" s="957"/>
      <c r="P2" s="957"/>
      <c r="Q2" s="957"/>
      <c r="R2" s="957"/>
    </row>
    <row r="3" spans="1:20" s="16" customFormat="1" ht="15.75" x14ac:dyDescent="0.2">
      <c r="A3" s="1679" t="s">
        <v>257</v>
      </c>
      <c r="B3" s="1679"/>
      <c r="C3" s="1679"/>
      <c r="D3" s="1679"/>
      <c r="E3" s="1679"/>
      <c r="F3" s="1679"/>
      <c r="G3" s="1679"/>
      <c r="H3" s="1679"/>
      <c r="I3" s="1679"/>
      <c r="J3" s="1679"/>
      <c r="K3" s="1679"/>
      <c r="L3" s="1679"/>
      <c r="M3" s="1679"/>
      <c r="N3" s="1679"/>
      <c r="O3" s="1679"/>
      <c r="P3" s="1679"/>
      <c r="Q3" s="1679"/>
      <c r="R3" s="1679"/>
      <c r="T3" s="553"/>
    </row>
    <row r="4" spans="1:20" s="16" customFormat="1" ht="19.5" customHeight="1" x14ac:dyDescent="0.2">
      <c r="A4" s="1680" t="s">
        <v>22</v>
      </c>
      <c r="B4" s="1680"/>
      <c r="C4" s="1680"/>
      <c r="D4" s="1680"/>
      <c r="E4" s="1680"/>
      <c r="F4" s="1680"/>
      <c r="G4" s="1680"/>
      <c r="H4" s="1680"/>
      <c r="I4" s="1680"/>
      <c r="J4" s="1680"/>
      <c r="K4" s="1680"/>
      <c r="L4" s="1680"/>
      <c r="M4" s="1680"/>
      <c r="N4" s="1680"/>
      <c r="O4" s="1680"/>
      <c r="P4" s="1680"/>
      <c r="Q4" s="1680"/>
      <c r="R4" s="1680"/>
      <c r="T4" s="553"/>
    </row>
    <row r="5" spans="1:20" s="16" customFormat="1" ht="19.5" customHeight="1" x14ac:dyDescent="0.2">
      <c r="A5" s="1681" t="s">
        <v>38</v>
      </c>
      <c r="B5" s="1681"/>
      <c r="C5" s="1681"/>
      <c r="D5" s="1681"/>
      <c r="E5" s="1681"/>
      <c r="F5" s="1681"/>
      <c r="G5" s="1681"/>
      <c r="H5" s="1681"/>
      <c r="I5" s="1681"/>
      <c r="J5" s="1681"/>
      <c r="K5" s="1681"/>
      <c r="L5" s="1681"/>
      <c r="M5" s="1681"/>
      <c r="N5" s="1681"/>
      <c r="O5" s="1681"/>
      <c r="P5" s="1681"/>
      <c r="Q5" s="1681"/>
      <c r="R5" s="1681"/>
    </row>
    <row r="6" spans="1:20" ht="18.75" customHeight="1" thickBot="1" x14ac:dyDescent="0.25">
      <c r="A6" s="34"/>
      <c r="B6" s="34"/>
      <c r="F6" s="944"/>
      <c r="G6" s="156"/>
      <c r="H6" s="944"/>
      <c r="I6" s="20"/>
      <c r="J6" s="20"/>
      <c r="K6" s="20"/>
      <c r="L6" s="20"/>
      <c r="M6" s="944"/>
      <c r="N6" s="1682" t="s">
        <v>49</v>
      </c>
      <c r="O6" s="1682"/>
      <c r="P6" s="1682"/>
      <c r="Q6" s="1682"/>
      <c r="R6" s="1682"/>
      <c r="S6" s="292"/>
    </row>
    <row r="7" spans="1:20" ht="21" customHeight="1" thickBot="1" x14ac:dyDescent="0.25">
      <c r="A7" s="1697" t="s">
        <v>243</v>
      </c>
      <c r="B7" s="1700" t="s">
        <v>7</v>
      </c>
      <c r="C7" s="1703" t="s">
        <v>8</v>
      </c>
      <c r="D7" s="1703" t="s">
        <v>120</v>
      </c>
      <c r="E7" s="1703" t="s">
        <v>121</v>
      </c>
      <c r="F7" s="1706" t="s">
        <v>19</v>
      </c>
      <c r="G7" s="1709" t="s">
        <v>244</v>
      </c>
      <c r="H7" s="1692" t="s">
        <v>245</v>
      </c>
      <c r="I7" s="1712" t="s">
        <v>9</v>
      </c>
      <c r="J7" s="1712" t="s">
        <v>246</v>
      </c>
      <c r="K7" s="1905" t="s">
        <v>247</v>
      </c>
      <c r="L7" s="1686" t="s">
        <v>498</v>
      </c>
      <c r="M7" s="1689" t="s">
        <v>253</v>
      </c>
      <c r="N7" s="1531" t="s">
        <v>239</v>
      </c>
      <c r="O7" s="1532"/>
      <c r="P7" s="1532"/>
      <c r="Q7" s="1532"/>
      <c r="R7" s="1533"/>
      <c r="S7" s="292"/>
    </row>
    <row r="8" spans="1:20" ht="15.75" customHeight="1" x14ac:dyDescent="0.2">
      <c r="A8" s="1698"/>
      <c r="B8" s="1701"/>
      <c r="C8" s="1704"/>
      <c r="D8" s="1704"/>
      <c r="E8" s="1704"/>
      <c r="F8" s="1707"/>
      <c r="G8" s="1710"/>
      <c r="H8" s="1904"/>
      <c r="I8" s="1713"/>
      <c r="J8" s="1713"/>
      <c r="K8" s="1906"/>
      <c r="L8" s="1687"/>
      <c r="M8" s="1690"/>
      <c r="N8" s="1902" t="s">
        <v>19</v>
      </c>
      <c r="O8" s="1712" t="s">
        <v>251</v>
      </c>
      <c r="P8" s="1695" t="s">
        <v>218</v>
      </c>
      <c r="Q8" s="1695"/>
      <c r="R8" s="1696"/>
      <c r="S8" s="292"/>
    </row>
    <row r="9" spans="1:20" ht="107.25" customHeight="1" thickBot="1" x14ac:dyDescent="0.25">
      <c r="A9" s="1699"/>
      <c r="B9" s="1702"/>
      <c r="C9" s="1705"/>
      <c r="D9" s="1705"/>
      <c r="E9" s="1705"/>
      <c r="F9" s="1708"/>
      <c r="G9" s="1711"/>
      <c r="H9" s="1693"/>
      <c r="I9" s="1714"/>
      <c r="J9" s="1714"/>
      <c r="K9" s="1907"/>
      <c r="L9" s="1688"/>
      <c r="M9" s="1691"/>
      <c r="N9" s="1903"/>
      <c r="O9" s="1714"/>
      <c r="P9" s="936" t="s">
        <v>248</v>
      </c>
      <c r="Q9" s="87" t="s">
        <v>249</v>
      </c>
      <c r="R9" s="352" t="s">
        <v>250</v>
      </c>
      <c r="S9" s="292"/>
    </row>
    <row r="10" spans="1:20" x14ac:dyDescent="0.2">
      <c r="A10" s="1893" t="s">
        <v>43</v>
      </c>
      <c r="B10" s="1894"/>
      <c r="C10" s="1894"/>
      <c r="D10" s="1894"/>
      <c r="E10" s="1894"/>
      <c r="F10" s="1894"/>
      <c r="G10" s="1894"/>
      <c r="H10" s="1894"/>
      <c r="I10" s="1894"/>
      <c r="J10" s="1894"/>
      <c r="K10" s="1894"/>
      <c r="L10" s="1894"/>
      <c r="M10" s="1894"/>
      <c r="N10" s="1894"/>
      <c r="O10" s="1894"/>
      <c r="P10" s="1894"/>
      <c r="Q10" s="1894"/>
      <c r="R10" s="1895"/>
      <c r="S10" s="292"/>
    </row>
    <row r="11" spans="1:20" ht="15.75" customHeight="1" x14ac:dyDescent="0.2">
      <c r="A11" s="1664" t="s">
        <v>23</v>
      </c>
      <c r="B11" s="1665"/>
      <c r="C11" s="1665"/>
      <c r="D11" s="1665"/>
      <c r="E11" s="1665"/>
      <c r="F11" s="1665"/>
      <c r="G11" s="1665"/>
      <c r="H11" s="1665"/>
      <c r="I11" s="1665"/>
      <c r="J11" s="1665"/>
      <c r="K11" s="1665"/>
      <c r="L11" s="1665"/>
      <c r="M11" s="1665"/>
      <c r="N11" s="1665"/>
      <c r="O11" s="1665"/>
      <c r="P11" s="1665"/>
      <c r="Q11" s="1665"/>
      <c r="R11" s="1666"/>
      <c r="S11" s="292"/>
    </row>
    <row r="12" spans="1:20" ht="15.75" customHeight="1" x14ac:dyDescent="0.2">
      <c r="A12" s="157" t="s">
        <v>10</v>
      </c>
      <c r="B12" s="1896" t="s">
        <v>27</v>
      </c>
      <c r="C12" s="1897"/>
      <c r="D12" s="1897"/>
      <c r="E12" s="1897"/>
      <c r="F12" s="1897"/>
      <c r="G12" s="1897"/>
      <c r="H12" s="1897"/>
      <c r="I12" s="1897"/>
      <c r="J12" s="1897"/>
      <c r="K12" s="1897"/>
      <c r="L12" s="1897"/>
      <c r="M12" s="1897"/>
      <c r="N12" s="1897"/>
      <c r="O12" s="1897"/>
      <c r="P12" s="1897"/>
      <c r="Q12" s="1897"/>
      <c r="R12" s="1898"/>
    </row>
    <row r="13" spans="1:20" ht="15.75" customHeight="1" thickBot="1" x14ac:dyDescent="0.25">
      <c r="A13" s="158" t="s">
        <v>10</v>
      </c>
      <c r="B13" s="159" t="s">
        <v>10</v>
      </c>
      <c r="C13" s="1669" t="s">
        <v>46</v>
      </c>
      <c r="D13" s="1670"/>
      <c r="E13" s="1670"/>
      <c r="F13" s="1670"/>
      <c r="G13" s="1670"/>
      <c r="H13" s="1670"/>
      <c r="I13" s="1670"/>
      <c r="J13" s="1670"/>
      <c r="K13" s="1670"/>
      <c r="L13" s="1670"/>
      <c r="M13" s="1670"/>
      <c r="N13" s="1670"/>
      <c r="O13" s="1670"/>
      <c r="P13" s="1670"/>
      <c r="Q13" s="1670"/>
      <c r="R13" s="1899"/>
    </row>
    <row r="14" spans="1:20" ht="29.25" customHeight="1" x14ac:dyDescent="0.2">
      <c r="A14" s="160" t="s">
        <v>10</v>
      </c>
      <c r="B14" s="161" t="s">
        <v>10</v>
      </c>
      <c r="C14" s="162" t="s">
        <v>10</v>
      </c>
      <c r="D14" s="26"/>
      <c r="E14" s="26"/>
      <c r="F14" s="966" t="s">
        <v>35</v>
      </c>
      <c r="G14" s="163"/>
      <c r="H14" s="1619" t="s">
        <v>159</v>
      </c>
      <c r="I14" s="1" t="s">
        <v>42</v>
      </c>
      <c r="J14" s="415">
        <v>388.8</v>
      </c>
      <c r="K14" s="523">
        <v>620.20000000000005</v>
      </c>
      <c r="L14" s="965"/>
      <c r="M14" s="906"/>
      <c r="N14" s="186"/>
      <c r="O14" s="867"/>
      <c r="P14" s="11"/>
      <c r="Q14" s="965"/>
      <c r="R14" s="916"/>
    </row>
    <row r="15" spans="1:20" ht="14.25" customHeight="1" x14ac:dyDescent="0.2">
      <c r="A15" s="157"/>
      <c r="B15" s="164"/>
      <c r="C15" s="165"/>
      <c r="D15" s="509" t="s">
        <v>10</v>
      </c>
      <c r="E15" s="509"/>
      <c r="F15" s="1561" t="s">
        <v>82</v>
      </c>
      <c r="G15" s="166" t="s">
        <v>144</v>
      </c>
      <c r="H15" s="1768"/>
      <c r="I15" s="13" t="s">
        <v>11</v>
      </c>
      <c r="J15" s="416">
        <f>19856.9+83.7+166.6+27</f>
        <v>20134.2</v>
      </c>
      <c r="K15" s="105">
        <v>23002.7</v>
      </c>
      <c r="L15" s="103">
        <v>23002.7</v>
      </c>
      <c r="M15" s="278">
        <v>23002.7</v>
      </c>
      <c r="N15" s="939" t="s">
        <v>70</v>
      </c>
      <c r="O15" s="38">
        <v>44</v>
      </c>
      <c r="P15" s="13">
        <v>44</v>
      </c>
      <c r="Q15" s="90">
        <v>42</v>
      </c>
      <c r="R15" s="126">
        <v>43</v>
      </c>
      <c r="S15" s="14"/>
    </row>
    <row r="16" spans="1:20" ht="14.25" customHeight="1" x14ac:dyDescent="0.2">
      <c r="A16" s="157"/>
      <c r="B16" s="164"/>
      <c r="C16" s="165"/>
      <c r="D16" s="942"/>
      <c r="E16" s="942"/>
      <c r="F16" s="1562"/>
      <c r="G16" s="139" t="s">
        <v>270</v>
      </c>
      <c r="H16" s="1768"/>
      <c r="I16" s="2" t="s">
        <v>14</v>
      </c>
      <c r="J16" s="417">
        <f>12432.9+484-13.3</f>
        <v>12903.6</v>
      </c>
      <c r="K16" s="482">
        <v>14312.7</v>
      </c>
      <c r="L16" s="905">
        <v>14312.7</v>
      </c>
      <c r="M16" s="369">
        <v>14312.7</v>
      </c>
      <c r="N16" s="42" t="s">
        <v>71</v>
      </c>
      <c r="O16" s="855">
        <v>7995</v>
      </c>
      <c r="P16" s="1">
        <v>7995</v>
      </c>
      <c r="Q16" s="859">
        <v>8200</v>
      </c>
      <c r="R16" s="918">
        <v>8300</v>
      </c>
      <c r="S16" s="14"/>
    </row>
    <row r="17" spans="1:19" ht="16.5" customHeight="1" x14ac:dyDescent="0.2">
      <c r="A17" s="157"/>
      <c r="B17" s="164"/>
      <c r="C17" s="165"/>
      <c r="D17" s="942"/>
      <c r="E17" s="942"/>
      <c r="F17" s="1562"/>
      <c r="G17" s="139" t="s">
        <v>269</v>
      </c>
      <c r="H17" s="868"/>
      <c r="I17" s="2" t="s">
        <v>14</v>
      </c>
      <c r="J17" s="895">
        <f>128-87.1</f>
        <v>40.900000000000006</v>
      </c>
      <c r="K17" s="523"/>
      <c r="L17" s="948"/>
      <c r="M17" s="370"/>
      <c r="N17" s="42" t="s">
        <v>304</v>
      </c>
      <c r="O17" s="855">
        <v>25</v>
      </c>
      <c r="P17" s="1"/>
      <c r="Q17" s="859"/>
      <c r="R17" s="918"/>
      <c r="S17" s="14"/>
    </row>
    <row r="18" spans="1:19" ht="30.75" customHeight="1" x14ac:dyDescent="0.2">
      <c r="A18" s="157"/>
      <c r="B18" s="164"/>
      <c r="C18" s="165"/>
      <c r="D18" s="942"/>
      <c r="E18" s="942"/>
      <c r="F18" s="1562"/>
      <c r="G18" s="139"/>
      <c r="H18" s="868"/>
      <c r="I18" s="1" t="s">
        <v>34</v>
      </c>
      <c r="J18" s="895">
        <v>3643.8</v>
      </c>
      <c r="K18" s="137">
        <v>3536.9</v>
      </c>
      <c r="L18" s="951">
        <v>3536.9</v>
      </c>
      <c r="M18" s="370">
        <v>3536.9</v>
      </c>
      <c r="N18" s="939" t="s">
        <v>303</v>
      </c>
      <c r="O18" s="409">
        <v>17.600000000000001</v>
      </c>
      <c r="P18" s="8"/>
      <c r="Q18" s="103"/>
      <c r="R18" s="353"/>
      <c r="S18" s="14"/>
    </row>
    <row r="19" spans="1:19" ht="30.75" customHeight="1" x14ac:dyDescent="0.2">
      <c r="A19" s="157"/>
      <c r="B19" s="167"/>
      <c r="C19" s="165"/>
      <c r="D19" s="942"/>
      <c r="E19" s="942"/>
      <c r="F19" s="1562"/>
      <c r="G19" s="757"/>
      <c r="H19" s="1768" t="s">
        <v>235</v>
      </c>
      <c r="I19" s="71"/>
      <c r="J19" s="896"/>
      <c r="K19" s="523"/>
      <c r="L19" s="948"/>
      <c r="M19" s="914"/>
      <c r="N19" s="910" t="s">
        <v>305</v>
      </c>
      <c r="O19" s="410">
        <v>5.72</v>
      </c>
      <c r="P19" s="481">
        <v>22.27</v>
      </c>
      <c r="Q19" s="948">
        <v>22.6</v>
      </c>
      <c r="R19" s="354"/>
      <c r="S19" s="14"/>
    </row>
    <row r="20" spans="1:19" ht="14.25" customHeight="1" x14ac:dyDescent="0.2">
      <c r="A20" s="157"/>
      <c r="B20" s="167"/>
      <c r="C20" s="165"/>
      <c r="D20" s="659"/>
      <c r="E20" s="884"/>
      <c r="F20" s="764"/>
      <c r="G20" s="139"/>
      <c r="H20" s="1768"/>
      <c r="I20" s="2"/>
      <c r="J20" s="418"/>
      <c r="K20" s="482"/>
      <c r="L20" s="905"/>
      <c r="M20" s="915"/>
      <c r="N20" s="869" t="s">
        <v>315</v>
      </c>
      <c r="O20" s="855">
        <v>13</v>
      </c>
      <c r="P20" s="1"/>
      <c r="Q20" s="859"/>
      <c r="R20" s="918"/>
      <c r="S20" s="14"/>
    </row>
    <row r="21" spans="1:19" ht="14.25" customHeight="1" x14ac:dyDescent="0.2">
      <c r="A21" s="157"/>
      <c r="B21" s="167"/>
      <c r="C21" s="165"/>
      <c r="D21" s="323"/>
      <c r="E21" s="893"/>
      <c r="F21" s="173"/>
      <c r="G21" s="139"/>
      <c r="H21" s="1768"/>
      <c r="I21" s="2" t="s">
        <v>14</v>
      </c>
      <c r="J21" s="418">
        <v>10.4</v>
      </c>
      <c r="K21" s="482">
        <v>19.3</v>
      </c>
      <c r="L21" s="905"/>
      <c r="M21" s="915"/>
      <c r="N21" s="763"/>
      <c r="O21" s="856"/>
      <c r="P21" s="2"/>
      <c r="Q21" s="91"/>
      <c r="R21" s="934"/>
      <c r="S21" s="14"/>
    </row>
    <row r="22" spans="1:19" ht="54" customHeight="1" x14ac:dyDescent="0.2">
      <c r="A22" s="157"/>
      <c r="B22" s="167"/>
      <c r="C22" s="165"/>
      <c r="D22" s="942" t="s">
        <v>13</v>
      </c>
      <c r="E22" s="942"/>
      <c r="F22" s="882" t="s">
        <v>176</v>
      </c>
      <c r="G22" s="139" t="s">
        <v>269</v>
      </c>
      <c r="H22" s="1768"/>
      <c r="I22" s="13" t="s">
        <v>11</v>
      </c>
      <c r="J22" s="417">
        <v>2.4</v>
      </c>
      <c r="K22" s="105">
        <v>9</v>
      </c>
      <c r="L22" s="103"/>
      <c r="M22" s="369"/>
      <c r="N22" s="939" t="s">
        <v>209</v>
      </c>
      <c r="O22" s="38">
        <v>16</v>
      </c>
      <c r="P22" s="13">
        <v>1</v>
      </c>
      <c r="Q22" s="90"/>
      <c r="R22" s="126"/>
      <c r="S22" s="14"/>
    </row>
    <row r="23" spans="1:19" ht="15.75" customHeight="1" x14ac:dyDescent="0.2">
      <c r="A23" s="157"/>
      <c r="B23" s="167"/>
      <c r="C23" s="165"/>
      <c r="D23" s="509" t="s">
        <v>15</v>
      </c>
      <c r="E23" s="509"/>
      <c r="F23" s="1561" t="s">
        <v>138</v>
      </c>
      <c r="G23" s="757" t="s">
        <v>269</v>
      </c>
      <c r="H23" s="868"/>
      <c r="I23" s="1" t="s">
        <v>14</v>
      </c>
      <c r="J23" s="895">
        <f>790.5+31.9</f>
        <v>822.4</v>
      </c>
      <c r="K23" s="137">
        <v>997.6</v>
      </c>
      <c r="L23" s="951">
        <v>997.6</v>
      </c>
      <c r="M23" s="370">
        <v>997.6</v>
      </c>
      <c r="N23" s="763" t="s">
        <v>70</v>
      </c>
      <c r="O23" s="868">
        <v>10</v>
      </c>
      <c r="P23" s="71">
        <v>10</v>
      </c>
      <c r="Q23" s="92">
        <v>12</v>
      </c>
      <c r="R23" s="919">
        <v>12</v>
      </c>
      <c r="S23" s="14"/>
    </row>
    <row r="24" spans="1:19" ht="14.25" customHeight="1" x14ac:dyDescent="0.2">
      <c r="A24" s="157"/>
      <c r="B24" s="164"/>
      <c r="C24" s="165"/>
      <c r="D24" s="942"/>
      <c r="E24" s="942"/>
      <c r="F24" s="1562"/>
      <c r="G24" s="139"/>
      <c r="H24" s="868"/>
      <c r="I24" s="71"/>
      <c r="J24" s="419"/>
      <c r="K24" s="523"/>
      <c r="L24" s="948"/>
      <c r="M24" s="371"/>
      <c r="N24" s="42" t="s">
        <v>71</v>
      </c>
      <c r="O24" s="855">
        <v>499</v>
      </c>
      <c r="P24" s="1">
        <v>499</v>
      </c>
      <c r="Q24" s="859">
        <v>550</v>
      </c>
      <c r="R24" s="918">
        <v>550</v>
      </c>
      <c r="S24" s="14"/>
    </row>
    <row r="25" spans="1:19" ht="10.5" customHeight="1" thickBot="1" x14ac:dyDescent="0.25">
      <c r="A25" s="157"/>
      <c r="B25" s="167"/>
      <c r="C25" s="165"/>
      <c r="D25" s="943"/>
      <c r="E25" s="943"/>
      <c r="F25" s="1556"/>
      <c r="G25" s="139"/>
      <c r="H25" s="868"/>
      <c r="I25" s="71"/>
      <c r="J25" s="896"/>
      <c r="K25" s="523"/>
      <c r="L25" s="948"/>
      <c r="M25" s="914"/>
      <c r="N25" s="43"/>
      <c r="O25" s="873"/>
      <c r="P25" s="12"/>
      <c r="Q25" s="860"/>
      <c r="R25" s="917"/>
      <c r="S25" s="14"/>
    </row>
    <row r="26" spans="1:19" ht="29.25" customHeight="1" x14ac:dyDescent="0.2">
      <c r="A26" s="157"/>
      <c r="B26" s="167"/>
      <c r="C26" s="533"/>
      <c r="D26" s="942" t="s">
        <v>17</v>
      </c>
      <c r="E26" s="942"/>
      <c r="F26" s="1555" t="s">
        <v>495</v>
      </c>
      <c r="G26" s="139" t="s">
        <v>269</v>
      </c>
      <c r="H26" s="868"/>
      <c r="I26" s="1619" t="s">
        <v>11</v>
      </c>
      <c r="J26" s="1738"/>
      <c r="K26" s="1875">
        <v>371</v>
      </c>
      <c r="L26" s="1644">
        <v>1085.5999999999999</v>
      </c>
      <c r="M26" s="1647"/>
      <c r="N26" s="534" t="s">
        <v>303</v>
      </c>
      <c r="O26" s="412"/>
      <c r="P26" s="179">
        <v>73.8</v>
      </c>
      <c r="Q26" s="142">
        <v>69.8</v>
      </c>
      <c r="R26" s="146"/>
      <c r="S26" s="14"/>
    </row>
    <row r="27" spans="1:19" ht="28.5" customHeight="1" thickBot="1" x14ac:dyDescent="0.25">
      <c r="A27" s="157"/>
      <c r="B27" s="167"/>
      <c r="C27" s="533"/>
      <c r="D27" s="942"/>
      <c r="E27" s="942"/>
      <c r="F27" s="1556"/>
      <c r="G27" s="139"/>
      <c r="H27" s="868"/>
      <c r="I27" s="1785"/>
      <c r="J27" s="1890"/>
      <c r="K27" s="1891"/>
      <c r="L27" s="1892"/>
      <c r="M27" s="1900"/>
      <c r="N27" s="82" t="s">
        <v>305</v>
      </c>
      <c r="O27" s="873"/>
      <c r="P27" s="768">
        <v>24.18</v>
      </c>
      <c r="Q27" s="719">
        <v>23.01</v>
      </c>
      <c r="R27" s="917"/>
      <c r="S27" s="14"/>
    </row>
    <row r="28" spans="1:19" ht="12.75" customHeight="1" x14ac:dyDescent="0.2">
      <c r="A28" s="169"/>
      <c r="B28" s="167"/>
      <c r="C28" s="170"/>
      <c r="D28" s="26" t="s">
        <v>18</v>
      </c>
      <c r="E28" s="26"/>
      <c r="F28" s="1555" t="s">
        <v>48</v>
      </c>
      <c r="G28" s="139" t="s">
        <v>269</v>
      </c>
      <c r="H28" s="868"/>
      <c r="I28" s="48" t="s">
        <v>11</v>
      </c>
      <c r="J28" s="420">
        <f>1329.2+14+20.4</f>
        <v>1363.6000000000001</v>
      </c>
      <c r="K28" s="179">
        <v>1539.5</v>
      </c>
      <c r="L28" s="142">
        <v>1539.5</v>
      </c>
      <c r="M28" s="296">
        <v>1539.5</v>
      </c>
      <c r="N28" s="349" t="s">
        <v>70</v>
      </c>
      <c r="O28" s="868">
        <v>4</v>
      </c>
      <c r="P28" s="71">
        <v>4</v>
      </c>
      <c r="Q28" s="92">
        <v>3</v>
      </c>
      <c r="R28" s="919">
        <v>3</v>
      </c>
      <c r="S28" s="14"/>
    </row>
    <row r="29" spans="1:19" ht="15.75" customHeight="1" x14ac:dyDescent="0.2">
      <c r="A29" s="169"/>
      <c r="B29" s="167"/>
      <c r="C29" s="171"/>
      <c r="D29" s="942"/>
      <c r="E29" s="942"/>
      <c r="F29" s="1562"/>
      <c r="G29" s="139"/>
      <c r="H29" s="868"/>
      <c r="I29" s="2" t="s">
        <v>14</v>
      </c>
      <c r="J29" s="417">
        <f>1783.6+28.6</f>
        <v>1812.1999999999998</v>
      </c>
      <c r="K29" s="482">
        <v>2049.6999999999998</v>
      </c>
      <c r="L29" s="905">
        <v>2049.6999999999998</v>
      </c>
      <c r="M29" s="369">
        <v>2049.6999999999998</v>
      </c>
      <c r="N29" s="1795" t="s">
        <v>71</v>
      </c>
      <c r="O29" s="1769">
        <v>1233</v>
      </c>
      <c r="P29" s="1">
        <v>1233</v>
      </c>
      <c r="Q29" s="859">
        <v>959</v>
      </c>
      <c r="R29" s="1608">
        <v>960</v>
      </c>
      <c r="S29" s="14"/>
    </row>
    <row r="30" spans="1:19" ht="15.75" customHeight="1" x14ac:dyDescent="0.2">
      <c r="A30" s="169"/>
      <c r="B30" s="167"/>
      <c r="C30" s="171"/>
      <c r="D30" s="942"/>
      <c r="E30" s="942"/>
      <c r="F30" s="1562"/>
      <c r="G30" s="139"/>
      <c r="H30" s="868"/>
      <c r="I30" s="71" t="s">
        <v>14</v>
      </c>
      <c r="J30" s="895">
        <v>3.5</v>
      </c>
      <c r="K30" s="523"/>
      <c r="L30" s="948"/>
      <c r="M30" s="370"/>
      <c r="N30" s="1796"/>
      <c r="O30" s="1620"/>
      <c r="P30" s="2"/>
      <c r="Q30" s="91"/>
      <c r="R30" s="1609"/>
      <c r="S30" s="14"/>
    </row>
    <row r="31" spans="1:19" ht="15.75" customHeight="1" x14ac:dyDescent="0.2">
      <c r="A31" s="169"/>
      <c r="B31" s="167"/>
      <c r="C31" s="171"/>
      <c r="D31" s="942"/>
      <c r="E31" s="942"/>
      <c r="F31" s="1562"/>
      <c r="G31" s="757"/>
      <c r="H31" s="868"/>
      <c r="I31" s="1" t="s">
        <v>34</v>
      </c>
      <c r="J31" s="895">
        <v>353.9</v>
      </c>
      <c r="K31" s="137">
        <v>331.7</v>
      </c>
      <c r="L31" s="951">
        <v>331.7</v>
      </c>
      <c r="M31" s="370">
        <v>331.7</v>
      </c>
      <c r="N31" s="9" t="s">
        <v>123</v>
      </c>
      <c r="O31" s="855">
        <v>854</v>
      </c>
      <c r="P31" s="1">
        <v>854</v>
      </c>
      <c r="Q31" s="859">
        <v>752</v>
      </c>
      <c r="R31" s="918">
        <v>760</v>
      </c>
      <c r="S31" s="14"/>
    </row>
    <row r="32" spans="1:19" ht="16.899999999999999" customHeight="1" x14ac:dyDescent="0.2">
      <c r="A32" s="172"/>
      <c r="B32" s="167"/>
      <c r="C32" s="171"/>
      <c r="D32" s="942"/>
      <c r="E32" s="22"/>
      <c r="F32" s="882"/>
      <c r="G32" s="139"/>
      <c r="H32" s="868"/>
      <c r="I32" s="13" t="s">
        <v>14</v>
      </c>
      <c r="J32" s="417">
        <f>26.1-0.2</f>
        <v>25.900000000000002</v>
      </c>
      <c r="K32" s="105"/>
      <c r="L32" s="103"/>
      <c r="M32" s="369"/>
      <c r="N32" s="763"/>
      <c r="O32" s="856"/>
      <c r="P32" s="2"/>
      <c r="Q32" s="91"/>
      <c r="R32" s="934"/>
      <c r="S32" s="14"/>
    </row>
    <row r="33" spans="1:19" ht="30.75" customHeight="1" x14ac:dyDescent="0.2">
      <c r="A33" s="172"/>
      <c r="B33" s="167"/>
      <c r="C33" s="171"/>
      <c r="D33" s="942"/>
      <c r="E33" s="22"/>
      <c r="F33" s="882"/>
      <c r="G33" s="139"/>
      <c r="H33" s="868"/>
      <c r="I33" s="13"/>
      <c r="J33" s="417"/>
      <c r="K33" s="105"/>
      <c r="L33" s="103"/>
      <c r="M33" s="369"/>
      <c r="N33" s="938" t="s">
        <v>303</v>
      </c>
      <c r="O33" s="38"/>
      <c r="P33" s="105">
        <v>4.4000000000000004</v>
      </c>
      <c r="Q33" s="90"/>
      <c r="R33" s="126"/>
      <c r="S33" s="14"/>
    </row>
    <row r="34" spans="1:19" ht="18" customHeight="1" x14ac:dyDescent="0.2">
      <c r="A34" s="172"/>
      <c r="B34" s="167"/>
      <c r="C34" s="171"/>
      <c r="D34" s="942"/>
      <c r="E34" s="22"/>
      <c r="F34" s="882"/>
      <c r="G34" s="139"/>
      <c r="H34" s="868"/>
      <c r="I34" s="13" t="s">
        <v>14</v>
      </c>
      <c r="J34" s="417">
        <f>28-19.1</f>
        <v>8.8999999999999986</v>
      </c>
      <c r="K34" s="105"/>
      <c r="L34" s="103"/>
      <c r="M34" s="369"/>
      <c r="N34" s="763" t="s">
        <v>304</v>
      </c>
      <c r="O34" s="38">
        <v>4</v>
      </c>
      <c r="P34" s="13"/>
      <c r="Q34" s="90"/>
      <c r="R34" s="126"/>
      <c r="S34" s="14"/>
    </row>
    <row r="35" spans="1:19" ht="28.5" customHeight="1" x14ac:dyDescent="0.2">
      <c r="A35" s="172"/>
      <c r="B35" s="167"/>
      <c r="C35" s="171"/>
      <c r="D35" s="942"/>
      <c r="E35" s="22"/>
      <c r="F35" s="882"/>
      <c r="G35" s="139"/>
      <c r="H35" s="868"/>
      <c r="I35" s="13" t="s">
        <v>14</v>
      </c>
      <c r="J35" s="417">
        <v>12.8</v>
      </c>
      <c r="K35" s="105"/>
      <c r="L35" s="103"/>
      <c r="M35" s="369"/>
      <c r="N35" s="910" t="s">
        <v>305</v>
      </c>
      <c r="O35" s="868"/>
      <c r="P35" s="481">
        <v>1.43</v>
      </c>
      <c r="Q35" s="92"/>
      <c r="R35" s="919"/>
      <c r="S35" s="14"/>
    </row>
    <row r="36" spans="1:19" ht="16.899999999999999" customHeight="1" x14ac:dyDescent="0.2">
      <c r="A36" s="172"/>
      <c r="B36" s="167"/>
      <c r="C36" s="171"/>
      <c r="D36" s="509" t="s">
        <v>61</v>
      </c>
      <c r="E36" s="31"/>
      <c r="F36" s="1561" t="s">
        <v>152</v>
      </c>
      <c r="G36" s="139" t="s">
        <v>269</v>
      </c>
      <c r="H36" s="868"/>
      <c r="I36" s="13" t="s">
        <v>14</v>
      </c>
      <c r="J36" s="417">
        <f>138.8+23.6</f>
        <v>162.4</v>
      </c>
      <c r="K36" s="105">
        <v>234</v>
      </c>
      <c r="L36" s="103">
        <v>234</v>
      </c>
      <c r="M36" s="369">
        <v>234</v>
      </c>
      <c r="N36" s="1795" t="s">
        <v>70</v>
      </c>
      <c r="O36" s="1769">
        <v>2</v>
      </c>
      <c r="P36" s="1">
        <v>2</v>
      </c>
      <c r="Q36" s="859">
        <v>2</v>
      </c>
      <c r="R36" s="1608">
        <v>2</v>
      </c>
      <c r="S36" s="1591"/>
    </row>
    <row r="37" spans="1:19" ht="16.899999999999999" customHeight="1" x14ac:dyDescent="0.2">
      <c r="A37" s="172"/>
      <c r="B37" s="167"/>
      <c r="C37" s="171"/>
      <c r="D37" s="942"/>
      <c r="E37" s="22"/>
      <c r="F37" s="1562"/>
      <c r="G37" s="139"/>
      <c r="H37" s="868"/>
      <c r="I37" s="6" t="s">
        <v>14</v>
      </c>
      <c r="J37" s="417">
        <v>0.1</v>
      </c>
      <c r="K37" s="105"/>
      <c r="L37" s="103"/>
      <c r="M37" s="369"/>
      <c r="N37" s="1591"/>
      <c r="O37" s="1768"/>
      <c r="P37" s="71"/>
      <c r="Q37" s="92"/>
      <c r="R37" s="1615"/>
      <c r="S37" s="1591"/>
    </row>
    <row r="38" spans="1:19" ht="16.899999999999999" customHeight="1" x14ac:dyDescent="0.2">
      <c r="A38" s="172"/>
      <c r="B38" s="167"/>
      <c r="C38" s="171"/>
      <c r="D38" s="942"/>
      <c r="E38" s="22"/>
      <c r="F38" s="1562"/>
      <c r="G38" s="139"/>
      <c r="H38" s="868"/>
      <c r="I38" s="6" t="s">
        <v>14</v>
      </c>
      <c r="J38" s="417">
        <v>0.5</v>
      </c>
      <c r="K38" s="105"/>
      <c r="L38" s="103"/>
      <c r="M38" s="369"/>
      <c r="N38" s="910"/>
      <c r="O38" s="868"/>
      <c r="P38" s="71"/>
      <c r="Q38" s="92"/>
      <c r="R38" s="919"/>
      <c r="S38" s="1591"/>
    </row>
    <row r="39" spans="1:19" ht="16.899999999999999" customHeight="1" thickBot="1" x14ac:dyDescent="0.25">
      <c r="A39" s="172"/>
      <c r="B39" s="167"/>
      <c r="C39" s="171"/>
      <c r="D39" s="943"/>
      <c r="E39" s="23"/>
      <c r="F39" s="1556"/>
      <c r="G39" s="757"/>
      <c r="H39" s="868"/>
      <c r="I39" s="12" t="s">
        <v>14</v>
      </c>
      <c r="J39" s="932">
        <f>0.4+0.1</f>
        <v>0.5</v>
      </c>
      <c r="K39" s="469"/>
      <c r="L39" s="933"/>
      <c r="M39" s="930"/>
      <c r="N39" s="44" t="s">
        <v>71</v>
      </c>
      <c r="O39" s="411">
        <v>110</v>
      </c>
      <c r="P39" s="329">
        <v>110</v>
      </c>
      <c r="Q39" s="89">
        <v>110</v>
      </c>
      <c r="R39" s="731">
        <v>110</v>
      </c>
      <c r="S39" s="1591"/>
    </row>
    <row r="40" spans="1:19" ht="15.75" customHeight="1" x14ac:dyDescent="0.2">
      <c r="A40" s="172"/>
      <c r="B40" s="164"/>
      <c r="C40" s="171"/>
      <c r="D40" s="26" t="s">
        <v>62</v>
      </c>
      <c r="E40" s="26"/>
      <c r="F40" s="1555" t="s">
        <v>83</v>
      </c>
      <c r="G40" s="139" t="s">
        <v>269</v>
      </c>
      <c r="H40" s="868"/>
      <c r="I40" s="136" t="s">
        <v>11</v>
      </c>
      <c r="J40" s="490">
        <f>8941.3+167.9+20+202+12.2+4.3</f>
        <v>9347.6999999999989</v>
      </c>
      <c r="K40" s="179">
        <v>10307.299999999999</v>
      </c>
      <c r="L40" s="142">
        <v>11000</v>
      </c>
      <c r="M40" s="491">
        <v>11000</v>
      </c>
      <c r="N40" s="138" t="s">
        <v>70</v>
      </c>
      <c r="O40" s="412">
        <v>32</v>
      </c>
      <c r="P40" s="48">
        <v>32</v>
      </c>
      <c r="Q40" s="124">
        <v>32</v>
      </c>
      <c r="R40" s="146">
        <v>32</v>
      </c>
      <c r="S40" s="14"/>
    </row>
    <row r="41" spans="1:19" ht="15.75" customHeight="1" x14ac:dyDescent="0.2">
      <c r="A41" s="172"/>
      <c r="B41" s="164"/>
      <c r="C41" s="171"/>
      <c r="D41" s="942"/>
      <c r="E41" s="942"/>
      <c r="F41" s="1562"/>
      <c r="G41" s="139"/>
      <c r="H41" s="868"/>
      <c r="I41" s="223" t="s">
        <v>14</v>
      </c>
      <c r="J41" s="416">
        <f>33246.1+694.1+13.3</f>
        <v>33953.5</v>
      </c>
      <c r="K41" s="482">
        <v>41203.5</v>
      </c>
      <c r="L41" s="905">
        <v>41203.5</v>
      </c>
      <c r="M41" s="278">
        <v>41203.5</v>
      </c>
      <c r="N41" s="42" t="s">
        <v>71</v>
      </c>
      <c r="O41" s="38">
        <v>18956</v>
      </c>
      <c r="P41" s="6">
        <v>18957</v>
      </c>
      <c r="Q41" s="90">
        <v>19140</v>
      </c>
      <c r="R41" s="126">
        <v>19140</v>
      </c>
      <c r="S41" s="14"/>
    </row>
    <row r="42" spans="1:19" ht="15.75" customHeight="1" x14ac:dyDescent="0.2">
      <c r="A42" s="172"/>
      <c r="B42" s="164"/>
      <c r="C42" s="171"/>
      <c r="D42" s="942"/>
      <c r="E42" s="942"/>
      <c r="F42" s="1562"/>
      <c r="G42" s="139"/>
      <c r="H42" s="868"/>
      <c r="I42" s="223" t="s">
        <v>14</v>
      </c>
      <c r="J42" s="890">
        <v>1302.4000000000001</v>
      </c>
      <c r="K42" s="8">
        <v>1472.9</v>
      </c>
      <c r="L42" s="103">
        <v>1472.9</v>
      </c>
      <c r="M42" s="897">
        <v>1472.9</v>
      </c>
      <c r="N42" s="9" t="s">
        <v>123</v>
      </c>
      <c r="O42" s="855">
        <v>18804</v>
      </c>
      <c r="P42" s="1">
        <v>18805</v>
      </c>
      <c r="Q42" s="859">
        <v>19000</v>
      </c>
      <c r="R42" s="918">
        <v>19000</v>
      </c>
      <c r="S42" s="14"/>
    </row>
    <row r="43" spans="1:19" ht="19.149999999999999" customHeight="1" x14ac:dyDescent="0.2">
      <c r="A43" s="172"/>
      <c r="B43" s="164"/>
      <c r="C43" s="171"/>
      <c r="D43" s="942"/>
      <c r="E43" s="942"/>
      <c r="F43" s="1562"/>
      <c r="G43" s="139"/>
      <c r="H43" s="868"/>
      <c r="I43" s="223" t="s">
        <v>14</v>
      </c>
      <c r="J43" s="890">
        <f>550.6+4.6</f>
        <v>555.20000000000005</v>
      </c>
      <c r="K43" s="523"/>
      <c r="L43" s="948"/>
      <c r="M43" s="897"/>
      <c r="N43" s="1547"/>
      <c r="O43" s="868"/>
      <c r="P43" s="523"/>
      <c r="Q43" s="92"/>
      <c r="R43" s="919"/>
      <c r="S43" s="14"/>
    </row>
    <row r="44" spans="1:19" ht="19.149999999999999" customHeight="1" x14ac:dyDescent="0.2">
      <c r="A44" s="172"/>
      <c r="B44" s="164"/>
      <c r="C44" s="171"/>
      <c r="D44" s="942"/>
      <c r="E44" s="942"/>
      <c r="F44" s="1562"/>
      <c r="G44" s="139"/>
      <c r="H44" s="868"/>
      <c r="I44" s="6" t="s">
        <v>14</v>
      </c>
      <c r="J44" s="890">
        <v>73.3</v>
      </c>
      <c r="K44" s="137"/>
      <c r="L44" s="951"/>
      <c r="M44" s="897"/>
      <c r="N44" s="1547"/>
      <c r="O44" s="868"/>
      <c r="P44" s="71"/>
      <c r="Q44" s="92"/>
      <c r="R44" s="919"/>
      <c r="S44" s="14"/>
    </row>
    <row r="45" spans="1:19" ht="17.25" customHeight="1" x14ac:dyDescent="0.2">
      <c r="A45" s="172"/>
      <c r="B45" s="164"/>
      <c r="C45" s="171"/>
      <c r="D45" s="942"/>
      <c r="E45" s="942"/>
      <c r="F45" s="1562"/>
      <c r="G45" s="139"/>
      <c r="H45" s="868"/>
      <c r="I45" s="6" t="s">
        <v>34</v>
      </c>
      <c r="J45" s="417">
        <v>832.7</v>
      </c>
      <c r="K45" s="105">
        <v>826.3</v>
      </c>
      <c r="L45" s="103">
        <v>826.3</v>
      </c>
      <c r="M45" s="369">
        <v>826.3</v>
      </c>
      <c r="N45" s="75"/>
      <c r="O45" s="868"/>
      <c r="P45" s="523"/>
      <c r="Q45" s="92"/>
      <c r="R45" s="919"/>
      <c r="S45" s="14"/>
    </row>
    <row r="46" spans="1:19" ht="18.75" customHeight="1" x14ac:dyDescent="0.2">
      <c r="A46" s="172"/>
      <c r="B46" s="164"/>
      <c r="C46" s="171"/>
      <c r="D46" s="942"/>
      <c r="E46" s="942"/>
      <c r="F46" s="882"/>
      <c r="G46" s="139"/>
      <c r="H46" s="868"/>
      <c r="I46" s="223" t="s">
        <v>14</v>
      </c>
      <c r="J46" s="417">
        <v>282.2</v>
      </c>
      <c r="K46" s="482"/>
      <c r="L46" s="905"/>
      <c r="M46" s="369"/>
      <c r="N46" s="285"/>
      <c r="O46" s="856"/>
      <c r="P46" s="482"/>
      <c r="Q46" s="91"/>
      <c r="R46" s="934"/>
      <c r="S46" s="14"/>
    </row>
    <row r="47" spans="1:19" ht="18.600000000000001" customHeight="1" x14ac:dyDescent="0.2">
      <c r="A47" s="172"/>
      <c r="B47" s="164"/>
      <c r="C47" s="171"/>
      <c r="D47" s="942"/>
      <c r="E47" s="942"/>
      <c r="F47" s="882"/>
      <c r="G47" s="139"/>
      <c r="H47" s="868"/>
      <c r="I47" s="223" t="s">
        <v>14</v>
      </c>
      <c r="J47" s="417">
        <f>286.2-196.7</f>
        <v>89.5</v>
      </c>
      <c r="K47" s="482"/>
      <c r="L47" s="905"/>
      <c r="M47" s="369"/>
      <c r="N47" s="1591" t="s">
        <v>304</v>
      </c>
      <c r="O47" s="868">
        <v>59</v>
      </c>
      <c r="P47" s="71"/>
      <c r="Q47" s="92"/>
      <c r="R47" s="919"/>
      <c r="S47" s="14"/>
    </row>
    <row r="48" spans="1:19" ht="18.600000000000001" customHeight="1" thickBot="1" x14ac:dyDescent="0.25">
      <c r="A48" s="172"/>
      <c r="B48" s="164"/>
      <c r="C48" s="171"/>
      <c r="D48" s="943"/>
      <c r="E48" s="943"/>
      <c r="F48" s="858"/>
      <c r="G48" s="139"/>
      <c r="H48" s="868"/>
      <c r="I48" s="134" t="s">
        <v>14</v>
      </c>
      <c r="J48" s="422">
        <v>17.600000000000001</v>
      </c>
      <c r="K48" s="524"/>
      <c r="L48" s="525"/>
      <c r="M48" s="373"/>
      <c r="N48" s="1800"/>
      <c r="O48" s="873"/>
      <c r="P48" s="12"/>
      <c r="Q48" s="860"/>
      <c r="R48" s="917"/>
      <c r="S48" s="14"/>
    </row>
    <row r="49" spans="1:21" ht="41.25" customHeight="1" x14ac:dyDescent="0.2">
      <c r="A49" s="172"/>
      <c r="B49" s="164"/>
      <c r="C49" s="171"/>
      <c r="D49" s="486" t="s">
        <v>110</v>
      </c>
      <c r="E49" s="486"/>
      <c r="F49" s="880" t="s">
        <v>506</v>
      </c>
      <c r="G49" s="139"/>
      <c r="H49" s="868"/>
      <c r="I49" s="223" t="s">
        <v>11</v>
      </c>
      <c r="J49" s="418">
        <v>6.2</v>
      </c>
      <c r="K49" s="482"/>
      <c r="L49" s="905"/>
      <c r="M49" s="915"/>
      <c r="N49" s="763" t="s">
        <v>259</v>
      </c>
      <c r="O49" s="856">
        <v>1</v>
      </c>
      <c r="P49" s="2"/>
      <c r="Q49" s="91"/>
      <c r="R49" s="934"/>
      <c r="S49" s="14"/>
    </row>
    <row r="50" spans="1:21" ht="105" customHeight="1" x14ac:dyDescent="0.2">
      <c r="A50" s="172"/>
      <c r="B50" s="164"/>
      <c r="C50" s="171"/>
      <c r="D50" s="942" t="s">
        <v>111</v>
      </c>
      <c r="E50" s="942"/>
      <c r="F50" s="882" t="s">
        <v>507</v>
      </c>
      <c r="G50" s="139"/>
      <c r="H50" s="868"/>
      <c r="I50" s="6" t="s">
        <v>11</v>
      </c>
      <c r="J50" s="417">
        <v>7.1</v>
      </c>
      <c r="K50" s="105"/>
      <c r="L50" s="103"/>
      <c r="M50" s="369"/>
      <c r="N50" s="939" t="s">
        <v>259</v>
      </c>
      <c r="O50" s="38">
        <v>5</v>
      </c>
      <c r="P50" s="13"/>
      <c r="Q50" s="90"/>
      <c r="R50" s="126"/>
      <c r="S50" s="14"/>
    </row>
    <row r="51" spans="1:21" ht="15.6" customHeight="1" x14ac:dyDescent="0.2">
      <c r="A51" s="172"/>
      <c r="B51" s="164"/>
      <c r="C51" s="171"/>
      <c r="D51" s="509" t="s">
        <v>4</v>
      </c>
      <c r="E51" s="509"/>
      <c r="F51" s="1561" t="s">
        <v>505</v>
      </c>
      <c r="G51" s="139" t="s">
        <v>269</v>
      </c>
      <c r="H51" s="868"/>
      <c r="I51" s="85" t="s">
        <v>11</v>
      </c>
      <c r="J51" s="900">
        <f>13.6+65.6</f>
        <v>79.199999999999989</v>
      </c>
      <c r="K51" s="523">
        <v>119.4</v>
      </c>
      <c r="L51" s="948"/>
      <c r="M51" s="898"/>
      <c r="N51" s="14" t="s">
        <v>70</v>
      </c>
      <c r="O51" s="868">
        <v>7</v>
      </c>
      <c r="P51" s="71">
        <v>6</v>
      </c>
      <c r="Q51" s="693"/>
      <c r="R51" s="710"/>
      <c r="S51" s="1591"/>
      <c r="T51" s="1592"/>
      <c r="U51" s="1592"/>
    </row>
    <row r="52" spans="1:21" ht="15.6" customHeight="1" x14ac:dyDescent="0.2">
      <c r="A52" s="172"/>
      <c r="B52" s="164"/>
      <c r="C52" s="171"/>
      <c r="D52" s="942"/>
      <c r="E52" s="942"/>
      <c r="F52" s="1562"/>
      <c r="G52" s="139"/>
      <c r="H52" s="868"/>
      <c r="I52" s="6" t="s">
        <v>132</v>
      </c>
      <c r="J52" s="416">
        <v>515.70000000000005</v>
      </c>
      <c r="K52" s="105">
        <v>95.2</v>
      </c>
      <c r="L52" s="103"/>
      <c r="M52" s="278"/>
      <c r="N52" s="14"/>
      <c r="O52" s="868"/>
      <c r="P52" s="71"/>
      <c r="Q52" s="92"/>
      <c r="R52" s="919"/>
      <c r="S52" s="1591"/>
      <c r="T52" s="1592"/>
      <c r="U52" s="1592"/>
    </row>
    <row r="53" spans="1:21" ht="15.6" customHeight="1" x14ac:dyDescent="0.2">
      <c r="A53" s="172"/>
      <c r="B53" s="164"/>
      <c r="C53" s="171"/>
      <c r="D53" s="486"/>
      <c r="E53" s="486"/>
      <c r="F53" s="1563"/>
      <c r="G53" s="139"/>
      <c r="H53" s="868"/>
      <c r="I53" s="223" t="s">
        <v>65</v>
      </c>
      <c r="J53" s="891">
        <f>76.8+371.7</f>
        <v>448.5</v>
      </c>
      <c r="K53" s="482">
        <v>675.9</v>
      </c>
      <c r="L53" s="905"/>
      <c r="M53" s="899"/>
      <c r="N53" s="349"/>
      <c r="O53" s="856"/>
      <c r="P53" s="2"/>
      <c r="Q53" s="91"/>
      <c r="R53" s="934"/>
      <c r="S53" s="1591"/>
      <c r="T53" s="1592"/>
      <c r="U53" s="1592"/>
    </row>
    <row r="54" spans="1:21" ht="53.25" customHeight="1" thickBot="1" x14ac:dyDescent="0.25">
      <c r="A54" s="172"/>
      <c r="B54" s="164"/>
      <c r="C54" s="171"/>
      <c r="D54" s="29" t="s">
        <v>112</v>
      </c>
      <c r="E54" s="942"/>
      <c r="F54" s="882" t="s">
        <v>236</v>
      </c>
      <c r="G54" s="139"/>
      <c r="H54" s="868"/>
      <c r="I54" s="12" t="s">
        <v>14</v>
      </c>
      <c r="J54" s="900">
        <v>196</v>
      </c>
      <c r="K54" s="523"/>
      <c r="L54" s="948"/>
      <c r="M54" s="898"/>
      <c r="N54" s="14" t="s">
        <v>237</v>
      </c>
      <c r="O54" s="868">
        <v>34</v>
      </c>
      <c r="P54" s="71"/>
      <c r="Q54" s="92"/>
      <c r="R54" s="919"/>
      <c r="S54" s="14"/>
    </row>
    <row r="55" spans="1:21" ht="42.75" customHeight="1" thickBot="1" x14ac:dyDescent="0.25">
      <c r="A55" s="172"/>
      <c r="B55" s="164"/>
      <c r="C55" s="171"/>
      <c r="D55" s="884" t="s">
        <v>113</v>
      </c>
      <c r="E55" s="883"/>
      <c r="F55" s="857" t="s">
        <v>139</v>
      </c>
      <c r="G55" s="139" t="s">
        <v>269</v>
      </c>
      <c r="H55" s="868"/>
      <c r="I55" s="62" t="s">
        <v>11</v>
      </c>
      <c r="J55" s="415">
        <v>13.9</v>
      </c>
      <c r="K55" s="110">
        <v>13.9</v>
      </c>
      <c r="L55" s="904">
        <v>13.9</v>
      </c>
      <c r="M55" s="906">
        <v>13.9</v>
      </c>
      <c r="N55" s="138" t="s">
        <v>70</v>
      </c>
      <c r="O55" s="412">
        <v>4</v>
      </c>
      <c r="P55" s="48">
        <v>4</v>
      </c>
      <c r="Q55" s="124">
        <v>4</v>
      </c>
      <c r="R55" s="146">
        <v>4</v>
      </c>
      <c r="S55" s="14"/>
    </row>
    <row r="56" spans="1:21" ht="21.75" customHeight="1" x14ac:dyDescent="0.2">
      <c r="A56" s="172"/>
      <c r="B56" s="164"/>
      <c r="C56" s="171"/>
      <c r="D56" s="26" t="s">
        <v>114</v>
      </c>
      <c r="E56" s="21"/>
      <c r="F56" s="1888" t="s">
        <v>196</v>
      </c>
      <c r="G56" s="879" t="s">
        <v>269</v>
      </c>
      <c r="H56" s="868"/>
      <c r="I56" s="136" t="s">
        <v>14</v>
      </c>
      <c r="J56" s="421">
        <f>2817.4+92.7</f>
        <v>2910.1</v>
      </c>
      <c r="K56" s="179">
        <v>3598.6</v>
      </c>
      <c r="L56" s="142">
        <v>3598.6</v>
      </c>
      <c r="M56" s="372">
        <v>3598.6</v>
      </c>
      <c r="N56" s="1799" t="s">
        <v>70</v>
      </c>
      <c r="O56" s="1619">
        <v>7</v>
      </c>
      <c r="P56" s="11">
        <v>7</v>
      </c>
      <c r="Q56" s="965">
        <v>9</v>
      </c>
      <c r="R56" s="1614">
        <v>9</v>
      </c>
      <c r="S56" s="14"/>
    </row>
    <row r="57" spans="1:21" ht="21.75" customHeight="1" x14ac:dyDescent="0.2">
      <c r="A57" s="172"/>
      <c r="B57" s="164"/>
      <c r="C57" s="171"/>
      <c r="D57" s="942"/>
      <c r="E57" s="22"/>
      <c r="F57" s="1889"/>
      <c r="G57" s="879" t="s">
        <v>270</v>
      </c>
      <c r="H57" s="868"/>
      <c r="I57" s="223" t="s">
        <v>14</v>
      </c>
      <c r="J57" s="418">
        <v>0.7</v>
      </c>
      <c r="K57" s="482"/>
      <c r="L57" s="905"/>
      <c r="M57" s="915"/>
      <c r="N57" s="1591"/>
      <c r="O57" s="1768"/>
      <c r="P57" s="71"/>
      <c r="Q57" s="92"/>
      <c r="R57" s="1615"/>
      <c r="S57" s="14"/>
    </row>
    <row r="58" spans="1:21" ht="21.75" customHeight="1" x14ac:dyDescent="0.2">
      <c r="A58" s="172"/>
      <c r="B58" s="164"/>
      <c r="C58" s="171"/>
      <c r="D58" s="942"/>
      <c r="E58" s="22"/>
      <c r="F58" s="1889"/>
      <c r="G58" s="879"/>
      <c r="H58" s="868"/>
      <c r="I58" s="223" t="s">
        <v>14</v>
      </c>
      <c r="J58" s="418">
        <v>19.5</v>
      </c>
      <c r="K58" s="482"/>
      <c r="L58" s="905"/>
      <c r="M58" s="915"/>
      <c r="N58" s="910"/>
      <c r="O58" s="868"/>
      <c r="P58" s="71"/>
      <c r="Q58" s="92"/>
      <c r="R58" s="919"/>
      <c r="S58" s="14"/>
    </row>
    <row r="59" spans="1:21" ht="21.75" customHeight="1" x14ac:dyDescent="0.2">
      <c r="A59" s="172"/>
      <c r="B59" s="164"/>
      <c r="C59" s="171"/>
      <c r="D59" s="942"/>
      <c r="E59" s="22"/>
      <c r="F59" s="1889"/>
      <c r="G59" s="879"/>
      <c r="H59" s="868"/>
      <c r="I59" s="6" t="s">
        <v>14</v>
      </c>
      <c r="J59" s="417">
        <f>36+1.1</f>
        <v>37.1</v>
      </c>
      <c r="K59" s="105"/>
      <c r="L59" s="103"/>
      <c r="M59" s="369"/>
      <c r="N59" s="42" t="s">
        <v>71</v>
      </c>
      <c r="O59" s="855">
        <v>1331</v>
      </c>
      <c r="P59" s="1">
        <v>1447</v>
      </c>
      <c r="Q59" s="859">
        <v>1540</v>
      </c>
      <c r="R59" s="918">
        <v>1540</v>
      </c>
      <c r="S59" s="14"/>
    </row>
    <row r="60" spans="1:21" ht="21.75" customHeight="1" thickBot="1" x14ac:dyDescent="0.25">
      <c r="A60" s="172"/>
      <c r="B60" s="164"/>
      <c r="C60" s="171"/>
      <c r="D60" s="943"/>
      <c r="E60" s="943"/>
      <c r="F60" s="350"/>
      <c r="G60" s="879"/>
      <c r="H60" s="868"/>
      <c r="I60" s="71" t="s">
        <v>14</v>
      </c>
      <c r="J60" s="896">
        <v>4.8</v>
      </c>
      <c r="K60" s="523"/>
      <c r="L60" s="948"/>
      <c r="M60" s="914"/>
      <c r="N60" s="14"/>
      <c r="O60" s="868"/>
      <c r="P60" s="71"/>
      <c r="Q60" s="92"/>
      <c r="R60" s="919"/>
      <c r="S60" s="14"/>
    </row>
    <row r="61" spans="1:21" ht="40.5" customHeight="1" thickBot="1" x14ac:dyDescent="0.25">
      <c r="A61" s="172"/>
      <c r="B61" s="164"/>
      <c r="C61" s="171"/>
      <c r="D61" s="492" t="s">
        <v>115</v>
      </c>
      <c r="E61" s="492"/>
      <c r="F61" s="500" t="s">
        <v>260</v>
      </c>
      <c r="G61" s="139"/>
      <c r="H61" s="868"/>
      <c r="I61" s="493" t="s">
        <v>11</v>
      </c>
      <c r="J61" s="494">
        <v>210</v>
      </c>
      <c r="K61" s="526"/>
      <c r="L61" s="527"/>
      <c r="M61" s="496"/>
      <c r="N61" s="497" t="s">
        <v>261</v>
      </c>
      <c r="O61" s="498">
        <v>27</v>
      </c>
      <c r="P61" s="62"/>
      <c r="Q61" s="495"/>
      <c r="R61" s="499"/>
      <c r="S61" s="14"/>
    </row>
    <row r="62" spans="1:21" ht="21.75" customHeight="1" x14ac:dyDescent="0.2">
      <c r="A62" s="172"/>
      <c r="B62" s="164"/>
      <c r="C62" s="171"/>
      <c r="D62" s="26" t="s">
        <v>116</v>
      </c>
      <c r="E62" s="26"/>
      <c r="F62" s="1555" t="s">
        <v>119</v>
      </c>
      <c r="G62" s="139" t="s">
        <v>269</v>
      </c>
      <c r="H62" s="868"/>
      <c r="I62" s="11" t="s">
        <v>11</v>
      </c>
      <c r="J62" s="931">
        <f>44.8-18-11</f>
        <v>15.799999999999997</v>
      </c>
      <c r="K62" s="110">
        <v>44.8</v>
      </c>
      <c r="L62" s="904">
        <v>44.7</v>
      </c>
      <c r="M62" s="913">
        <v>44.7</v>
      </c>
      <c r="N62" s="1863" t="s">
        <v>104</v>
      </c>
      <c r="O62" s="1619">
        <v>1885</v>
      </c>
      <c r="P62" s="11">
        <v>1877</v>
      </c>
      <c r="Q62" s="965">
        <v>1900</v>
      </c>
      <c r="R62" s="1614">
        <v>1950</v>
      </c>
      <c r="S62" s="14"/>
    </row>
    <row r="63" spans="1:21" s="174" customFormat="1" ht="24.6" customHeight="1" thickBot="1" x14ac:dyDescent="0.25">
      <c r="A63" s="157"/>
      <c r="B63" s="164"/>
      <c r="C63" s="170"/>
      <c r="D63" s="942"/>
      <c r="E63" s="942"/>
      <c r="F63" s="1562"/>
      <c r="G63" s="140"/>
      <c r="H63" s="868"/>
      <c r="I63" s="12"/>
      <c r="J63" s="932"/>
      <c r="K63" s="469"/>
      <c r="L63" s="933"/>
      <c r="M63" s="930"/>
      <c r="N63" s="1864"/>
      <c r="O63" s="1785"/>
      <c r="P63" s="12"/>
      <c r="Q63" s="860"/>
      <c r="R63" s="1640"/>
      <c r="S63" s="286"/>
    </row>
    <row r="64" spans="1:21" s="174" customFormat="1" ht="45.6" customHeight="1" thickBot="1" x14ac:dyDescent="0.25">
      <c r="A64" s="157"/>
      <c r="B64" s="164"/>
      <c r="C64" s="170"/>
      <c r="D64" s="823" t="s">
        <v>117</v>
      </c>
      <c r="E64" s="823"/>
      <c r="F64" s="500" t="s">
        <v>273</v>
      </c>
      <c r="G64" s="140" t="s">
        <v>274</v>
      </c>
      <c r="H64" s="868"/>
      <c r="I64" s="493" t="s">
        <v>11</v>
      </c>
      <c r="J64" s="494"/>
      <c r="K64" s="526">
        <v>361.4</v>
      </c>
      <c r="L64" s="527"/>
      <c r="M64" s="496"/>
      <c r="N64" s="910" t="s">
        <v>104</v>
      </c>
      <c r="O64" s="868"/>
      <c r="P64" s="71">
        <v>1960</v>
      </c>
      <c r="Q64" s="92"/>
      <c r="R64" s="919"/>
      <c r="S64" s="286"/>
    </row>
    <row r="65" spans="1:19" ht="15.6" customHeight="1" x14ac:dyDescent="0.2">
      <c r="A65" s="169"/>
      <c r="B65" s="164"/>
      <c r="C65" s="171"/>
      <c r="D65" s="26" t="s">
        <v>118</v>
      </c>
      <c r="E65" s="26"/>
      <c r="F65" s="1555" t="s">
        <v>197</v>
      </c>
      <c r="G65" s="139" t="s">
        <v>269</v>
      </c>
      <c r="H65" s="868"/>
      <c r="I65" s="71" t="s">
        <v>11</v>
      </c>
      <c r="J65" s="528">
        <f>7547+4.1+18+1.9</f>
        <v>7571</v>
      </c>
      <c r="K65" s="523">
        <v>8515.2999999999993</v>
      </c>
      <c r="L65" s="948">
        <v>8527.2999999999993</v>
      </c>
      <c r="M65" s="529">
        <v>8527.2999999999993</v>
      </c>
      <c r="N65" s="138" t="s">
        <v>70</v>
      </c>
      <c r="O65" s="412">
        <v>6</v>
      </c>
      <c r="P65" s="48">
        <v>6</v>
      </c>
      <c r="Q65" s="124">
        <v>6</v>
      </c>
      <c r="R65" s="146">
        <v>6</v>
      </c>
      <c r="S65" s="14"/>
    </row>
    <row r="66" spans="1:19" ht="15.6" customHeight="1" x14ac:dyDescent="0.2">
      <c r="A66" s="169"/>
      <c r="B66" s="164"/>
      <c r="C66" s="171"/>
      <c r="D66" s="942"/>
      <c r="E66" s="942"/>
      <c r="F66" s="1562"/>
      <c r="G66" s="141"/>
      <c r="H66" s="868"/>
      <c r="I66" s="13" t="s">
        <v>14</v>
      </c>
      <c r="J66" s="417">
        <v>153.80000000000001</v>
      </c>
      <c r="K66" s="105">
        <v>164.4</v>
      </c>
      <c r="L66" s="103">
        <v>164.4</v>
      </c>
      <c r="M66" s="369">
        <v>164.4</v>
      </c>
      <c r="N66" s="42" t="s">
        <v>71</v>
      </c>
      <c r="O66" s="38">
        <v>4500</v>
      </c>
      <c r="P66" s="1">
        <v>4309</v>
      </c>
      <c r="Q66" s="859">
        <v>4500</v>
      </c>
      <c r="R66" s="126">
        <v>4500</v>
      </c>
      <c r="S66" s="14"/>
    </row>
    <row r="67" spans="1:19" ht="12.75" customHeight="1" x14ac:dyDescent="0.2">
      <c r="A67" s="169"/>
      <c r="B67" s="164"/>
      <c r="C67" s="171"/>
      <c r="D67" s="942"/>
      <c r="E67" s="942"/>
      <c r="F67" s="1562"/>
      <c r="G67" s="141"/>
      <c r="H67" s="868"/>
      <c r="I67" s="84" t="s">
        <v>34</v>
      </c>
      <c r="J67" s="895">
        <f>321.9</f>
        <v>321.89999999999998</v>
      </c>
      <c r="K67" s="137">
        <v>322.8</v>
      </c>
      <c r="L67" s="951">
        <v>323</v>
      </c>
      <c r="M67" s="370">
        <v>322.8</v>
      </c>
      <c r="N67" s="1546" t="s">
        <v>210</v>
      </c>
      <c r="O67" s="855">
        <v>190</v>
      </c>
      <c r="P67" s="1">
        <v>180</v>
      </c>
      <c r="Q67" s="859">
        <v>170</v>
      </c>
      <c r="R67" s="918">
        <v>170</v>
      </c>
      <c r="S67" s="14"/>
    </row>
    <row r="68" spans="1:19" ht="4.5" customHeight="1" x14ac:dyDescent="0.2">
      <c r="A68" s="169"/>
      <c r="B68" s="164"/>
      <c r="C68" s="171"/>
      <c r="D68" s="942"/>
      <c r="E68" s="942"/>
      <c r="F68" s="1562"/>
      <c r="G68" s="141"/>
      <c r="H68" s="868"/>
      <c r="I68" s="223"/>
      <c r="J68" s="418"/>
      <c r="K68" s="482"/>
      <c r="L68" s="905"/>
      <c r="M68" s="915"/>
      <c r="N68" s="1547"/>
      <c r="O68" s="868"/>
      <c r="P68" s="71"/>
      <c r="Q68" s="92"/>
      <c r="R68" s="919"/>
      <c r="S68" s="14"/>
    </row>
    <row r="69" spans="1:19" ht="15.6" customHeight="1" x14ac:dyDescent="0.2">
      <c r="A69" s="169"/>
      <c r="B69" s="164"/>
      <c r="C69" s="171"/>
      <c r="D69" s="486"/>
      <c r="E69" s="486"/>
      <c r="F69" s="1563"/>
      <c r="G69" s="141"/>
      <c r="H69" s="868"/>
      <c r="I69" s="223" t="s">
        <v>63</v>
      </c>
      <c r="J69" s="418"/>
      <c r="K69" s="482">
        <v>1.4</v>
      </c>
      <c r="L69" s="905"/>
      <c r="M69" s="915"/>
      <c r="N69" s="1564"/>
      <c r="O69" s="856"/>
      <c r="P69" s="2"/>
      <c r="Q69" s="91"/>
      <c r="R69" s="934"/>
      <c r="S69" s="14"/>
    </row>
    <row r="70" spans="1:19" ht="29.25" customHeight="1" x14ac:dyDescent="0.2">
      <c r="A70" s="169"/>
      <c r="B70" s="164"/>
      <c r="C70" s="171"/>
      <c r="D70" s="893" t="s">
        <v>160</v>
      </c>
      <c r="E70" s="893"/>
      <c r="F70" s="880" t="s">
        <v>275</v>
      </c>
      <c r="G70" s="786" t="s">
        <v>274</v>
      </c>
      <c r="H70" s="868"/>
      <c r="I70" s="6" t="s">
        <v>11</v>
      </c>
      <c r="J70" s="417"/>
      <c r="K70" s="105">
        <v>35.299999999999997</v>
      </c>
      <c r="L70" s="103">
        <v>32.4</v>
      </c>
      <c r="M70" s="369">
        <v>53</v>
      </c>
      <c r="N70" s="939" t="s">
        <v>276</v>
      </c>
      <c r="O70" s="38"/>
      <c r="P70" s="13">
        <v>74</v>
      </c>
      <c r="Q70" s="90">
        <v>96</v>
      </c>
      <c r="R70" s="126">
        <v>65</v>
      </c>
      <c r="S70" s="14"/>
    </row>
    <row r="71" spans="1:19" ht="40.5" customHeight="1" x14ac:dyDescent="0.2">
      <c r="A71" s="169"/>
      <c r="B71" s="164"/>
      <c r="C71" s="171"/>
      <c r="D71" s="464" t="s">
        <v>161</v>
      </c>
      <c r="E71" s="464"/>
      <c r="F71" s="76" t="s">
        <v>508</v>
      </c>
      <c r="G71" s="139" t="s">
        <v>274</v>
      </c>
      <c r="H71" s="868"/>
      <c r="I71" s="223" t="s">
        <v>11</v>
      </c>
      <c r="J71" s="418"/>
      <c r="K71" s="482">
        <v>43.9</v>
      </c>
      <c r="L71" s="905"/>
      <c r="M71" s="915"/>
      <c r="N71" s="763" t="s">
        <v>302</v>
      </c>
      <c r="O71" s="856"/>
      <c r="P71" s="2">
        <v>33</v>
      </c>
      <c r="Q71" s="91"/>
      <c r="R71" s="934"/>
      <c r="S71" s="14"/>
    </row>
    <row r="72" spans="1:19" ht="28.5" customHeight="1" thickBot="1" x14ac:dyDescent="0.25">
      <c r="A72" s="169"/>
      <c r="B72" s="164"/>
      <c r="C72" s="171"/>
      <c r="D72" s="330" t="s">
        <v>162</v>
      </c>
      <c r="E72" s="884"/>
      <c r="F72" s="882" t="s">
        <v>277</v>
      </c>
      <c r="G72" s="139" t="s">
        <v>274</v>
      </c>
      <c r="H72" s="868"/>
      <c r="I72" s="71" t="s">
        <v>11</v>
      </c>
      <c r="J72" s="896"/>
      <c r="K72" s="523">
        <v>31.6</v>
      </c>
      <c r="L72" s="948"/>
      <c r="M72" s="914"/>
      <c r="N72" s="910" t="s">
        <v>297</v>
      </c>
      <c r="O72" s="868"/>
      <c r="P72" s="71">
        <v>2</v>
      </c>
      <c r="Q72" s="92"/>
      <c r="R72" s="919"/>
      <c r="S72" s="14"/>
    </row>
    <row r="73" spans="1:19" ht="17.25" customHeight="1" x14ac:dyDescent="0.2">
      <c r="A73" s="169"/>
      <c r="B73" s="164"/>
      <c r="C73" s="171"/>
      <c r="D73" s="26" t="s">
        <v>163</v>
      </c>
      <c r="E73" s="26"/>
      <c r="F73" s="1537" t="s">
        <v>198</v>
      </c>
      <c r="G73" s="144" t="s">
        <v>258</v>
      </c>
      <c r="H73" s="868"/>
      <c r="I73" s="48" t="s">
        <v>11</v>
      </c>
      <c r="J73" s="415">
        <f>463.8+24.8</f>
        <v>488.6</v>
      </c>
      <c r="K73" s="110">
        <v>433.9</v>
      </c>
      <c r="L73" s="904">
        <v>433.9</v>
      </c>
      <c r="M73" s="906">
        <v>433.9</v>
      </c>
      <c r="N73" s="186" t="s">
        <v>168</v>
      </c>
      <c r="O73" s="867">
        <v>10000</v>
      </c>
      <c r="P73" s="11">
        <v>10000</v>
      </c>
      <c r="Q73" s="965">
        <v>10000</v>
      </c>
      <c r="R73" s="916">
        <v>10000</v>
      </c>
      <c r="S73" s="14"/>
    </row>
    <row r="74" spans="1:19" ht="18" customHeight="1" x14ac:dyDescent="0.2">
      <c r="A74" s="169"/>
      <c r="B74" s="164"/>
      <c r="C74" s="171"/>
      <c r="D74" s="942"/>
      <c r="E74" s="942"/>
      <c r="F74" s="1616"/>
      <c r="G74" s="139" t="s">
        <v>269</v>
      </c>
      <c r="H74" s="868"/>
      <c r="I74" s="13" t="s">
        <v>14</v>
      </c>
      <c r="J74" s="417">
        <v>499.1</v>
      </c>
      <c r="K74" s="105">
        <v>884.5</v>
      </c>
      <c r="L74" s="103">
        <v>884.5</v>
      </c>
      <c r="M74" s="369">
        <v>884.5</v>
      </c>
      <c r="N74" s="187" t="s">
        <v>79</v>
      </c>
      <c r="O74" s="38">
        <f>9+3+8+3+3+2+20+1+2+2+4</f>
        <v>57</v>
      </c>
      <c r="P74" s="13"/>
      <c r="Q74" s="90"/>
      <c r="R74" s="126"/>
      <c r="S74" s="14"/>
    </row>
    <row r="75" spans="1:19" ht="30" customHeight="1" x14ac:dyDescent="0.2">
      <c r="A75" s="169"/>
      <c r="B75" s="164"/>
      <c r="C75" s="171"/>
      <c r="D75" s="942"/>
      <c r="E75" s="942"/>
      <c r="F75" s="1616"/>
      <c r="G75" s="139" t="s">
        <v>270</v>
      </c>
      <c r="H75" s="868"/>
      <c r="I75" s="1" t="s">
        <v>34</v>
      </c>
      <c r="J75" s="895">
        <v>18</v>
      </c>
      <c r="K75" s="137">
        <v>18</v>
      </c>
      <c r="L75" s="951">
        <v>18</v>
      </c>
      <c r="M75" s="370">
        <v>18</v>
      </c>
      <c r="N75" s="939" t="s">
        <v>145</v>
      </c>
      <c r="O75" s="38">
        <v>2</v>
      </c>
      <c r="P75" s="13">
        <v>1</v>
      </c>
      <c r="Q75" s="90">
        <v>1</v>
      </c>
      <c r="R75" s="126"/>
      <c r="S75" s="14"/>
    </row>
    <row r="76" spans="1:19" ht="18" customHeight="1" thickBot="1" x14ac:dyDescent="0.25">
      <c r="A76" s="169"/>
      <c r="B76" s="164"/>
      <c r="C76" s="171"/>
      <c r="D76" s="943"/>
      <c r="E76" s="943"/>
      <c r="F76" s="935"/>
      <c r="G76" s="964"/>
      <c r="H76" s="868"/>
      <c r="I76" s="12"/>
      <c r="J76" s="932"/>
      <c r="K76" s="469"/>
      <c r="L76" s="933"/>
      <c r="M76" s="930"/>
      <c r="N76" s="908" t="s">
        <v>227</v>
      </c>
      <c r="O76" s="873">
        <v>12</v>
      </c>
      <c r="P76" s="12">
        <v>1</v>
      </c>
      <c r="Q76" s="860">
        <v>1</v>
      </c>
      <c r="R76" s="917"/>
      <c r="S76" s="14"/>
    </row>
    <row r="77" spans="1:19" ht="18" customHeight="1" x14ac:dyDescent="0.2">
      <c r="A77" s="169"/>
      <c r="B77" s="164"/>
      <c r="C77" s="171"/>
      <c r="D77" s="26" t="s">
        <v>164</v>
      </c>
      <c r="E77" s="26"/>
      <c r="F77" s="1537" t="s">
        <v>154</v>
      </c>
      <c r="G77" s="145"/>
      <c r="H77" s="868"/>
      <c r="I77" s="13" t="s">
        <v>63</v>
      </c>
      <c r="J77" s="895">
        <v>5.4</v>
      </c>
      <c r="K77" s="137"/>
      <c r="L77" s="951"/>
      <c r="M77" s="370"/>
      <c r="N77" s="910" t="s">
        <v>52</v>
      </c>
      <c r="O77" s="867">
        <v>100</v>
      </c>
      <c r="P77" s="71"/>
      <c r="Q77" s="92"/>
      <c r="R77" s="916"/>
      <c r="S77" s="14"/>
    </row>
    <row r="78" spans="1:19" ht="18" customHeight="1" x14ac:dyDescent="0.2">
      <c r="A78" s="169"/>
      <c r="B78" s="164"/>
      <c r="C78" s="171"/>
      <c r="D78" s="942"/>
      <c r="E78" s="942"/>
      <c r="F78" s="1616"/>
      <c r="G78" s="145"/>
      <c r="H78" s="868"/>
      <c r="I78" s="1" t="s">
        <v>14</v>
      </c>
      <c r="J78" s="895">
        <v>0.9</v>
      </c>
      <c r="K78" s="137"/>
      <c r="L78" s="951"/>
      <c r="M78" s="370"/>
      <c r="N78" s="910"/>
      <c r="O78" s="868"/>
      <c r="P78" s="71"/>
      <c r="Q78" s="92"/>
      <c r="R78" s="919"/>
      <c r="S78" s="14"/>
    </row>
    <row r="79" spans="1:19" ht="18" customHeight="1" thickBot="1" x14ac:dyDescent="0.25">
      <c r="A79" s="169"/>
      <c r="B79" s="164"/>
      <c r="C79" s="171"/>
      <c r="D79" s="943"/>
      <c r="E79" s="943"/>
      <c r="F79" s="1658"/>
      <c r="G79" s="145"/>
      <c r="H79" s="868"/>
      <c r="I79" s="12"/>
      <c r="J79" s="932"/>
      <c r="K79" s="469"/>
      <c r="L79" s="933"/>
      <c r="M79" s="930"/>
      <c r="N79" s="910"/>
      <c r="O79" s="868"/>
      <c r="P79" s="71"/>
      <c r="Q79" s="92"/>
      <c r="R79" s="919"/>
      <c r="S79" s="14"/>
    </row>
    <row r="80" spans="1:19" ht="16.149999999999999" customHeight="1" x14ac:dyDescent="0.2">
      <c r="A80" s="175"/>
      <c r="B80" s="167"/>
      <c r="C80" s="165"/>
      <c r="D80" s="26" t="s">
        <v>165</v>
      </c>
      <c r="E80" s="26"/>
      <c r="F80" s="1882" t="s">
        <v>87</v>
      </c>
      <c r="G80" s="879" t="s">
        <v>269</v>
      </c>
      <c r="H80" s="868"/>
      <c r="I80" s="1619" t="s">
        <v>11</v>
      </c>
      <c r="J80" s="1885">
        <f>532.2+5+6.8</f>
        <v>544</v>
      </c>
      <c r="K80" s="1875">
        <v>673</v>
      </c>
      <c r="L80" s="1644">
        <v>673</v>
      </c>
      <c r="M80" s="1887">
        <v>673</v>
      </c>
      <c r="N80" s="455" t="s">
        <v>71</v>
      </c>
      <c r="O80" s="412"/>
      <c r="P80" s="48">
        <v>77</v>
      </c>
      <c r="Q80" s="124">
        <v>77</v>
      </c>
      <c r="R80" s="146">
        <v>77</v>
      </c>
      <c r="S80" s="14"/>
    </row>
    <row r="81" spans="1:19" ht="16.149999999999999" customHeight="1" x14ac:dyDescent="0.2">
      <c r="A81" s="175"/>
      <c r="B81" s="167"/>
      <c r="C81" s="165"/>
      <c r="D81" s="942"/>
      <c r="E81" s="942"/>
      <c r="F81" s="1884"/>
      <c r="G81" s="879" t="s">
        <v>270</v>
      </c>
      <c r="H81" s="868"/>
      <c r="I81" s="1620"/>
      <c r="J81" s="1886"/>
      <c r="K81" s="1820"/>
      <c r="L81" s="1646"/>
      <c r="M81" s="1806"/>
      <c r="N81" s="285" t="s">
        <v>168</v>
      </c>
      <c r="O81" s="856">
        <v>150</v>
      </c>
      <c r="P81" s="2">
        <v>150</v>
      </c>
      <c r="Q81" s="91">
        <v>160</v>
      </c>
      <c r="R81" s="934">
        <v>160</v>
      </c>
      <c r="S81" s="14"/>
    </row>
    <row r="82" spans="1:19" ht="15.6" customHeight="1" x14ac:dyDescent="0.2">
      <c r="A82" s="175"/>
      <c r="B82" s="167"/>
      <c r="C82" s="165"/>
      <c r="D82" s="942"/>
      <c r="E82" s="942"/>
      <c r="F82" s="1884"/>
      <c r="G82" s="454"/>
      <c r="H82" s="868"/>
      <c r="I82" s="2" t="s">
        <v>14</v>
      </c>
      <c r="J82" s="416">
        <f>179.7+16.1</f>
        <v>195.79999999999998</v>
      </c>
      <c r="K82" s="482">
        <v>247</v>
      </c>
      <c r="L82" s="905">
        <v>247</v>
      </c>
      <c r="M82" s="278">
        <v>247</v>
      </c>
      <c r="N82" s="1546" t="s">
        <v>303</v>
      </c>
      <c r="O82" s="868"/>
      <c r="P82" s="71">
        <v>2</v>
      </c>
      <c r="Q82" s="92"/>
      <c r="R82" s="919"/>
      <c r="S82" s="14"/>
    </row>
    <row r="83" spans="1:19" ht="13.5" customHeight="1" x14ac:dyDescent="0.2">
      <c r="A83" s="175"/>
      <c r="B83" s="167"/>
      <c r="C83" s="165"/>
      <c r="D83" s="1880"/>
      <c r="E83" s="1880"/>
      <c r="F83" s="1884"/>
      <c r="G83" s="454"/>
      <c r="H83" s="868"/>
      <c r="I83" s="1" t="s">
        <v>34</v>
      </c>
      <c r="J83" s="895">
        <v>39.6</v>
      </c>
      <c r="K83" s="137">
        <v>39.6</v>
      </c>
      <c r="L83" s="951">
        <v>39.6</v>
      </c>
      <c r="M83" s="370">
        <v>39.6</v>
      </c>
      <c r="N83" s="1564"/>
      <c r="O83" s="856"/>
      <c r="P83" s="2"/>
      <c r="Q83" s="91"/>
      <c r="R83" s="934"/>
      <c r="S83" s="14"/>
    </row>
    <row r="84" spans="1:19" ht="15.75" customHeight="1" x14ac:dyDescent="0.2">
      <c r="A84" s="175"/>
      <c r="B84" s="167"/>
      <c r="C84" s="165"/>
      <c r="D84" s="1880"/>
      <c r="E84" s="1880"/>
      <c r="F84" s="1884"/>
      <c r="G84" s="454"/>
      <c r="H84" s="868"/>
      <c r="I84" s="1" t="s">
        <v>14</v>
      </c>
      <c r="J84" s="895">
        <f>10-6.8</f>
        <v>3.2</v>
      </c>
      <c r="K84" s="137"/>
      <c r="L84" s="951"/>
      <c r="M84" s="370"/>
      <c r="N84" s="81" t="s">
        <v>304</v>
      </c>
      <c r="O84" s="38">
        <v>2</v>
      </c>
      <c r="P84" s="13"/>
      <c r="Q84" s="90"/>
      <c r="R84" s="126"/>
      <c r="S84" s="14"/>
    </row>
    <row r="85" spans="1:19" ht="29.25" customHeight="1" thickBot="1" x14ac:dyDescent="0.25">
      <c r="A85" s="175"/>
      <c r="B85" s="167"/>
      <c r="C85" s="165"/>
      <c r="D85" s="1881"/>
      <c r="E85" s="1881"/>
      <c r="F85" s="1883"/>
      <c r="G85" s="454"/>
      <c r="H85" s="868"/>
      <c r="I85" s="71"/>
      <c r="J85" s="896"/>
      <c r="K85" s="523"/>
      <c r="L85" s="948"/>
      <c r="M85" s="914"/>
      <c r="N85" s="82" t="s">
        <v>305</v>
      </c>
      <c r="O85" s="873"/>
      <c r="P85" s="469">
        <v>0.1</v>
      </c>
      <c r="Q85" s="860"/>
      <c r="R85" s="917"/>
      <c r="S85" s="14"/>
    </row>
    <row r="86" spans="1:19" ht="37.5" customHeight="1" x14ac:dyDescent="0.2">
      <c r="A86" s="175"/>
      <c r="B86" s="167"/>
      <c r="C86" s="165"/>
      <c r="D86" s="942" t="s">
        <v>233</v>
      </c>
      <c r="E86" s="942"/>
      <c r="F86" s="903" t="s">
        <v>88</v>
      </c>
      <c r="G86" s="139" t="s">
        <v>269</v>
      </c>
      <c r="H86" s="868"/>
      <c r="I86" s="11" t="s">
        <v>11</v>
      </c>
      <c r="J86" s="420">
        <f>227.8+3.5</f>
        <v>231.3</v>
      </c>
      <c r="K86" s="110">
        <v>298.3</v>
      </c>
      <c r="L86" s="904">
        <v>298.3</v>
      </c>
      <c r="M86" s="296">
        <v>298.3</v>
      </c>
      <c r="N86" s="349" t="s">
        <v>177</v>
      </c>
      <c r="O86" s="856">
        <v>2000</v>
      </c>
      <c r="P86" s="2">
        <v>2100</v>
      </c>
      <c r="Q86" s="91">
        <v>2190</v>
      </c>
      <c r="R86" s="934">
        <v>2190</v>
      </c>
      <c r="S86" s="14"/>
    </row>
    <row r="87" spans="1:19" ht="38.25" customHeight="1" x14ac:dyDescent="0.2">
      <c r="A87" s="175"/>
      <c r="B87" s="167"/>
      <c r="C87" s="165"/>
      <c r="D87" s="942"/>
      <c r="E87" s="942"/>
      <c r="F87" s="903"/>
      <c r="G87" s="964"/>
      <c r="H87" s="868"/>
      <c r="I87" s="1" t="s">
        <v>34</v>
      </c>
      <c r="J87" s="895">
        <v>30</v>
      </c>
      <c r="K87" s="137">
        <v>30</v>
      </c>
      <c r="L87" s="951">
        <v>30</v>
      </c>
      <c r="M87" s="370">
        <v>30</v>
      </c>
      <c r="N87" s="187" t="s">
        <v>306</v>
      </c>
      <c r="O87" s="868">
        <v>80</v>
      </c>
      <c r="P87" s="71">
        <v>85</v>
      </c>
      <c r="Q87" s="92">
        <v>90</v>
      </c>
      <c r="R87" s="919">
        <v>90</v>
      </c>
      <c r="S87" s="14"/>
    </row>
    <row r="88" spans="1:19" ht="30" customHeight="1" thickBot="1" x14ac:dyDescent="0.25">
      <c r="A88" s="175"/>
      <c r="B88" s="167"/>
      <c r="C88" s="165"/>
      <c r="D88" s="942"/>
      <c r="E88" s="942"/>
      <c r="F88" s="903"/>
      <c r="G88" s="145"/>
      <c r="H88" s="868"/>
      <c r="I88" s="71"/>
      <c r="J88" s="896"/>
      <c r="K88" s="523"/>
      <c r="L88" s="948"/>
      <c r="M88" s="914"/>
      <c r="N88" s="42" t="s">
        <v>73</v>
      </c>
      <c r="O88" s="855">
        <v>12700</v>
      </c>
      <c r="P88" s="1">
        <v>12500</v>
      </c>
      <c r="Q88" s="859">
        <v>12000</v>
      </c>
      <c r="R88" s="918">
        <v>12000</v>
      </c>
      <c r="S88" s="14"/>
    </row>
    <row r="89" spans="1:19" ht="34.9" customHeight="1" x14ac:dyDescent="0.2">
      <c r="A89" s="157"/>
      <c r="B89" s="167"/>
      <c r="C89" s="165"/>
      <c r="D89" s="26" t="s">
        <v>266</v>
      </c>
      <c r="E89" s="26"/>
      <c r="F89" s="1882" t="s">
        <v>105</v>
      </c>
      <c r="G89" s="222" t="s">
        <v>291</v>
      </c>
      <c r="H89" s="868" t="s">
        <v>149</v>
      </c>
      <c r="I89" s="48" t="s">
        <v>63</v>
      </c>
      <c r="J89" s="421">
        <v>5</v>
      </c>
      <c r="K89" s="179"/>
      <c r="L89" s="142"/>
      <c r="M89" s="372"/>
      <c r="N89" s="455" t="s">
        <v>307</v>
      </c>
      <c r="O89" s="412"/>
      <c r="P89" s="48">
        <v>50</v>
      </c>
      <c r="Q89" s="124">
        <v>50</v>
      </c>
      <c r="R89" s="146">
        <v>50</v>
      </c>
      <c r="S89" s="14"/>
    </row>
    <row r="90" spans="1:19" ht="34.9" customHeight="1" thickBot="1" x14ac:dyDescent="0.25">
      <c r="A90" s="157"/>
      <c r="B90" s="167"/>
      <c r="C90" s="165"/>
      <c r="D90" s="943"/>
      <c r="E90" s="943"/>
      <c r="F90" s="1883"/>
      <c r="G90" s="753" t="s">
        <v>270</v>
      </c>
      <c r="H90" s="54"/>
      <c r="I90" s="329" t="s">
        <v>11</v>
      </c>
      <c r="J90" s="422">
        <v>6</v>
      </c>
      <c r="K90" s="524">
        <v>9.9</v>
      </c>
      <c r="L90" s="525">
        <v>9.9</v>
      </c>
      <c r="M90" s="373">
        <v>9.9</v>
      </c>
      <c r="N90" s="285" t="s">
        <v>146</v>
      </c>
      <c r="O90" s="856">
        <v>15</v>
      </c>
      <c r="P90" s="2">
        <v>34</v>
      </c>
      <c r="Q90" s="91">
        <v>34</v>
      </c>
      <c r="R90" s="934">
        <v>34</v>
      </c>
      <c r="S90" s="14"/>
    </row>
    <row r="91" spans="1:19" ht="42" customHeight="1" x14ac:dyDescent="0.2">
      <c r="A91" s="157"/>
      <c r="B91" s="167"/>
      <c r="C91" s="165"/>
      <c r="D91" s="942" t="s">
        <v>267</v>
      </c>
      <c r="E91" s="942"/>
      <c r="F91" s="960" t="s">
        <v>496</v>
      </c>
      <c r="G91" s="757" t="s">
        <v>270</v>
      </c>
      <c r="H91" s="1768" t="s">
        <v>509</v>
      </c>
      <c r="I91" s="136"/>
      <c r="J91" s="421"/>
      <c r="K91" s="179"/>
      <c r="L91" s="142"/>
      <c r="M91" s="372"/>
      <c r="N91" s="297" t="s">
        <v>72</v>
      </c>
      <c r="O91" s="412">
        <v>125</v>
      </c>
      <c r="P91" s="48">
        <v>190</v>
      </c>
      <c r="Q91" s="124">
        <v>210</v>
      </c>
      <c r="R91" s="146"/>
      <c r="S91" s="14"/>
    </row>
    <row r="92" spans="1:19" ht="24.75" customHeight="1" x14ac:dyDescent="0.2">
      <c r="A92" s="157"/>
      <c r="B92" s="167"/>
      <c r="C92" s="165"/>
      <c r="D92" s="942"/>
      <c r="E92" s="509" t="s">
        <v>10</v>
      </c>
      <c r="F92" s="857" t="s">
        <v>137</v>
      </c>
      <c r="G92" s="879" t="s">
        <v>326</v>
      </c>
      <c r="H92" s="1768"/>
      <c r="I92" s="84" t="s">
        <v>11</v>
      </c>
      <c r="J92" s="895">
        <f>103.4-21-16</f>
        <v>66.400000000000006</v>
      </c>
      <c r="K92" s="97">
        <v>135.4</v>
      </c>
      <c r="L92" s="951">
        <v>148.69999999999999</v>
      </c>
      <c r="M92" s="370">
        <v>159.80000000000001</v>
      </c>
      <c r="N92" s="939" t="s">
        <v>70</v>
      </c>
      <c r="O92" s="38">
        <v>2</v>
      </c>
      <c r="P92" s="13">
        <v>2</v>
      </c>
      <c r="Q92" s="90">
        <v>2</v>
      </c>
      <c r="R92" s="126">
        <v>1</v>
      </c>
      <c r="S92" s="14"/>
    </row>
    <row r="93" spans="1:19" ht="21" customHeight="1" x14ac:dyDescent="0.2">
      <c r="A93" s="157"/>
      <c r="B93" s="167"/>
      <c r="C93" s="165"/>
      <c r="D93" s="22"/>
      <c r="E93" s="486"/>
      <c r="F93" s="880"/>
      <c r="G93" s="786"/>
      <c r="H93" s="1768"/>
      <c r="I93" s="223"/>
      <c r="J93" s="418"/>
      <c r="K93" s="482"/>
      <c r="L93" s="905"/>
      <c r="M93" s="915"/>
      <c r="N93" s="939" t="s">
        <v>72</v>
      </c>
      <c r="O93" s="856"/>
      <c r="P93" s="2">
        <v>169</v>
      </c>
      <c r="Q93" s="91">
        <v>199</v>
      </c>
      <c r="R93" s="934">
        <v>199</v>
      </c>
      <c r="S93" s="14"/>
    </row>
    <row r="94" spans="1:19" ht="36.75" customHeight="1" thickBot="1" x14ac:dyDescent="0.25">
      <c r="A94" s="157"/>
      <c r="B94" s="167"/>
      <c r="C94" s="165"/>
      <c r="D94" s="22"/>
      <c r="E94" s="942" t="s">
        <v>13</v>
      </c>
      <c r="F94" s="882" t="s">
        <v>75</v>
      </c>
      <c r="G94" s="139" t="s">
        <v>327</v>
      </c>
      <c r="H94" s="1768"/>
      <c r="I94" s="134" t="s">
        <v>11</v>
      </c>
      <c r="J94" s="932"/>
      <c r="K94" s="469"/>
      <c r="L94" s="933">
        <v>26.5</v>
      </c>
      <c r="M94" s="930"/>
      <c r="N94" s="870" t="s">
        <v>70</v>
      </c>
      <c r="O94" s="868"/>
      <c r="P94" s="71"/>
      <c r="Q94" s="92">
        <v>1</v>
      </c>
      <c r="R94" s="919"/>
      <c r="S94" s="14"/>
    </row>
    <row r="95" spans="1:19" ht="29.25" customHeight="1" x14ac:dyDescent="0.2">
      <c r="A95" s="157"/>
      <c r="B95" s="167"/>
      <c r="C95" s="177"/>
      <c r="D95" s="22"/>
      <c r="E95" s="26" t="s">
        <v>15</v>
      </c>
      <c r="F95" s="46" t="s">
        <v>143</v>
      </c>
      <c r="G95" s="144" t="s">
        <v>269</v>
      </c>
      <c r="H95" s="1768"/>
      <c r="I95" s="71" t="s">
        <v>11</v>
      </c>
      <c r="J95" s="900">
        <f>90.6-22-4</f>
        <v>64.599999999999994</v>
      </c>
      <c r="K95" s="523">
        <v>100.5</v>
      </c>
      <c r="L95" s="948">
        <v>132.30000000000001</v>
      </c>
      <c r="M95" s="914">
        <v>157.19999999999999</v>
      </c>
      <c r="N95" s="532" t="s">
        <v>72</v>
      </c>
      <c r="O95" s="412">
        <v>123</v>
      </c>
      <c r="P95" s="48">
        <v>240</v>
      </c>
      <c r="Q95" s="124">
        <v>310</v>
      </c>
      <c r="R95" s="146">
        <v>340</v>
      </c>
      <c r="S95" s="14"/>
    </row>
    <row r="96" spans="1:19" ht="15.75" customHeight="1" x14ac:dyDescent="0.2">
      <c r="A96" s="157"/>
      <c r="B96" s="167"/>
      <c r="C96" s="165"/>
      <c r="D96" s="22"/>
      <c r="E96" s="942"/>
      <c r="F96" s="1562" t="s">
        <v>155</v>
      </c>
      <c r="G96" s="139"/>
      <c r="H96" s="1768"/>
      <c r="I96" s="71"/>
      <c r="J96" s="900"/>
      <c r="K96" s="523"/>
      <c r="L96" s="948"/>
      <c r="M96" s="898"/>
      <c r="N96" s="1547" t="s">
        <v>122</v>
      </c>
      <c r="O96" s="1878">
        <v>9</v>
      </c>
      <c r="P96" s="1807">
        <v>12</v>
      </c>
      <c r="Q96" s="1569">
        <v>14</v>
      </c>
      <c r="R96" s="1571">
        <v>16</v>
      </c>
      <c r="S96" s="14"/>
    </row>
    <row r="97" spans="1:20" ht="15.75" customHeight="1" thickBot="1" x14ac:dyDescent="0.25">
      <c r="A97" s="157"/>
      <c r="B97" s="167"/>
      <c r="C97" s="165"/>
      <c r="D97" s="22"/>
      <c r="E97" s="942"/>
      <c r="F97" s="1563"/>
      <c r="G97" s="139"/>
      <c r="H97" s="1768"/>
      <c r="I97" s="2"/>
      <c r="J97" s="891"/>
      <c r="K97" s="482"/>
      <c r="L97" s="905"/>
      <c r="M97" s="899"/>
      <c r="N97" s="1560"/>
      <c r="O97" s="1879"/>
      <c r="P97" s="1808"/>
      <c r="Q97" s="1570"/>
      <c r="R97" s="1572"/>
      <c r="S97" s="14"/>
    </row>
    <row r="98" spans="1:20" ht="29.25" customHeight="1" x14ac:dyDescent="0.2">
      <c r="A98" s="157"/>
      <c r="B98" s="167"/>
      <c r="C98" s="165"/>
      <c r="D98" s="22"/>
      <c r="E98" s="509" t="s">
        <v>17</v>
      </c>
      <c r="F98" s="1562" t="s">
        <v>510</v>
      </c>
      <c r="G98" s="756" t="s">
        <v>290</v>
      </c>
      <c r="H98" s="1768"/>
      <c r="I98" s="11" t="s">
        <v>11</v>
      </c>
      <c r="J98" s="931">
        <v>73.599999999999994</v>
      </c>
      <c r="K98" s="110">
        <v>219.3</v>
      </c>
      <c r="L98" s="904">
        <v>306.8</v>
      </c>
      <c r="M98" s="913">
        <v>275.89999999999998</v>
      </c>
      <c r="N98" s="138" t="s">
        <v>179</v>
      </c>
      <c r="O98" s="412">
        <v>1</v>
      </c>
      <c r="P98" s="48"/>
      <c r="Q98" s="124"/>
      <c r="R98" s="146"/>
      <c r="S98" s="14"/>
    </row>
    <row r="99" spans="1:20" ht="29.25" customHeight="1" x14ac:dyDescent="0.2">
      <c r="A99" s="157"/>
      <c r="B99" s="167"/>
      <c r="C99" s="165"/>
      <c r="D99" s="22"/>
      <c r="E99" s="942"/>
      <c r="F99" s="1562"/>
      <c r="G99" s="757" t="s">
        <v>270</v>
      </c>
      <c r="H99" s="1768"/>
      <c r="I99" s="71"/>
      <c r="J99" s="896"/>
      <c r="K99" s="523"/>
      <c r="L99" s="948"/>
      <c r="M99" s="914"/>
      <c r="N99" s="93" t="s">
        <v>178</v>
      </c>
      <c r="O99" s="38">
        <v>25</v>
      </c>
      <c r="P99" s="13"/>
      <c r="Q99" s="90"/>
      <c r="R99" s="934"/>
      <c r="S99" s="14"/>
    </row>
    <row r="100" spans="1:20" ht="17.25" customHeight="1" x14ac:dyDescent="0.2">
      <c r="A100" s="157"/>
      <c r="B100" s="167"/>
      <c r="C100" s="165"/>
      <c r="D100" s="22"/>
      <c r="E100" s="942"/>
      <c r="F100" s="1562"/>
      <c r="G100" s="757"/>
      <c r="H100" s="1768"/>
      <c r="I100" s="71"/>
      <c r="J100" s="896"/>
      <c r="K100" s="523"/>
      <c r="L100" s="948"/>
      <c r="M100" s="914"/>
      <c r="N100" s="93" t="s">
        <v>106</v>
      </c>
      <c r="O100" s="414">
        <v>4.83</v>
      </c>
      <c r="P100" s="758">
        <v>8.8699999999999992</v>
      </c>
      <c r="Q100" s="135">
        <v>12.1</v>
      </c>
      <c r="R100" s="147">
        <v>13.39</v>
      </c>
      <c r="S100" s="14"/>
    </row>
    <row r="101" spans="1:20" ht="29.25" customHeight="1" x14ac:dyDescent="0.2">
      <c r="A101" s="157"/>
      <c r="B101" s="167"/>
      <c r="C101" s="165"/>
      <c r="D101" s="22"/>
      <c r="E101" s="942"/>
      <c r="F101" s="1562"/>
      <c r="G101" s="301"/>
      <c r="H101" s="1768"/>
      <c r="I101" s="71"/>
      <c r="J101" s="896"/>
      <c r="K101" s="523"/>
      <c r="L101" s="948"/>
      <c r="M101" s="914"/>
      <c r="N101" s="93" t="s">
        <v>316</v>
      </c>
      <c r="O101" s="856"/>
      <c r="P101" s="71">
        <v>3</v>
      </c>
      <c r="Q101" s="92">
        <v>3</v>
      </c>
      <c r="R101" s="934"/>
      <c r="S101" s="14"/>
    </row>
    <row r="102" spans="1:20" ht="30" customHeight="1" thickBot="1" x14ac:dyDescent="0.25">
      <c r="A102" s="157"/>
      <c r="B102" s="167"/>
      <c r="C102" s="165"/>
      <c r="D102" s="22"/>
      <c r="E102" s="942"/>
      <c r="F102" s="882"/>
      <c r="G102" s="178" t="s">
        <v>147</v>
      </c>
      <c r="H102" s="1768"/>
      <c r="I102" s="12"/>
      <c r="J102" s="932"/>
      <c r="K102" s="469"/>
      <c r="L102" s="933"/>
      <c r="M102" s="930"/>
      <c r="N102" s="43" t="s">
        <v>501</v>
      </c>
      <c r="O102" s="855"/>
      <c r="P102" s="1">
        <v>735</v>
      </c>
      <c r="Q102" s="859">
        <v>720</v>
      </c>
      <c r="R102" s="918">
        <v>720</v>
      </c>
      <c r="S102" s="14"/>
    </row>
    <row r="103" spans="1:20" ht="53.25" customHeight="1" x14ac:dyDescent="0.2">
      <c r="A103" s="172"/>
      <c r="B103" s="164"/>
      <c r="C103" s="171"/>
      <c r="D103" s="26" t="s">
        <v>292</v>
      </c>
      <c r="E103" s="21"/>
      <c r="F103" s="889" t="s">
        <v>53</v>
      </c>
      <c r="G103" s="144" t="s">
        <v>269</v>
      </c>
      <c r="H103" s="868" t="s">
        <v>149</v>
      </c>
      <c r="I103" s="11" t="s">
        <v>11</v>
      </c>
      <c r="J103" s="931">
        <f>503.4+74.7+114.2-68.8</f>
        <v>623.50000000000011</v>
      </c>
      <c r="K103" s="110">
        <v>460.6</v>
      </c>
      <c r="L103" s="904">
        <v>511.4</v>
      </c>
      <c r="M103" s="913">
        <v>571.4</v>
      </c>
      <c r="N103" s="186" t="s">
        <v>89</v>
      </c>
      <c r="O103" s="412">
        <v>145</v>
      </c>
      <c r="P103" s="11">
        <v>300</v>
      </c>
      <c r="Q103" s="965">
        <v>350</v>
      </c>
      <c r="R103" s="146">
        <v>400</v>
      </c>
      <c r="S103" s="14"/>
    </row>
    <row r="104" spans="1:20" ht="27.75" customHeight="1" thickBot="1" x14ac:dyDescent="0.25">
      <c r="A104" s="172"/>
      <c r="B104" s="164"/>
      <c r="C104" s="171"/>
      <c r="D104" s="23"/>
      <c r="E104" s="23"/>
      <c r="F104" s="858"/>
      <c r="G104" s="139"/>
      <c r="H104" s="868"/>
      <c r="I104" s="1" t="s">
        <v>14</v>
      </c>
      <c r="J104" s="895"/>
      <c r="K104" s="137">
        <v>142.6</v>
      </c>
      <c r="L104" s="951">
        <v>142.6</v>
      </c>
      <c r="M104" s="370">
        <v>142.6</v>
      </c>
      <c r="N104" s="42" t="s">
        <v>142</v>
      </c>
      <c r="O104" s="855">
        <v>8</v>
      </c>
      <c r="P104" s="1">
        <v>8</v>
      </c>
      <c r="Q104" s="859">
        <v>8</v>
      </c>
      <c r="R104" s="918">
        <v>8</v>
      </c>
      <c r="S104" s="14"/>
    </row>
    <row r="105" spans="1:20" ht="27.75" customHeight="1" x14ac:dyDescent="0.2">
      <c r="A105" s="172"/>
      <c r="B105" s="164"/>
      <c r="C105" s="171"/>
      <c r="D105" s="59" t="s">
        <v>293</v>
      </c>
      <c r="E105" s="59"/>
      <c r="F105" s="60" t="s">
        <v>41</v>
      </c>
      <c r="G105" s="139" t="s">
        <v>326</v>
      </c>
      <c r="H105" s="868"/>
      <c r="I105" s="48" t="s">
        <v>14</v>
      </c>
      <c r="J105" s="421">
        <f>50.2-2.7</f>
        <v>47.5</v>
      </c>
      <c r="K105" s="179">
        <v>55.8</v>
      </c>
      <c r="L105" s="142">
        <v>55.8</v>
      </c>
      <c r="M105" s="372">
        <v>55.8</v>
      </c>
      <c r="N105" s="297" t="s">
        <v>76</v>
      </c>
      <c r="O105" s="867">
        <v>17</v>
      </c>
      <c r="P105" s="11">
        <v>17</v>
      </c>
      <c r="Q105" s="965">
        <v>17</v>
      </c>
      <c r="R105" s="916">
        <v>17</v>
      </c>
      <c r="S105" s="14"/>
    </row>
    <row r="106" spans="1:20" ht="109.5" customHeight="1" x14ac:dyDescent="0.2">
      <c r="A106" s="172"/>
      <c r="B106" s="164"/>
      <c r="C106" s="165"/>
      <c r="D106" s="942" t="s">
        <v>294</v>
      </c>
      <c r="E106" s="942"/>
      <c r="F106" s="857" t="s">
        <v>67</v>
      </c>
      <c r="G106" s="139" t="s">
        <v>269</v>
      </c>
      <c r="H106" s="868" t="s">
        <v>278</v>
      </c>
      <c r="I106" s="71" t="s">
        <v>11</v>
      </c>
      <c r="J106" s="896">
        <v>304.5</v>
      </c>
      <c r="K106" s="523">
        <v>397.5</v>
      </c>
      <c r="L106" s="948">
        <v>397.5</v>
      </c>
      <c r="M106" s="914">
        <v>397.5</v>
      </c>
      <c r="N106" s="187" t="s">
        <v>71</v>
      </c>
      <c r="O106" s="38">
        <v>1204</v>
      </c>
      <c r="P106" s="13">
        <v>1215</v>
      </c>
      <c r="Q106" s="90">
        <v>1215</v>
      </c>
      <c r="R106" s="126">
        <v>1215</v>
      </c>
      <c r="S106" s="14"/>
    </row>
    <row r="107" spans="1:20" ht="69" customHeight="1" x14ac:dyDescent="0.2">
      <c r="A107" s="172"/>
      <c r="B107" s="164"/>
      <c r="C107" s="165"/>
      <c r="D107" s="29" t="s">
        <v>295</v>
      </c>
      <c r="E107" s="29"/>
      <c r="F107" s="41" t="s">
        <v>78</v>
      </c>
      <c r="G107" s="648" t="s">
        <v>269</v>
      </c>
      <c r="H107" s="868" t="s">
        <v>149</v>
      </c>
      <c r="I107" s="6" t="s">
        <v>11</v>
      </c>
      <c r="J107" s="417">
        <f>155.503-4.3</f>
        <v>151.20299999999997</v>
      </c>
      <c r="K107" s="105">
        <v>55.4</v>
      </c>
      <c r="L107" s="103">
        <v>55.4</v>
      </c>
      <c r="M107" s="369">
        <v>55.4</v>
      </c>
      <c r="N107" s="187" t="s">
        <v>308</v>
      </c>
      <c r="O107" s="38">
        <v>7753</v>
      </c>
      <c r="P107" s="13">
        <v>7950</v>
      </c>
      <c r="Q107" s="90">
        <v>7950</v>
      </c>
      <c r="R107" s="126">
        <v>7950</v>
      </c>
    </row>
    <row r="108" spans="1:20" ht="56.65" customHeight="1" x14ac:dyDescent="0.2">
      <c r="A108" s="172"/>
      <c r="B108" s="164"/>
      <c r="C108" s="165"/>
      <c r="D108" s="509" t="s">
        <v>296</v>
      </c>
      <c r="E108" s="509"/>
      <c r="F108" s="1561" t="s">
        <v>228</v>
      </c>
      <c r="G108" s="757" t="s">
        <v>269</v>
      </c>
      <c r="H108" s="1768" t="s">
        <v>149</v>
      </c>
      <c r="I108" s="71" t="s">
        <v>11</v>
      </c>
      <c r="J108" s="896">
        <f>3.2+180.8</f>
        <v>184</v>
      </c>
      <c r="K108" s="523">
        <v>185.5</v>
      </c>
      <c r="L108" s="948">
        <v>183.4</v>
      </c>
      <c r="M108" s="914">
        <v>183.4</v>
      </c>
      <c r="N108" s="349" t="s">
        <v>180</v>
      </c>
      <c r="O108" s="856">
        <v>48</v>
      </c>
      <c r="P108" s="2">
        <v>36</v>
      </c>
      <c r="Q108" s="91">
        <v>36</v>
      </c>
      <c r="R108" s="934">
        <v>36</v>
      </c>
    </row>
    <row r="109" spans="1:20" ht="43.5" customHeight="1" x14ac:dyDescent="0.2">
      <c r="A109" s="172"/>
      <c r="B109" s="164"/>
      <c r="C109" s="165"/>
      <c r="D109" s="486"/>
      <c r="E109" s="486"/>
      <c r="F109" s="1563"/>
      <c r="G109" s="520" t="s">
        <v>270</v>
      </c>
      <c r="H109" s="1620"/>
      <c r="I109" s="223"/>
      <c r="J109" s="418"/>
      <c r="K109" s="482"/>
      <c r="L109" s="905"/>
      <c r="M109" s="915"/>
      <c r="N109" s="42" t="s">
        <v>181</v>
      </c>
      <c r="O109" s="855">
        <v>10</v>
      </c>
      <c r="P109" s="1">
        <v>20</v>
      </c>
      <c r="Q109" s="859">
        <v>20</v>
      </c>
      <c r="R109" s="918">
        <v>20</v>
      </c>
    </row>
    <row r="110" spans="1:20" ht="44.45" customHeight="1" x14ac:dyDescent="0.2">
      <c r="A110" s="172"/>
      <c r="B110" s="164"/>
      <c r="C110" s="165"/>
      <c r="D110" s="893" t="s">
        <v>298</v>
      </c>
      <c r="E110" s="893"/>
      <c r="F110" s="880" t="s">
        <v>279</v>
      </c>
      <c r="G110" s="168" t="s">
        <v>274</v>
      </c>
      <c r="H110" s="856" t="s">
        <v>158</v>
      </c>
      <c r="I110" s="2" t="s">
        <v>11</v>
      </c>
      <c r="J110" s="418"/>
      <c r="K110" s="482">
        <v>100</v>
      </c>
      <c r="L110" s="905">
        <v>135</v>
      </c>
      <c r="M110" s="915">
        <v>135</v>
      </c>
      <c r="N110" s="42" t="s">
        <v>70</v>
      </c>
      <c r="O110" s="855"/>
      <c r="P110" s="1">
        <v>44</v>
      </c>
      <c r="Q110" s="859">
        <v>45</v>
      </c>
      <c r="R110" s="918">
        <v>45</v>
      </c>
      <c r="S110" s="1652"/>
      <c r="T110" s="1653"/>
    </row>
    <row r="111" spans="1:20" ht="42.75" customHeight="1" x14ac:dyDescent="0.2">
      <c r="A111" s="172"/>
      <c r="B111" s="164"/>
      <c r="C111" s="165"/>
      <c r="D111" s="883" t="s">
        <v>332</v>
      </c>
      <c r="E111" s="883"/>
      <c r="F111" s="1561" t="s">
        <v>511</v>
      </c>
      <c r="G111" s="331"/>
      <c r="H111" s="38" t="s">
        <v>333</v>
      </c>
      <c r="I111" s="1"/>
      <c r="J111" s="895"/>
      <c r="K111" s="137"/>
      <c r="L111" s="951"/>
      <c r="M111" s="370"/>
      <c r="N111" s="42" t="s">
        <v>234</v>
      </c>
      <c r="O111" s="855">
        <v>1</v>
      </c>
      <c r="P111" s="1"/>
      <c r="Q111" s="859"/>
      <c r="R111" s="918"/>
    </row>
    <row r="112" spans="1:20" ht="15.6" customHeight="1" thickBot="1" x14ac:dyDescent="0.25">
      <c r="A112" s="181"/>
      <c r="B112" s="182"/>
      <c r="C112" s="183"/>
      <c r="D112" s="330"/>
      <c r="E112" s="330"/>
      <c r="F112" s="1556"/>
      <c r="G112" s="1654" t="s">
        <v>37</v>
      </c>
      <c r="H112" s="1877"/>
      <c r="I112" s="1877"/>
      <c r="J112" s="266">
        <f>SUM(J14:J111)</f>
        <v>104238.40300000001</v>
      </c>
      <c r="K112" s="36">
        <f>SUM(K14:K111)</f>
        <v>119344.99999999999</v>
      </c>
      <c r="L112" s="108">
        <f>SUM(L14:L111)</f>
        <v>119026.99999999997</v>
      </c>
      <c r="M112" s="111">
        <f>SUM(M14:M111)</f>
        <v>118000.39999999997</v>
      </c>
      <c r="N112" s="43"/>
      <c r="O112" s="873"/>
      <c r="P112" s="12"/>
      <c r="Q112" s="860"/>
      <c r="R112" s="917"/>
    </row>
    <row r="113" spans="1:21" ht="29.1" customHeight="1" x14ac:dyDescent="0.2">
      <c r="A113" s="184" t="s">
        <v>10</v>
      </c>
      <c r="B113" s="185" t="s">
        <v>10</v>
      </c>
      <c r="C113" s="162" t="s">
        <v>13</v>
      </c>
      <c r="D113" s="21"/>
      <c r="E113" s="21"/>
      <c r="F113" s="902" t="s">
        <v>54</v>
      </c>
      <c r="G113" s="711"/>
      <c r="H113" s="1619" t="s">
        <v>149</v>
      </c>
      <c r="I113" s="11"/>
      <c r="J113" s="931"/>
      <c r="K113" s="110"/>
      <c r="L113" s="904"/>
      <c r="M113" s="99"/>
      <c r="N113" s="186"/>
      <c r="O113" s="867"/>
      <c r="P113" s="11"/>
      <c r="Q113" s="965"/>
      <c r="R113" s="916"/>
    </row>
    <row r="114" spans="1:21" ht="29.65" customHeight="1" x14ac:dyDescent="0.2">
      <c r="A114" s="172"/>
      <c r="B114" s="164"/>
      <c r="C114" s="171"/>
      <c r="D114" s="29" t="s">
        <v>10</v>
      </c>
      <c r="E114" s="29"/>
      <c r="F114" s="76" t="s">
        <v>336</v>
      </c>
      <c r="G114" s="712" t="s">
        <v>269</v>
      </c>
      <c r="H114" s="1768"/>
      <c r="I114" s="13" t="s">
        <v>14</v>
      </c>
      <c r="J114" s="417">
        <v>256.5</v>
      </c>
      <c r="K114" s="105">
        <v>297</v>
      </c>
      <c r="L114" s="103">
        <v>297</v>
      </c>
      <c r="M114" s="98">
        <v>297</v>
      </c>
      <c r="N114" s="187" t="s">
        <v>71</v>
      </c>
      <c r="O114" s="38">
        <v>3080</v>
      </c>
      <c r="P114" s="13">
        <v>3176</v>
      </c>
      <c r="Q114" s="90">
        <v>3100</v>
      </c>
      <c r="R114" s="126">
        <v>3100</v>
      </c>
      <c r="S114" s="1587"/>
      <c r="T114" s="1588"/>
      <c r="U114" s="1588"/>
    </row>
    <row r="115" spans="1:21" ht="16.149999999999999" customHeight="1" x14ac:dyDescent="0.2">
      <c r="A115" s="172"/>
      <c r="B115" s="164"/>
      <c r="C115" s="171"/>
      <c r="D115" s="22" t="s">
        <v>13</v>
      </c>
      <c r="E115" s="22"/>
      <c r="F115" s="1561" t="s">
        <v>40</v>
      </c>
      <c r="G115" s="1811" t="s">
        <v>290</v>
      </c>
      <c r="H115" s="868"/>
      <c r="I115" s="1" t="s">
        <v>11</v>
      </c>
      <c r="J115" s="417">
        <v>130</v>
      </c>
      <c r="K115" s="8">
        <v>150</v>
      </c>
      <c r="L115" s="103">
        <v>170</v>
      </c>
      <c r="M115" s="98">
        <v>200</v>
      </c>
      <c r="N115" s="1546" t="s">
        <v>90</v>
      </c>
      <c r="O115" s="868">
        <v>73</v>
      </c>
      <c r="P115" s="71">
        <v>80</v>
      </c>
      <c r="Q115" s="92">
        <v>90</v>
      </c>
      <c r="R115" s="919">
        <v>100</v>
      </c>
      <c r="S115" s="1587"/>
      <c r="T115" s="1588"/>
      <c r="U115" s="1588"/>
    </row>
    <row r="116" spans="1:21" ht="16.149999999999999" customHeight="1" x14ac:dyDescent="0.2">
      <c r="A116" s="172"/>
      <c r="B116" s="164"/>
      <c r="C116" s="171"/>
      <c r="D116" s="22"/>
      <c r="E116" s="22"/>
      <c r="F116" s="1562"/>
      <c r="G116" s="1656"/>
      <c r="H116" s="868"/>
      <c r="I116" s="855" t="s">
        <v>14</v>
      </c>
      <c r="J116" s="896">
        <v>120</v>
      </c>
      <c r="K116" s="523"/>
      <c r="L116" s="948"/>
      <c r="M116" s="100"/>
      <c r="N116" s="1547"/>
      <c r="O116" s="868"/>
      <c r="P116" s="71"/>
      <c r="Q116" s="92"/>
      <c r="R116" s="919"/>
    </row>
    <row r="117" spans="1:21" ht="16.149999999999999" customHeight="1" x14ac:dyDescent="0.2">
      <c r="A117" s="172"/>
      <c r="B117" s="164"/>
      <c r="C117" s="171"/>
      <c r="D117" s="22"/>
      <c r="E117" s="22"/>
      <c r="F117" s="882"/>
      <c r="G117" s="757" t="s">
        <v>270</v>
      </c>
      <c r="H117" s="868"/>
      <c r="I117" s="71"/>
      <c r="J117" s="896"/>
      <c r="K117" s="523"/>
      <c r="L117" s="948"/>
      <c r="M117" s="100"/>
      <c r="N117" s="910"/>
      <c r="O117" s="868"/>
      <c r="P117" s="71"/>
      <c r="Q117" s="92"/>
      <c r="R117" s="919"/>
    </row>
    <row r="118" spans="1:21" ht="15.75" customHeight="1" x14ac:dyDescent="0.2">
      <c r="A118" s="172"/>
      <c r="B118" s="164"/>
      <c r="C118" s="171"/>
      <c r="D118" s="31" t="s">
        <v>15</v>
      </c>
      <c r="E118" s="31"/>
      <c r="F118" s="1561" t="s">
        <v>50</v>
      </c>
      <c r="G118" s="713" t="s">
        <v>269</v>
      </c>
      <c r="H118" s="868"/>
      <c r="I118" s="84" t="s">
        <v>14</v>
      </c>
      <c r="J118" s="895">
        <f>1106.2-120</f>
        <v>986.2</v>
      </c>
      <c r="K118" s="137">
        <v>1157.5</v>
      </c>
      <c r="L118" s="951">
        <v>1157.5</v>
      </c>
      <c r="M118" s="133">
        <v>1157.5</v>
      </c>
      <c r="N118" s="941" t="s">
        <v>90</v>
      </c>
      <c r="O118" s="398">
        <v>96</v>
      </c>
      <c r="P118" s="1">
        <v>100</v>
      </c>
      <c r="Q118" s="859">
        <v>100</v>
      </c>
      <c r="R118" s="355">
        <v>100</v>
      </c>
    </row>
    <row r="119" spans="1:21" ht="15.75" customHeight="1" x14ac:dyDescent="0.2">
      <c r="A119" s="172"/>
      <c r="B119" s="164"/>
      <c r="C119" s="171"/>
      <c r="D119" s="22"/>
      <c r="E119" s="22"/>
      <c r="F119" s="1562"/>
      <c r="G119" s="712" t="s">
        <v>270</v>
      </c>
      <c r="H119" s="868"/>
      <c r="I119" s="223"/>
      <c r="J119" s="418"/>
      <c r="K119" s="482"/>
      <c r="L119" s="905"/>
      <c r="M119" s="470"/>
      <c r="N119" s="1868" t="s">
        <v>317</v>
      </c>
      <c r="O119" s="855">
        <v>5733</v>
      </c>
      <c r="P119" s="1">
        <v>5800</v>
      </c>
      <c r="Q119" s="859">
        <v>5800</v>
      </c>
      <c r="R119" s="918">
        <v>5800</v>
      </c>
    </row>
    <row r="120" spans="1:21" ht="15.75" customHeight="1" x14ac:dyDescent="0.2">
      <c r="A120" s="172"/>
      <c r="B120" s="164"/>
      <c r="C120" s="171"/>
      <c r="D120" s="22"/>
      <c r="E120" s="22"/>
      <c r="F120" s="1562"/>
      <c r="G120" s="712"/>
      <c r="H120" s="868"/>
      <c r="I120" s="71" t="s">
        <v>65</v>
      </c>
      <c r="J120" s="896">
        <v>98.4</v>
      </c>
      <c r="K120" s="523"/>
      <c r="L120" s="948"/>
      <c r="M120" s="100"/>
      <c r="N120" s="1592"/>
      <c r="O120" s="868"/>
      <c r="P120" s="71"/>
      <c r="Q120" s="92"/>
      <c r="R120" s="919"/>
    </row>
    <row r="121" spans="1:21" ht="15.75" customHeight="1" thickBot="1" x14ac:dyDescent="0.25">
      <c r="A121" s="188"/>
      <c r="B121" s="189"/>
      <c r="C121" s="190"/>
      <c r="D121" s="23"/>
      <c r="E121" s="23"/>
      <c r="F121" s="1556"/>
      <c r="G121" s="714"/>
      <c r="H121" s="873"/>
      <c r="I121" s="191" t="s">
        <v>12</v>
      </c>
      <c r="J121" s="266">
        <f>SUM(J114:J120)</f>
        <v>1591.1000000000001</v>
      </c>
      <c r="K121" s="36">
        <f>SUM(K114:K120)</f>
        <v>1604.5</v>
      </c>
      <c r="L121" s="108">
        <f>SUM(L114:L120)</f>
        <v>1624.5</v>
      </c>
      <c r="M121" s="111">
        <f t="shared" ref="M121" si="0">SUM(M114:M120)</f>
        <v>1654.5</v>
      </c>
      <c r="N121" s="1864"/>
      <c r="O121" s="873"/>
      <c r="P121" s="12"/>
      <c r="Q121" s="860"/>
      <c r="R121" s="917"/>
    </row>
    <row r="122" spans="1:21" ht="30.6" customHeight="1" x14ac:dyDescent="0.2">
      <c r="A122" s="184" t="s">
        <v>10</v>
      </c>
      <c r="B122" s="185" t="s">
        <v>10</v>
      </c>
      <c r="C122" s="162" t="s">
        <v>15</v>
      </c>
      <c r="D122" s="21"/>
      <c r="E122" s="21"/>
      <c r="F122" s="1555" t="s">
        <v>44</v>
      </c>
      <c r="G122" s="712" t="s">
        <v>269</v>
      </c>
      <c r="H122" s="1869" t="s">
        <v>166</v>
      </c>
      <c r="I122" s="11" t="s">
        <v>11</v>
      </c>
      <c r="J122" s="1872">
        <v>3.9</v>
      </c>
      <c r="K122" s="1875">
        <v>3.9</v>
      </c>
      <c r="L122" s="1644">
        <v>3.9</v>
      </c>
      <c r="M122" s="1647">
        <v>3.9</v>
      </c>
      <c r="N122" s="186" t="s">
        <v>77</v>
      </c>
      <c r="O122" s="867">
        <v>10</v>
      </c>
      <c r="P122" s="11">
        <v>10</v>
      </c>
      <c r="Q122" s="965">
        <v>10</v>
      </c>
      <c r="R122" s="916">
        <v>10</v>
      </c>
    </row>
    <row r="123" spans="1:21" ht="16.5" customHeight="1" x14ac:dyDescent="0.2">
      <c r="A123" s="172"/>
      <c r="B123" s="164"/>
      <c r="C123" s="171"/>
      <c r="D123" s="22"/>
      <c r="E123" s="22"/>
      <c r="F123" s="1562"/>
      <c r="G123" s="712"/>
      <c r="H123" s="1870"/>
      <c r="I123" s="71"/>
      <c r="J123" s="1873"/>
      <c r="K123" s="1876"/>
      <c r="L123" s="1645"/>
      <c r="M123" s="1648"/>
      <c r="N123" s="42" t="s">
        <v>72</v>
      </c>
      <c r="O123" s="38">
        <v>860</v>
      </c>
      <c r="P123" s="13">
        <v>860</v>
      </c>
      <c r="Q123" s="90">
        <v>860</v>
      </c>
      <c r="R123" s="126">
        <v>860</v>
      </c>
    </row>
    <row r="124" spans="1:21" ht="38.25" customHeight="1" x14ac:dyDescent="0.2">
      <c r="A124" s="172"/>
      <c r="B124" s="164"/>
      <c r="C124" s="171"/>
      <c r="D124" s="22"/>
      <c r="E124" s="22"/>
      <c r="F124" s="1562"/>
      <c r="G124" s="712"/>
      <c r="H124" s="1870"/>
      <c r="I124" s="71"/>
      <c r="J124" s="1874"/>
      <c r="K124" s="1820"/>
      <c r="L124" s="1646"/>
      <c r="M124" s="1649"/>
      <c r="N124" s="1546" t="s">
        <v>323</v>
      </c>
      <c r="O124" s="868"/>
      <c r="P124" s="1807">
        <v>3</v>
      </c>
      <c r="Q124" s="1569">
        <v>3</v>
      </c>
      <c r="R124" s="1608">
        <v>3</v>
      </c>
    </row>
    <row r="125" spans="1:21" ht="13.5" thickBot="1" x14ac:dyDescent="0.25">
      <c r="A125" s="188"/>
      <c r="B125" s="182"/>
      <c r="C125" s="190"/>
      <c r="D125" s="23"/>
      <c r="E125" s="23"/>
      <c r="F125" s="1556"/>
      <c r="G125" s="714"/>
      <c r="H125" s="1871"/>
      <c r="I125" s="191" t="s">
        <v>12</v>
      </c>
      <c r="J125" s="424">
        <f t="shared" ref="J125:M125" si="1">J122</f>
        <v>3.9</v>
      </c>
      <c r="K125" s="262">
        <f t="shared" si="1"/>
        <v>3.9</v>
      </c>
      <c r="L125" s="263">
        <f t="shared" si="1"/>
        <v>3.9</v>
      </c>
      <c r="M125" s="264">
        <f t="shared" si="1"/>
        <v>3.9</v>
      </c>
      <c r="N125" s="1560"/>
      <c r="O125" s="873"/>
      <c r="P125" s="1808"/>
      <c r="Q125" s="1570"/>
      <c r="R125" s="1640"/>
    </row>
    <row r="126" spans="1:21" ht="25.5" customHeight="1" x14ac:dyDescent="0.2">
      <c r="A126" s="184" t="s">
        <v>10</v>
      </c>
      <c r="B126" s="185" t="s">
        <v>10</v>
      </c>
      <c r="C126" s="162" t="s">
        <v>17</v>
      </c>
      <c r="D126" s="21"/>
      <c r="E126" s="21"/>
      <c r="F126" s="1555" t="s">
        <v>81</v>
      </c>
      <c r="G126" s="711" t="s">
        <v>269</v>
      </c>
      <c r="H126" s="1619" t="s">
        <v>149</v>
      </c>
      <c r="I126" s="11" t="s">
        <v>11</v>
      </c>
      <c r="J126" s="896">
        <v>47.2</v>
      </c>
      <c r="K126" s="523">
        <v>53.5</v>
      </c>
      <c r="L126" s="948">
        <v>56.7</v>
      </c>
      <c r="M126" s="914">
        <v>60.1</v>
      </c>
      <c r="N126" s="1863" t="s">
        <v>91</v>
      </c>
      <c r="O126" s="876">
        <v>39</v>
      </c>
      <c r="P126" s="11">
        <v>39</v>
      </c>
      <c r="Q126" s="965">
        <v>39</v>
      </c>
      <c r="R126" s="356">
        <v>39</v>
      </c>
    </row>
    <row r="127" spans="1:21" ht="14.25" customHeight="1" thickBot="1" x14ac:dyDescent="0.25">
      <c r="A127" s="188"/>
      <c r="B127" s="189"/>
      <c r="C127" s="190"/>
      <c r="D127" s="23"/>
      <c r="E127" s="23"/>
      <c r="F127" s="1556"/>
      <c r="G127" s="714"/>
      <c r="H127" s="1785"/>
      <c r="I127" s="191" t="s">
        <v>12</v>
      </c>
      <c r="J127" s="266">
        <f t="shared" ref="J127:M127" si="2">SUM(J126)</f>
        <v>47.2</v>
      </c>
      <c r="K127" s="36">
        <f t="shared" si="2"/>
        <v>53.5</v>
      </c>
      <c r="L127" s="108">
        <f t="shared" si="2"/>
        <v>56.7</v>
      </c>
      <c r="M127" s="111">
        <f t="shared" si="2"/>
        <v>60.1</v>
      </c>
      <c r="N127" s="1864"/>
      <c r="O127" s="877"/>
      <c r="P127" s="12"/>
      <c r="Q127" s="860"/>
      <c r="R127" s="357"/>
    </row>
    <row r="128" spans="1:21" ht="28.15" customHeight="1" x14ac:dyDescent="0.2">
      <c r="A128" s="184" t="s">
        <v>10</v>
      </c>
      <c r="B128" s="185" t="s">
        <v>10</v>
      </c>
      <c r="C128" s="162" t="s">
        <v>18</v>
      </c>
      <c r="D128" s="21"/>
      <c r="E128" s="21"/>
      <c r="F128" s="1555" t="s">
        <v>170</v>
      </c>
      <c r="G128" s="711" t="s">
        <v>269</v>
      </c>
      <c r="H128" s="1619" t="s">
        <v>158</v>
      </c>
      <c r="I128" s="11" t="s">
        <v>11</v>
      </c>
      <c r="J128" s="423">
        <v>2.7</v>
      </c>
      <c r="K128" s="110">
        <v>2.7</v>
      </c>
      <c r="L128" s="904">
        <v>2.7</v>
      </c>
      <c r="M128" s="143">
        <v>2.7</v>
      </c>
      <c r="N128" s="1863" t="s">
        <v>169</v>
      </c>
      <c r="O128" s="867">
        <v>1</v>
      </c>
      <c r="P128" s="11">
        <v>1</v>
      </c>
      <c r="Q128" s="965">
        <v>1</v>
      </c>
      <c r="R128" s="916">
        <v>1</v>
      </c>
    </row>
    <row r="129" spans="1:18" ht="15.75" customHeight="1" thickBot="1" x14ac:dyDescent="0.25">
      <c r="A129" s="188"/>
      <c r="B129" s="189"/>
      <c r="C129" s="190"/>
      <c r="D129" s="23"/>
      <c r="E129" s="23"/>
      <c r="F129" s="1556"/>
      <c r="G129" s="714"/>
      <c r="H129" s="1785"/>
      <c r="I129" s="191" t="s">
        <v>12</v>
      </c>
      <c r="J129" s="266">
        <f t="shared" ref="J129:M129" si="3">SUM(J128:J128)</f>
        <v>2.7</v>
      </c>
      <c r="K129" s="36">
        <f t="shared" si="3"/>
        <v>2.7</v>
      </c>
      <c r="L129" s="108">
        <f t="shared" si="3"/>
        <v>2.7</v>
      </c>
      <c r="M129" s="111">
        <f t="shared" si="3"/>
        <v>2.7</v>
      </c>
      <c r="N129" s="1864"/>
      <c r="O129" s="873"/>
      <c r="P129" s="12"/>
      <c r="Q129" s="860"/>
      <c r="R129" s="917"/>
    </row>
    <row r="130" spans="1:18" ht="16.149999999999999" customHeight="1" x14ac:dyDescent="0.2">
      <c r="A130" s="184" t="s">
        <v>10</v>
      </c>
      <c r="B130" s="185" t="s">
        <v>10</v>
      </c>
      <c r="C130" s="162" t="s">
        <v>61</v>
      </c>
      <c r="D130" s="21"/>
      <c r="E130" s="21"/>
      <c r="F130" s="1555" t="s">
        <v>86</v>
      </c>
      <c r="G130" s="715" t="s">
        <v>269</v>
      </c>
      <c r="H130" s="1792" t="s">
        <v>149</v>
      </c>
      <c r="I130" s="193" t="s">
        <v>11</v>
      </c>
      <c r="J130" s="421">
        <v>11.7</v>
      </c>
      <c r="K130" s="153">
        <v>5</v>
      </c>
      <c r="L130" s="152">
        <v>5</v>
      </c>
      <c r="M130" s="143">
        <v>8</v>
      </c>
      <c r="N130" s="907" t="s">
        <v>70</v>
      </c>
      <c r="O130" s="867">
        <v>92</v>
      </c>
      <c r="P130" s="11">
        <v>89</v>
      </c>
      <c r="Q130" s="965">
        <v>86</v>
      </c>
      <c r="R130" s="916">
        <v>87</v>
      </c>
    </row>
    <row r="131" spans="1:18" ht="16.149999999999999" customHeight="1" thickBot="1" x14ac:dyDescent="0.25">
      <c r="A131" s="188"/>
      <c r="B131" s="189"/>
      <c r="C131" s="190"/>
      <c r="D131" s="23"/>
      <c r="E131" s="23"/>
      <c r="F131" s="1556"/>
      <c r="G131" s="716"/>
      <c r="H131" s="1793"/>
      <c r="I131" s="191" t="s">
        <v>12</v>
      </c>
      <c r="J131" s="266">
        <f t="shared" ref="J131:M131" si="4">SUM(J130)</f>
        <v>11.7</v>
      </c>
      <c r="K131" s="36">
        <f t="shared" si="4"/>
        <v>5</v>
      </c>
      <c r="L131" s="108">
        <f t="shared" si="4"/>
        <v>5</v>
      </c>
      <c r="M131" s="111">
        <f t="shared" si="4"/>
        <v>8</v>
      </c>
      <c r="N131" s="908"/>
      <c r="O131" s="873"/>
      <c r="P131" s="12"/>
      <c r="Q131" s="860"/>
      <c r="R131" s="917"/>
    </row>
    <row r="132" spans="1:18" ht="13.5" customHeight="1" thickBot="1" x14ac:dyDescent="0.25">
      <c r="A132" s="194" t="s">
        <v>10</v>
      </c>
      <c r="B132" s="195" t="s">
        <v>10</v>
      </c>
      <c r="C132" s="1548" t="s">
        <v>16</v>
      </c>
      <c r="D132" s="1549"/>
      <c r="E132" s="1549"/>
      <c r="F132" s="1549"/>
      <c r="G132" s="1549"/>
      <c r="H132" s="1549"/>
      <c r="I132" s="1549"/>
      <c r="J132" s="425">
        <f>J112+J121+J127+J129+J131+J125</f>
        <v>105895.003</v>
      </c>
      <c r="K132" s="196">
        <f>K112+K121+K127+K129+K131+K125</f>
        <v>121014.59999999998</v>
      </c>
      <c r="L132" s="197">
        <f t="shared" ref="L132:M132" si="5">L112+L121+L127+L129+L131+L125</f>
        <v>120719.79999999996</v>
      </c>
      <c r="M132" s="198">
        <f t="shared" si="5"/>
        <v>119729.59999999996</v>
      </c>
      <c r="N132" s="1865"/>
      <c r="O132" s="1866"/>
      <c r="P132" s="1866"/>
      <c r="Q132" s="1866"/>
      <c r="R132" s="1867"/>
    </row>
    <row r="133" spans="1:18" ht="15.75" customHeight="1" thickBot="1" x14ac:dyDescent="0.25">
      <c r="A133" s="194" t="s">
        <v>10</v>
      </c>
      <c r="B133" s="1523" t="s">
        <v>5</v>
      </c>
      <c r="C133" s="1524"/>
      <c r="D133" s="1524"/>
      <c r="E133" s="1524"/>
      <c r="F133" s="1524"/>
      <c r="G133" s="1524"/>
      <c r="H133" s="1524"/>
      <c r="I133" s="1524"/>
      <c r="J133" s="426">
        <f>J132</f>
        <v>105895.003</v>
      </c>
      <c r="K133" s="199">
        <f t="shared" ref="K133:M133" si="6">K132</f>
        <v>121014.59999999998</v>
      </c>
      <c r="L133" s="200">
        <f t="shared" si="6"/>
        <v>120719.79999999996</v>
      </c>
      <c r="M133" s="201">
        <f t="shared" si="6"/>
        <v>119729.59999999996</v>
      </c>
      <c r="N133" s="1852"/>
      <c r="O133" s="1853"/>
      <c r="P133" s="1853"/>
      <c r="Q133" s="1853"/>
      <c r="R133" s="1854"/>
    </row>
    <row r="134" spans="1:18" ht="15.75" customHeight="1" thickBot="1" x14ac:dyDescent="0.25">
      <c r="A134" s="184" t="s">
        <v>13</v>
      </c>
      <c r="B134" s="1629" t="s">
        <v>28</v>
      </c>
      <c r="C134" s="1630"/>
      <c r="D134" s="1630"/>
      <c r="E134" s="1630"/>
      <c r="F134" s="1630"/>
      <c r="G134" s="1630"/>
      <c r="H134" s="1630"/>
      <c r="I134" s="1630"/>
      <c r="J134" s="1630"/>
      <c r="K134" s="1630"/>
      <c r="L134" s="1630"/>
      <c r="M134" s="1630"/>
      <c r="N134" s="1630"/>
      <c r="O134" s="1630"/>
      <c r="P134" s="1630"/>
      <c r="Q134" s="1630"/>
      <c r="R134" s="1855"/>
    </row>
    <row r="135" spans="1:18" ht="15.75" customHeight="1" thickBot="1" x14ac:dyDescent="0.25">
      <c r="A135" s="194" t="s">
        <v>13</v>
      </c>
      <c r="B135" s="204" t="s">
        <v>10</v>
      </c>
      <c r="C135" s="1573" t="s">
        <v>24</v>
      </c>
      <c r="D135" s="1574"/>
      <c r="E135" s="1574"/>
      <c r="F135" s="1574"/>
      <c r="G135" s="1574"/>
      <c r="H135" s="1574"/>
      <c r="I135" s="1574"/>
      <c r="J135" s="1574"/>
      <c r="K135" s="1574"/>
      <c r="L135" s="1574"/>
      <c r="M135" s="1574"/>
      <c r="N135" s="1574"/>
      <c r="O135" s="1574"/>
      <c r="P135" s="1574"/>
      <c r="Q135" s="1574"/>
      <c r="R135" s="1815"/>
    </row>
    <row r="136" spans="1:18" s="205" customFormat="1" ht="18" customHeight="1" x14ac:dyDescent="0.2">
      <c r="A136" s="1856" t="s">
        <v>13</v>
      </c>
      <c r="B136" s="1632" t="s">
        <v>10</v>
      </c>
      <c r="C136" s="1857" t="s">
        <v>10</v>
      </c>
      <c r="D136" s="24"/>
      <c r="E136" s="24"/>
      <c r="F136" s="1555" t="s">
        <v>107</v>
      </c>
      <c r="G136" s="1860" t="s">
        <v>144</v>
      </c>
      <c r="H136" s="867" t="s">
        <v>148</v>
      </c>
      <c r="I136" s="5" t="s">
        <v>63</v>
      </c>
      <c r="J136" s="931">
        <v>220.9</v>
      </c>
      <c r="K136" s="11"/>
      <c r="L136" s="965"/>
      <c r="M136" s="913"/>
      <c r="N136" s="455" t="s">
        <v>192</v>
      </c>
      <c r="O136" s="412">
        <v>6</v>
      </c>
      <c r="P136" s="48"/>
      <c r="Q136" s="124"/>
      <c r="R136" s="146"/>
    </row>
    <row r="137" spans="1:18" s="205" customFormat="1" ht="15.6" customHeight="1" x14ac:dyDescent="0.2">
      <c r="A137" s="1786"/>
      <c r="B137" s="1633"/>
      <c r="C137" s="1858"/>
      <c r="D137" s="37"/>
      <c r="E137" s="37"/>
      <c r="F137" s="1562"/>
      <c r="G137" s="1861"/>
      <c r="H137" s="1769" t="s">
        <v>157</v>
      </c>
      <c r="I137" s="6" t="s">
        <v>11</v>
      </c>
      <c r="J137" s="410">
        <f>50.8-35.7</f>
        <v>15.099999999999994</v>
      </c>
      <c r="K137" s="769">
        <v>56.7</v>
      </c>
      <c r="L137" s="770">
        <v>71.8</v>
      </c>
      <c r="M137" s="771">
        <v>71.8</v>
      </c>
      <c r="N137" s="1591" t="s">
        <v>334</v>
      </c>
      <c r="O137" s="868"/>
      <c r="P137" s="71">
        <v>4</v>
      </c>
      <c r="Q137" s="92">
        <v>4</v>
      </c>
      <c r="R137" s="919">
        <v>4</v>
      </c>
    </row>
    <row r="138" spans="1:18" s="205" customFormat="1" ht="15.6" customHeight="1" x14ac:dyDescent="0.2">
      <c r="A138" s="1786"/>
      <c r="B138" s="1633"/>
      <c r="C138" s="1858"/>
      <c r="D138" s="37"/>
      <c r="E138" s="37"/>
      <c r="F138" s="1562"/>
      <c r="G138" s="1861"/>
      <c r="H138" s="1768"/>
      <c r="I138" s="374" t="s">
        <v>63</v>
      </c>
      <c r="J138" s="410">
        <v>20.9</v>
      </c>
      <c r="K138" s="404">
        <v>15.1</v>
      </c>
      <c r="L138" s="430"/>
      <c r="M138" s="354"/>
      <c r="N138" s="1591"/>
      <c r="O138" s="868"/>
      <c r="P138" s="71"/>
      <c r="Q138" s="92"/>
      <c r="R138" s="919"/>
    </row>
    <row r="139" spans="1:18" s="205" customFormat="1" ht="14.65" customHeight="1" thickBot="1" x14ac:dyDescent="0.25">
      <c r="A139" s="1787"/>
      <c r="B139" s="1634"/>
      <c r="C139" s="1859"/>
      <c r="D139" s="25"/>
      <c r="E139" s="25"/>
      <c r="F139" s="1556"/>
      <c r="G139" s="1862"/>
      <c r="H139" s="873"/>
      <c r="I139" s="7" t="s">
        <v>12</v>
      </c>
      <c r="J139" s="266">
        <f>SUM(J136:J138)</f>
        <v>256.89999999999998</v>
      </c>
      <c r="K139" s="36">
        <f t="shared" ref="K139:M139" si="7">SUM(K136:K138)</f>
        <v>71.8</v>
      </c>
      <c r="L139" s="108">
        <f t="shared" si="7"/>
        <v>71.8</v>
      </c>
      <c r="M139" s="111">
        <f t="shared" si="7"/>
        <v>71.8</v>
      </c>
      <c r="N139" s="875"/>
      <c r="O139" s="873"/>
      <c r="P139" s="12"/>
      <c r="Q139" s="860"/>
      <c r="R139" s="917"/>
    </row>
    <row r="140" spans="1:18" ht="42" customHeight="1" x14ac:dyDescent="0.2">
      <c r="A140" s="184" t="s">
        <v>13</v>
      </c>
      <c r="B140" s="185" t="s">
        <v>10</v>
      </c>
      <c r="C140" s="162" t="s">
        <v>13</v>
      </c>
      <c r="D140" s="26"/>
      <c r="E140" s="26"/>
      <c r="F140" s="46" t="s">
        <v>150</v>
      </c>
      <c r="G140" s="144"/>
      <c r="H140" s="1619"/>
      <c r="I140" s="11"/>
      <c r="J140" s="931"/>
      <c r="K140" s="11"/>
      <c r="L140" s="965"/>
      <c r="M140" s="913"/>
      <c r="N140" s="5"/>
      <c r="O140" s="867"/>
      <c r="P140" s="11"/>
      <c r="Q140" s="965"/>
      <c r="R140" s="916"/>
    </row>
    <row r="141" spans="1:18" s="67" customFormat="1" ht="43.5" customHeight="1" x14ac:dyDescent="0.2">
      <c r="A141" s="206"/>
      <c r="B141" s="207"/>
      <c r="C141" s="208"/>
      <c r="D141" s="70" t="s">
        <v>10</v>
      </c>
      <c r="E141" s="68"/>
      <c r="F141" s="69" t="s">
        <v>92</v>
      </c>
      <c r="G141" s="209"/>
      <c r="H141" s="1768"/>
      <c r="I141" s="79"/>
      <c r="J141" s="428"/>
      <c r="K141" s="79"/>
      <c r="L141" s="431"/>
      <c r="M141" s="375"/>
      <c r="N141" s="287"/>
      <c r="O141" s="288"/>
      <c r="P141" s="427"/>
      <c r="Q141" s="431"/>
      <c r="R141" s="358"/>
    </row>
    <row r="142" spans="1:18" ht="14.25" customHeight="1" x14ac:dyDescent="0.2">
      <c r="A142" s="172"/>
      <c r="B142" s="164"/>
      <c r="C142" s="171"/>
      <c r="D142" s="942"/>
      <c r="E142" s="883" t="s">
        <v>10</v>
      </c>
      <c r="F142" s="1561" t="s">
        <v>199</v>
      </c>
      <c r="G142" s="756" t="s">
        <v>144</v>
      </c>
      <c r="H142" s="855" t="s">
        <v>148</v>
      </c>
      <c r="I142" s="284" t="s">
        <v>63</v>
      </c>
      <c r="J142" s="949">
        <f>37+2.1</f>
        <v>39.1</v>
      </c>
      <c r="K142" s="72"/>
      <c r="L142" s="554"/>
      <c r="M142" s="954"/>
      <c r="N142" s="1850" t="s">
        <v>39</v>
      </c>
      <c r="O142" s="555">
        <v>1</v>
      </c>
      <c r="P142" s="457"/>
      <c r="Q142" s="458"/>
      <c r="R142" s="556"/>
    </row>
    <row r="143" spans="1:18" ht="14.65" customHeight="1" x14ac:dyDescent="0.2">
      <c r="A143" s="172"/>
      <c r="B143" s="164"/>
      <c r="C143" s="171"/>
      <c r="D143" s="942"/>
      <c r="E143" s="884"/>
      <c r="F143" s="1562"/>
      <c r="G143" s="757" t="s">
        <v>2</v>
      </c>
      <c r="H143" s="868"/>
      <c r="I143" s="149" t="s">
        <v>11</v>
      </c>
      <c r="J143" s="949">
        <v>118.5</v>
      </c>
      <c r="K143" s="785">
        <v>505.5</v>
      </c>
      <c r="L143" s="557"/>
      <c r="M143" s="558"/>
      <c r="N143" s="1851"/>
      <c r="O143" s="559"/>
      <c r="P143" s="457"/>
      <c r="Q143" s="458"/>
      <c r="R143" s="560"/>
    </row>
    <row r="144" spans="1:18" ht="18" customHeight="1" x14ac:dyDescent="0.2">
      <c r="A144" s="172"/>
      <c r="B144" s="164"/>
      <c r="C144" s="171"/>
      <c r="D144" s="942"/>
      <c r="E144" s="884"/>
      <c r="F144" s="1562"/>
      <c r="G144" s="757" t="s">
        <v>270</v>
      </c>
      <c r="H144" s="868"/>
      <c r="I144" s="149" t="s">
        <v>14</v>
      </c>
      <c r="J144" s="949">
        <f>670.4-460.4</f>
        <v>210</v>
      </c>
      <c r="K144" s="8">
        <v>240</v>
      </c>
      <c r="L144" s="103"/>
      <c r="M144" s="369"/>
      <c r="N144" s="871" t="s">
        <v>191</v>
      </c>
      <c r="O144" s="780">
        <v>20</v>
      </c>
      <c r="P144" s="779">
        <v>100</v>
      </c>
      <c r="Q144" s="781"/>
      <c r="R144" s="778"/>
    </row>
    <row r="145" spans="1:18" ht="16.899999999999999" customHeight="1" x14ac:dyDescent="0.2">
      <c r="A145" s="172"/>
      <c r="B145" s="164"/>
      <c r="C145" s="171"/>
      <c r="D145" s="942"/>
      <c r="E145" s="883" t="s">
        <v>13</v>
      </c>
      <c r="F145" s="1561" t="s">
        <v>200</v>
      </c>
      <c r="G145" s="300" t="s">
        <v>144</v>
      </c>
      <c r="H145" s="1769" t="s">
        <v>167</v>
      </c>
      <c r="I145" s="561" t="s">
        <v>215</v>
      </c>
      <c r="J145" s="562">
        <f>3126.5+2000+145.7+125.8-1000+1089.9-36.8+1121.3+18-3933.9-254-1550+242.8+151.2+6.6</f>
        <v>1253.0999999999995</v>
      </c>
      <c r="K145" s="563"/>
      <c r="L145" s="564"/>
      <c r="M145" s="558"/>
      <c r="N145" s="565" t="s">
        <v>191</v>
      </c>
      <c r="O145" s="566">
        <v>45</v>
      </c>
      <c r="P145" s="838">
        <v>80</v>
      </c>
      <c r="Q145" s="854">
        <v>100</v>
      </c>
      <c r="R145" s="567"/>
    </row>
    <row r="146" spans="1:18" ht="16.899999999999999" customHeight="1" x14ac:dyDescent="0.2">
      <c r="A146" s="172"/>
      <c r="B146" s="164"/>
      <c r="C146" s="171"/>
      <c r="D146" s="942"/>
      <c r="E146" s="884"/>
      <c r="F146" s="1562"/>
      <c r="G146" s="757" t="s">
        <v>2</v>
      </c>
      <c r="H146" s="1768"/>
      <c r="I146" s="561" t="s">
        <v>63</v>
      </c>
      <c r="J146" s="562">
        <f>2822.3-949.5-242.8</f>
        <v>1630.0000000000002</v>
      </c>
      <c r="K146" s="568">
        <v>3569.4</v>
      </c>
      <c r="L146" s="564"/>
      <c r="M146" s="558"/>
      <c r="N146" s="569"/>
      <c r="O146" s="570"/>
      <c r="P146" s="571"/>
      <c r="Q146" s="572"/>
      <c r="R146" s="573"/>
    </row>
    <row r="147" spans="1:18" ht="16.899999999999999" customHeight="1" x14ac:dyDescent="0.2">
      <c r="A147" s="172"/>
      <c r="B147" s="164"/>
      <c r="C147" s="171"/>
      <c r="D147" s="942"/>
      <c r="E147" s="884"/>
      <c r="F147" s="1562"/>
      <c r="G147" s="757" t="s">
        <v>270</v>
      </c>
      <c r="H147" s="1768"/>
      <c r="I147" s="303" t="s">
        <v>189</v>
      </c>
      <c r="J147" s="574">
        <f>1778.7</f>
        <v>1778.7</v>
      </c>
      <c r="K147" s="568">
        <v>3395.5</v>
      </c>
      <c r="L147" s="575"/>
      <c r="M147" s="576"/>
      <c r="N147" s="569"/>
      <c r="O147" s="570"/>
      <c r="P147" s="571"/>
      <c r="Q147" s="572"/>
      <c r="R147" s="573"/>
    </row>
    <row r="148" spans="1:18" ht="16.899999999999999" customHeight="1" x14ac:dyDescent="0.2">
      <c r="A148" s="172"/>
      <c r="B148" s="164"/>
      <c r="C148" s="171"/>
      <c r="D148" s="942"/>
      <c r="E148" s="884"/>
      <c r="F148" s="882"/>
      <c r="G148" s="577"/>
      <c r="H148" s="1620"/>
      <c r="I148" s="302" t="s">
        <v>11</v>
      </c>
      <c r="J148" s="578">
        <f>1550-188-6.6</f>
        <v>1355.4</v>
      </c>
      <c r="K148" s="568"/>
      <c r="L148" s="564">
        <v>3088.7</v>
      </c>
      <c r="M148" s="579"/>
      <c r="N148" s="569"/>
      <c r="O148" s="570"/>
      <c r="P148" s="571"/>
      <c r="Q148" s="572"/>
      <c r="R148" s="573"/>
    </row>
    <row r="149" spans="1:18" ht="15" customHeight="1" x14ac:dyDescent="0.2">
      <c r="A149" s="172"/>
      <c r="B149" s="164"/>
      <c r="C149" s="171"/>
      <c r="D149" s="942"/>
      <c r="E149" s="883" t="s">
        <v>15</v>
      </c>
      <c r="F149" s="1849" t="s">
        <v>93</v>
      </c>
      <c r="G149" s="757" t="s">
        <v>2</v>
      </c>
      <c r="H149" s="1769" t="s">
        <v>156</v>
      </c>
      <c r="I149" s="1" t="s">
        <v>11</v>
      </c>
      <c r="J149" s="417">
        <f>205.5+9.8-4.2</f>
        <v>211.10000000000002</v>
      </c>
      <c r="K149" s="6"/>
      <c r="L149" s="90"/>
      <c r="M149" s="369"/>
      <c r="N149" s="1543" t="s">
        <v>80</v>
      </c>
      <c r="O149" s="409">
        <v>100</v>
      </c>
      <c r="P149" s="580"/>
      <c r="Q149" s="781"/>
      <c r="R149" s="353"/>
    </row>
    <row r="150" spans="1:18" ht="15" customHeight="1" x14ac:dyDescent="0.2">
      <c r="A150" s="172"/>
      <c r="B150" s="164"/>
      <c r="C150" s="171"/>
      <c r="D150" s="942"/>
      <c r="E150" s="884"/>
      <c r="F150" s="1616"/>
      <c r="G150" s="757"/>
      <c r="H150" s="1768"/>
      <c r="I150" s="1" t="s">
        <v>63</v>
      </c>
      <c r="J150" s="418">
        <v>325.7</v>
      </c>
      <c r="K150" s="6"/>
      <c r="L150" s="90"/>
      <c r="M150" s="915"/>
      <c r="N150" s="1544"/>
      <c r="O150" s="923"/>
      <c r="P150" s="281"/>
      <c r="Q150" s="280"/>
      <c r="R150" s="581"/>
    </row>
    <row r="151" spans="1:18" ht="15" customHeight="1" x14ac:dyDescent="0.2">
      <c r="A151" s="172"/>
      <c r="B151" s="164"/>
      <c r="C151" s="171"/>
      <c r="D151" s="942"/>
      <c r="E151" s="884"/>
      <c r="F151" s="1616"/>
      <c r="G151" s="757"/>
      <c r="H151" s="1620"/>
      <c r="I151" s="13" t="s">
        <v>63</v>
      </c>
      <c r="J151" s="418">
        <v>180</v>
      </c>
      <c r="K151" s="2"/>
      <c r="L151" s="91"/>
      <c r="M151" s="915"/>
      <c r="N151" s="1544"/>
      <c r="O151" s="923"/>
      <c r="P151" s="281"/>
      <c r="Q151" s="280"/>
      <c r="R151" s="581"/>
    </row>
    <row r="152" spans="1:18" ht="94.5" customHeight="1" x14ac:dyDescent="0.2">
      <c r="A152" s="172"/>
      <c r="B152" s="164"/>
      <c r="C152" s="171"/>
      <c r="D152" s="942"/>
      <c r="E152" s="884"/>
      <c r="F152" s="903"/>
      <c r="G152" s="757"/>
      <c r="H152" s="868" t="s">
        <v>264</v>
      </c>
      <c r="I152" s="1" t="s">
        <v>11</v>
      </c>
      <c r="J152" s="418">
        <v>4.2</v>
      </c>
      <c r="K152" s="6"/>
      <c r="L152" s="90"/>
      <c r="M152" s="915"/>
      <c r="N152" s="830"/>
      <c r="O152" s="924"/>
      <c r="P152" s="582"/>
      <c r="Q152" s="95"/>
      <c r="R152" s="583"/>
    </row>
    <row r="153" spans="1:18" ht="28.15" customHeight="1" x14ac:dyDescent="0.2">
      <c r="A153" s="172"/>
      <c r="B153" s="164"/>
      <c r="C153" s="165"/>
      <c r="D153" s="130"/>
      <c r="E153" s="814" t="s">
        <v>17</v>
      </c>
      <c r="F153" s="1561" t="s">
        <v>524</v>
      </c>
      <c r="G153" s="756" t="s">
        <v>270</v>
      </c>
      <c r="H153" s="1769" t="s">
        <v>156</v>
      </c>
      <c r="I153" s="1" t="s">
        <v>11</v>
      </c>
      <c r="J153" s="418">
        <f>515.2-200+32.6</f>
        <v>347.80000000000007</v>
      </c>
      <c r="K153" s="523">
        <f>1080.1+40</f>
        <v>1120.0999999999999</v>
      </c>
      <c r="L153" s="948">
        <v>590</v>
      </c>
      <c r="M153" s="915">
        <v>820</v>
      </c>
      <c r="N153" s="81" t="s">
        <v>98</v>
      </c>
      <c r="O153" s="38">
        <f>2-1</f>
        <v>1</v>
      </c>
      <c r="P153" s="13">
        <v>2</v>
      </c>
      <c r="Q153" s="90">
        <v>1</v>
      </c>
      <c r="R153" s="126">
        <v>1</v>
      </c>
    </row>
    <row r="154" spans="1:18" ht="20.45" customHeight="1" x14ac:dyDescent="0.2">
      <c r="A154" s="172"/>
      <c r="B154" s="164"/>
      <c r="C154" s="165"/>
      <c r="D154" s="130"/>
      <c r="E154" s="815"/>
      <c r="F154" s="1562"/>
      <c r="G154" s="139" t="s">
        <v>269</v>
      </c>
      <c r="H154" s="1768"/>
      <c r="I154" s="84" t="s">
        <v>63</v>
      </c>
      <c r="J154" s="895">
        <v>150</v>
      </c>
      <c r="K154" s="137">
        <v>157.4</v>
      </c>
      <c r="L154" s="859"/>
      <c r="M154" s="370"/>
      <c r="N154" s="9" t="s">
        <v>183</v>
      </c>
      <c r="O154" s="855">
        <v>1</v>
      </c>
      <c r="P154" s="1">
        <v>5</v>
      </c>
      <c r="Q154" s="859">
        <v>1</v>
      </c>
      <c r="R154" s="918">
        <v>1</v>
      </c>
    </row>
    <row r="155" spans="1:18" ht="20.45" customHeight="1" x14ac:dyDescent="0.2">
      <c r="A155" s="172"/>
      <c r="B155" s="164"/>
      <c r="C155" s="165"/>
      <c r="D155" s="130"/>
      <c r="E155" s="815"/>
      <c r="F155" s="1562"/>
      <c r="G155" s="139"/>
      <c r="H155" s="868"/>
      <c r="I155" s="84" t="s">
        <v>14</v>
      </c>
      <c r="J155" s="895">
        <v>232</v>
      </c>
      <c r="K155" s="1"/>
      <c r="L155" s="859"/>
      <c r="M155" s="370"/>
      <c r="N155" s="75"/>
      <c r="O155" s="868"/>
      <c r="P155" s="71"/>
      <c r="Q155" s="92"/>
      <c r="R155" s="919"/>
    </row>
    <row r="156" spans="1:18" ht="20.45" customHeight="1" x14ac:dyDescent="0.2">
      <c r="A156" s="172"/>
      <c r="B156" s="164"/>
      <c r="C156" s="165"/>
      <c r="D156" s="130"/>
      <c r="E156" s="815"/>
      <c r="F156" s="1562"/>
      <c r="G156" s="139"/>
      <c r="H156" s="54"/>
      <c r="I156" s="6" t="s">
        <v>182</v>
      </c>
      <c r="J156" s="417"/>
      <c r="K156" s="105">
        <v>89.9</v>
      </c>
      <c r="L156" s="90"/>
      <c r="M156" s="369"/>
      <c r="N156" s="75"/>
      <c r="O156" s="868"/>
      <c r="P156" s="71"/>
      <c r="Q156" s="92"/>
      <c r="R156" s="919"/>
    </row>
    <row r="157" spans="1:18" ht="20.45" customHeight="1" x14ac:dyDescent="0.2">
      <c r="A157" s="172"/>
      <c r="B157" s="164"/>
      <c r="C157" s="165"/>
      <c r="D157" s="130"/>
      <c r="E157" s="815"/>
      <c r="F157" s="1563"/>
      <c r="G157" s="139"/>
      <c r="H157" s="54"/>
      <c r="I157" s="13" t="s">
        <v>215</v>
      </c>
      <c r="J157" s="417">
        <v>36.799999999999997</v>
      </c>
      <c r="K157" s="105"/>
      <c r="L157" s="90"/>
      <c r="M157" s="369"/>
      <c r="N157" s="75"/>
      <c r="O157" s="856"/>
      <c r="P157" s="2"/>
      <c r="Q157" s="91"/>
      <c r="R157" s="934"/>
    </row>
    <row r="158" spans="1:18" ht="19.899999999999999" customHeight="1" x14ac:dyDescent="0.2">
      <c r="A158" s="172"/>
      <c r="B158" s="164"/>
      <c r="C158" s="171"/>
      <c r="D158" s="942"/>
      <c r="E158" s="883" t="s">
        <v>18</v>
      </c>
      <c r="F158" s="1561" t="s">
        <v>512</v>
      </c>
      <c r="G158" s="756" t="s">
        <v>144</v>
      </c>
      <c r="H158" s="1769" t="s">
        <v>148</v>
      </c>
      <c r="I158" s="584" t="s">
        <v>63</v>
      </c>
      <c r="J158" s="585">
        <f>21-3+33.5-2.1</f>
        <v>49.4</v>
      </c>
      <c r="K158" s="841">
        <v>43.5</v>
      </c>
      <c r="L158" s="557"/>
      <c r="M158" s="586"/>
      <c r="N158" s="1597" t="s">
        <v>318</v>
      </c>
      <c r="O158" s="672">
        <v>7</v>
      </c>
      <c r="P158" s="459">
        <v>5</v>
      </c>
      <c r="Q158" s="955"/>
      <c r="R158" s="673"/>
    </row>
    <row r="159" spans="1:18" ht="19.899999999999999" customHeight="1" x14ac:dyDescent="0.2">
      <c r="A159" s="172"/>
      <c r="B159" s="164"/>
      <c r="C159" s="171"/>
      <c r="D159" s="942"/>
      <c r="E159" s="884"/>
      <c r="F159" s="1562"/>
      <c r="G159" s="757" t="s">
        <v>2</v>
      </c>
      <c r="H159" s="1768"/>
      <c r="I159" s="589" t="s">
        <v>65</v>
      </c>
      <c r="J159" s="585">
        <f>210.4+14.8-10.7</f>
        <v>214.50000000000003</v>
      </c>
      <c r="K159" s="842">
        <v>177.6</v>
      </c>
      <c r="L159" s="590"/>
      <c r="M159" s="586"/>
      <c r="N159" s="1598"/>
      <c r="O159" s="856"/>
      <c r="P159" s="460"/>
      <c r="Q159" s="956"/>
      <c r="R159" s="934"/>
    </row>
    <row r="160" spans="1:18" ht="19.899999999999999" customHeight="1" x14ac:dyDescent="0.2">
      <c r="A160" s="172"/>
      <c r="B160" s="164"/>
      <c r="C160" s="171"/>
      <c r="D160" s="942"/>
      <c r="E160" s="884"/>
      <c r="F160" s="1562"/>
      <c r="G160" s="757"/>
      <c r="H160" s="1768"/>
      <c r="I160" s="584" t="s">
        <v>132</v>
      </c>
      <c r="J160" s="585">
        <v>10.7</v>
      </c>
      <c r="K160" s="839">
        <v>12</v>
      </c>
      <c r="L160" s="557"/>
      <c r="M160" s="586"/>
      <c r="N160" s="310" t="s">
        <v>191</v>
      </c>
      <c r="O160" s="587"/>
      <c r="P160" s="457">
        <v>100</v>
      </c>
      <c r="Q160" s="458"/>
      <c r="R160" s="588"/>
    </row>
    <row r="161" spans="1:21" ht="19.899999999999999" customHeight="1" x14ac:dyDescent="0.2">
      <c r="A161" s="172"/>
      <c r="B161" s="164"/>
      <c r="C161" s="171"/>
      <c r="D161" s="942"/>
      <c r="E161" s="884"/>
      <c r="F161" s="1562"/>
      <c r="G161" s="757"/>
      <c r="H161" s="868"/>
      <c r="I161" s="589" t="s">
        <v>14</v>
      </c>
      <c r="J161" s="591">
        <f>18.6+1.3-1</f>
        <v>18.900000000000002</v>
      </c>
      <c r="K161" s="840">
        <v>16</v>
      </c>
      <c r="L161" s="590"/>
      <c r="M161" s="592"/>
      <c r="N161" s="310"/>
      <c r="O161" s="868"/>
      <c r="P161" s="457"/>
      <c r="Q161" s="458"/>
      <c r="R161" s="919"/>
    </row>
    <row r="162" spans="1:21" ht="19.899999999999999" customHeight="1" x14ac:dyDescent="0.2">
      <c r="A162" s="172"/>
      <c r="B162" s="164"/>
      <c r="C162" s="171"/>
      <c r="D162" s="942"/>
      <c r="E162" s="893"/>
      <c r="F162" s="1563"/>
      <c r="G162" s="321"/>
      <c r="H162" s="856"/>
      <c r="I162" s="149" t="s">
        <v>133</v>
      </c>
      <c r="J162" s="949">
        <v>1</v>
      </c>
      <c r="K162" s="843">
        <v>1.1000000000000001</v>
      </c>
      <c r="L162" s="554"/>
      <c r="M162" s="954"/>
      <c r="N162" s="929"/>
      <c r="O162" s="856"/>
      <c r="P162" s="460"/>
      <c r="Q162" s="956"/>
      <c r="R162" s="934"/>
    </row>
    <row r="163" spans="1:21" ht="24.75" customHeight="1" x14ac:dyDescent="0.2">
      <c r="A163" s="172"/>
      <c r="B163" s="164"/>
      <c r="C163" s="171"/>
      <c r="D163" s="942"/>
      <c r="E163" s="883" t="s">
        <v>61</v>
      </c>
      <c r="F163" s="1848" t="s">
        <v>513</v>
      </c>
      <c r="G163" s="756" t="s">
        <v>144</v>
      </c>
      <c r="H163" s="1769" t="s">
        <v>156</v>
      </c>
      <c r="I163" s="593" t="s">
        <v>11</v>
      </c>
      <c r="J163" s="562">
        <v>80</v>
      </c>
      <c r="K163" s="594">
        <v>500</v>
      </c>
      <c r="L163" s="595">
        <v>300</v>
      </c>
      <c r="M163" s="558">
        <v>300</v>
      </c>
      <c r="N163" s="928" t="s">
        <v>254</v>
      </c>
      <c r="O163" s="855"/>
      <c r="P163" s="459">
        <v>4</v>
      </c>
      <c r="Q163" s="955">
        <v>2</v>
      </c>
      <c r="R163" s="918">
        <v>2</v>
      </c>
    </row>
    <row r="164" spans="1:21" ht="29.25" customHeight="1" x14ac:dyDescent="0.2">
      <c r="A164" s="172"/>
      <c r="B164" s="164"/>
      <c r="C164" s="171"/>
      <c r="D164" s="942"/>
      <c r="E164" s="893"/>
      <c r="F164" s="1563"/>
      <c r="G164" s="321" t="s">
        <v>269</v>
      </c>
      <c r="H164" s="1620"/>
      <c r="I164" s="947" t="s">
        <v>182</v>
      </c>
      <c r="J164" s="950"/>
      <c r="K164" s="599">
        <v>100</v>
      </c>
      <c r="L164" s="600"/>
      <c r="M164" s="601"/>
      <c r="N164" s="929"/>
      <c r="O164" s="856"/>
      <c r="P164" s="460"/>
      <c r="Q164" s="956"/>
      <c r="R164" s="934"/>
    </row>
    <row r="165" spans="1:21" ht="29.25" customHeight="1" x14ac:dyDescent="0.2">
      <c r="A165" s="172"/>
      <c r="B165" s="164"/>
      <c r="C165" s="171"/>
      <c r="D165" s="942"/>
      <c r="E165" s="884" t="s">
        <v>62</v>
      </c>
      <c r="F165" s="1561" t="s">
        <v>515</v>
      </c>
      <c r="G165" s="756" t="s">
        <v>2</v>
      </c>
      <c r="H165" s="1769" t="s">
        <v>156</v>
      </c>
      <c r="I165" s="946" t="s">
        <v>11</v>
      </c>
      <c r="J165" s="949"/>
      <c r="K165" s="776">
        <v>112.9</v>
      </c>
      <c r="L165" s="740">
        <v>249.5</v>
      </c>
      <c r="M165" s="741"/>
      <c r="N165" s="929" t="s">
        <v>39</v>
      </c>
      <c r="O165" s="856"/>
      <c r="P165" s="460">
        <v>1</v>
      </c>
      <c r="Q165" s="956"/>
      <c r="R165" s="934"/>
    </row>
    <row r="166" spans="1:21" ht="25.9" customHeight="1" x14ac:dyDescent="0.2">
      <c r="A166" s="172"/>
      <c r="B166" s="164"/>
      <c r="C166" s="171"/>
      <c r="D166" s="942"/>
      <c r="E166" s="893"/>
      <c r="F166" s="1563"/>
      <c r="G166" s="321" t="s">
        <v>274</v>
      </c>
      <c r="H166" s="1620"/>
      <c r="I166" s="947"/>
      <c r="J166" s="950"/>
      <c r="K166" s="599"/>
      <c r="L166" s="600"/>
      <c r="M166" s="601"/>
      <c r="N166" s="929" t="s">
        <v>191</v>
      </c>
      <c r="O166" s="856"/>
      <c r="P166" s="460">
        <v>30</v>
      </c>
      <c r="Q166" s="956">
        <v>100</v>
      </c>
      <c r="R166" s="934"/>
    </row>
    <row r="167" spans="1:21" ht="28.5" customHeight="1" x14ac:dyDescent="0.2">
      <c r="A167" s="172"/>
      <c r="B167" s="164"/>
      <c r="C167" s="171"/>
      <c r="D167" s="942"/>
      <c r="E167" s="884" t="s">
        <v>110</v>
      </c>
      <c r="F167" s="882" t="s">
        <v>514</v>
      </c>
      <c r="G167" s="757" t="s">
        <v>2</v>
      </c>
      <c r="H167" s="1769" t="s">
        <v>156</v>
      </c>
      <c r="I167" s="732" t="s">
        <v>11</v>
      </c>
      <c r="J167" s="619"/>
      <c r="K167" s="733">
        <f>200-100-80</f>
        <v>20</v>
      </c>
      <c r="L167" s="734"/>
      <c r="M167" s="735"/>
      <c r="N167" s="928" t="s">
        <v>191</v>
      </c>
      <c r="O167" s="855"/>
      <c r="P167" s="459">
        <v>100</v>
      </c>
      <c r="Q167" s="955"/>
      <c r="R167" s="918"/>
    </row>
    <row r="168" spans="1:21" ht="18.75" customHeight="1" x14ac:dyDescent="0.2">
      <c r="A168" s="172"/>
      <c r="B168" s="164"/>
      <c r="C168" s="171"/>
      <c r="D168" s="942"/>
      <c r="E168" s="884"/>
      <c r="F168" s="882"/>
      <c r="G168" s="757" t="s">
        <v>274</v>
      </c>
      <c r="H168" s="1620"/>
      <c r="I168" s="732"/>
      <c r="J168" s="619"/>
      <c r="K168" s="733"/>
      <c r="L168" s="734"/>
      <c r="M168" s="735"/>
      <c r="N168" s="929"/>
      <c r="O168" s="856"/>
      <c r="P168" s="460"/>
      <c r="Q168" s="956"/>
      <c r="R168" s="934"/>
    </row>
    <row r="169" spans="1:21" ht="28.5" customHeight="1" x14ac:dyDescent="0.2">
      <c r="A169" s="172"/>
      <c r="B169" s="164"/>
      <c r="C169" s="171"/>
      <c r="D169" s="942"/>
      <c r="E169" s="883" t="s">
        <v>111</v>
      </c>
      <c r="F169" s="1561" t="s">
        <v>186</v>
      </c>
      <c r="G169" s="756" t="s">
        <v>187</v>
      </c>
      <c r="H169" s="1769" t="s">
        <v>148</v>
      </c>
      <c r="I169" s="1832" t="s">
        <v>3</v>
      </c>
      <c r="J169" s="1834"/>
      <c r="K169" s="1844"/>
      <c r="L169" s="1846">
        <v>843</v>
      </c>
      <c r="M169" s="1840"/>
      <c r="N169" s="596" t="s">
        <v>188</v>
      </c>
      <c r="O169" s="38"/>
      <c r="P169" s="597"/>
      <c r="Q169" s="598">
        <v>1</v>
      </c>
      <c r="R169" s="126"/>
    </row>
    <row r="170" spans="1:21" ht="24.75" customHeight="1" x14ac:dyDescent="0.2">
      <c r="A170" s="172"/>
      <c r="B170" s="164"/>
      <c r="C170" s="171"/>
      <c r="D170" s="942"/>
      <c r="E170" s="893"/>
      <c r="F170" s="1563"/>
      <c r="G170" s="321" t="s">
        <v>324</v>
      </c>
      <c r="H170" s="1620"/>
      <c r="I170" s="1833"/>
      <c r="J170" s="1835"/>
      <c r="K170" s="1845"/>
      <c r="L170" s="1847"/>
      <c r="M170" s="1841"/>
      <c r="N170" s="596" t="s">
        <v>191</v>
      </c>
      <c r="O170" s="38"/>
      <c r="P170" s="597"/>
      <c r="Q170" s="598">
        <v>100</v>
      </c>
      <c r="R170" s="126"/>
    </row>
    <row r="171" spans="1:21" ht="26.25" customHeight="1" x14ac:dyDescent="0.2">
      <c r="A171" s="172"/>
      <c r="B171" s="164"/>
      <c r="C171" s="171"/>
      <c r="D171" s="942"/>
      <c r="E171" s="1801" t="s">
        <v>4</v>
      </c>
      <c r="F171" s="1561" t="s">
        <v>190</v>
      </c>
      <c r="G171" s="756" t="s">
        <v>258</v>
      </c>
      <c r="H171" s="1769" t="s">
        <v>148</v>
      </c>
      <c r="I171" s="72" t="s">
        <v>11</v>
      </c>
      <c r="J171" s="949"/>
      <c r="K171" s="602">
        <v>40</v>
      </c>
      <c r="L171" s="952">
        <v>76.8</v>
      </c>
      <c r="M171" s="954">
        <v>57</v>
      </c>
      <c r="N171" s="603" t="s">
        <v>310</v>
      </c>
      <c r="O171" s="93"/>
      <c r="P171" s="604"/>
      <c r="Q171" s="598">
        <v>2</v>
      </c>
      <c r="R171" s="605"/>
      <c r="S171" s="1587"/>
      <c r="T171" s="1588"/>
      <c r="U171" s="1588"/>
    </row>
    <row r="172" spans="1:21" ht="27.75" customHeight="1" x14ac:dyDescent="0.2">
      <c r="A172" s="172"/>
      <c r="B172" s="164"/>
      <c r="C172" s="171"/>
      <c r="D172" s="942"/>
      <c r="E172" s="1802"/>
      <c r="F172" s="1562"/>
      <c r="G172" s="757" t="s">
        <v>270</v>
      </c>
      <c r="H172" s="1768"/>
      <c r="I172" s="72" t="s">
        <v>271</v>
      </c>
      <c r="J172" s="949"/>
      <c r="K172" s="72"/>
      <c r="L172" s="554"/>
      <c r="M172" s="954">
        <v>323</v>
      </c>
      <c r="N172" s="606" t="s">
        <v>211</v>
      </c>
      <c r="O172" s="93"/>
      <c r="P172" s="604"/>
      <c r="Q172" s="598">
        <v>100</v>
      </c>
      <c r="R172" s="605"/>
      <c r="S172" s="1587"/>
      <c r="T172" s="1588"/>
      <c r="U172" s="1588"/>
    </row>
    <row r="173" spans="1:21" ht="27" customHeight="1" x14ac:dyDescent="0.2">
      <c r="A173" s="172"/>
      <c r="B173" s="164"/>
      <c r="C173" s="171"/>
      <c r="D173" s="942"/>
      <c r="E173" s="1824"/>
      <c r="F173" s="1563"/>
      <c r="G173" s="321" t="s">
        <v>2</v>
      </c>
      <c r="H173" s="1620"/>
      <c r="I173" s="72" t="s">
        <v>3</v>
      </c>
      <c r="J173" s="949"/>
      <c r="K173" s="72"/>
      <c r="L173" s="602">
        <v>200</v>
      </c>
      <c r="M173" s="558"/>
      <c r="N173" s="606" t="s">
        <v>309</v>
      </c>
      <c r="O173" s="96"/>
      <c r="P173" s="607"/>
      <c r="Q173" s="608"/>
      <c r="R173" s="934">
        <v>20</v>
      </c>
    </row>
    <row r="174" spans="1:21" ht="15" customHeight="1" x14ac:dyDescent="0.2">
      <c r="A174" s="172"/>
      <c r="B174" s="164"/>
      <c r="C174" s="171"/>
      <c r="D174" s="942"/>
      <c r="E174" s="1801" t="s">
        <v>112</v>
      </c>
      <c r="F174" s="1561" t="s">
        <v>229</v>
      </c>
      <c r="G174" s="756" t="s">
        <v>258</v>
      </c>
      <c r="H174" s="868" t="s">
        <v>148</v>
      </c>
      <c r="I174" s="72" t="s">
        <v>11</v>
      </c>
      <c r="J174" s="949"/>
      <c r="K174" s="502"/>
      <c r="L174" s="952">
        <v>58.6</v>
      </c>
      <c r="M174" s="954"/>
      <c r="N174" s="1597" t="s">
        <v>191</v>
      </c>
      <c r="O174" s="1769"/>
      <c r="P174" s="1842"/>
      <c r="Q174" s="1606">
        <v>100</v>
      </c>
      <c r="R174" s="1608"/>
      <c r="S174" s="1587"/>
      <c r="T174" s="1588"/>
      <c r="U174" s="1588"/>
    </row>
    <row r="175" spans="1:21" ht="24.75" customHeight="1" x14ac:dyDescent="0.2">
      <c r="A175" s="172"/>
      <c r="B175" s="164"/>
      <c r="C175" s="171"/>
      <c r="D175" s="942"/>
      <c r="E175" s="1824"/>
      <c r="F175" s="1563"/>
      <c r="G175" s="321" t="s">
        <v>324</v>
      </c>
      <c r="H175" s="856"/>
      <c r="I175" s="72" t="s">
        <v>3</v>
      </c>
      <c r="J175" s="949"/>
      <c r="K175" s="502"/>
      <c r="L175" s="952">
        <v>300</v>
      </c>
      <c r="M175" s="954"/>
      <c r="N175" s="1598"/>
      <c r="O175" s="1620"/>
      <c r="P175" s="1843"/>
      <c r="Q175" s="1607"/>
      <c r="R175" s="1609"/>
      <c r="S175" s="1587"/>
      <c r="T175" s="1588"/>
      <c r="U175" s="1588"/>
    </row>
    <row r="176" spans="1:21" ht="27" customHeight="1" x14ac:dyDescent="0.2">
      <c r="A176" s="172"/>
      <c r="B176" s="164"/>
      <c r="C176" s="171"/>
      <c r="D176" s="942"/>
      <c r="E176" s="884" t="s">
        <v>113</v>
      </c>
      <c r="F176" s="882" t="s">
        <v>300</v>
      </c>
      <c r="G176" s="757" t="s">
        <v>301</v>
      </c>
      <c r="H176" s="752" t="s">
        <v>148</v>
      </c>
      <c r="I176" s="1832" t="s">
        <v>11</v>
      </c>
      <c r="J176" s="1834"/>
      <c r="K176" s="1836">
        <v>85.6</v>
      </c>
      <c r="L176" s="1838">
        <v>305.3</v>
      </c>
      <c r="M176" s="1840">
        <v>711.5</v>
      </c>
      <c r="N176" s="596" t="s">
        <v>188</v>
      </c>
      <c r="O176" s="38"/>
      <c r="P176" s="597">
        <v>1</v>
      </c>
      <c r="Q176" s="598"/>
      <c r="R176" s="126"/>
      <c r="S176" s="1587"/>
      <c r="T176" s="1588"/>
      <c r="U176" s="1588"/>
    </row>
    <row r="177" spans="1:21" ht="40.5" customHeight="1" x14ac:dyDescent="0.2">
      <c r="A177" s="172"/>
      <c r="B177" s="164"/>
      <c r="C177" s="171"/>
      <c r="D177" s="942"/>
      <c r="E177" s="884"/>
      <c r="F177" s="882"/>
      <c r="G177" s="520" t="s">
        <v>288</v>
      </c>
      <c r="H177" s="868" t="s">
        <v>268</v>
      </c>
      <c r="I177" s="1833"/>
      <c r="J177" s="1835"/>
      <c r="K177" s="1837"/>
      <c r="L177" s="1839"/>
      <c r="M177" s="1841"/>
      <c r="N177" s="609" t="s">
        <v>191</v>
      </c>
      <c r="O177" s="868"/>
      <c r="P177" s="457"/>
      <c r="Q177" s="458">
        <v>20</v>
      </c>
      <c r="R177" s="919">
        <v>100</v>
      </c>
      <c r="S177" s="1587"/>
      <c r="T177" s="1588"/>
      <c r="U177" s="1588"/>
    </row>
    <row r="178" spans="1:21" ht="16.149999999999999" customHeight="1" x14ac:dyDescent="0.2">
      <c r="A178" s="172"/>
      <c r="B178" s="164"/>
      <c r="C178" s="171"/>
      <c r="D178" s="942"/>
      <c r="E178" s="509" t="s">
        <v>114</v>
      </c>
      <c r="F178" s="961" t="s">
        <v>240</v>
      </c>
      <c r="G178" s="757" t="s">
        <v>269</v>
      </c>
      <c r="H178" s="1769" t="s">
        <v>278</v>
      </c>
      <c r="I178" s="72" t="s">
        <v>63</v>
      </c>
      <c r="J178" s="949">
        <v>620</v>
      </c>
      <c r="K178" s="502"/>
      <c r="L178" s="952"/>
      <c r="M178" s="954"/>
      <c r="N178" s="347" t="s">
        <v>311</v>
      </c>
      <c r="O178" s="855">
        <v>316</v>
      </c>
      <c r="P178" s="459"/>
      <c r="Q178" s="955"/>
      <c r="R178" s="918"/>
    </row>
    <row r="179" spans="1:21" ht="16.149999999999999" customHeight="1" x14ac:dyDescent="0.2">
      <c r="A179" s="172"/>
      <c r="B179" s="164"/>
      <c r="C179" s="171"/>
      <c r="D179" s="942"/>
      <c r="E179" s="942"/>
      <c r="F179" s="962"/>
      <c r="G179" s="757"/>
      <c r="H179" s="1768"/>
      <c r="I179" s="72" t="s">
        <v>215</v>
      </c>
      <c r="J179" s="949">
        <v>1550</v>
      </c>
      <c r="K179" s="502"/>
      <c r="L179" s="952"/>
      <c r="M179" s="954"/>
      <c r="N179" s="456"/>
      <c r="O179" s="868"/>
      <c r="P179" s="457"/>
      <c r="Q179" s="458"/>
      <c r="R179" s="919"/>
    </row>
    <row r="180" spans="1:21" ht="16.149999999999999" customHeight="1" x14ac:dyDescent="0.2">
      <c r="A180" s="172"/>
      <c r="B180" s="164"/>
      <c r="C180" s="171"/>
      <c r="D180" s="942"/>
      <c r="E180" s="486"/>
      <c r="F180" s="962"/>
      <c r="G180" s="520"/>
      <c r="H180" s="1768"/>
      <c r="I180" s="72" t="s">
        <v>11</v>
      </c>
      <c r="J180" s="949">
        <v>42</v>
      </c>
      <c r="K180" s="809"/>
      <c r="L180" s="810"/>
      <c r="M180" s="811"/>
      <c r="N180" s="462"/>
      <c r="O180" s="856"/>
      <c r="P180" s="460"/>
      <c r="Q180" s="956"/>
      <c r="R180" s="934"/>
    </row>
    <row r="181" spans="1:21" ht="22.5" customHeight="1" x14ac:dyDescent="0.2">
      <c r="A181" s="172"/>
      <c r="B181" s="164"/>
      <c r="C181" s="171"/>
      <c r="D181" s="942"/>
      <c r="E181" s="509" t="s">
        <v>115</v>
      </c>
      <c r="F181" s="1561" t="s">
        <v>262</v>
      </c>
      <c r="G181" s="878" t="s">
        <v>269</v>
      </c>
      <c r="H181" s="1768"/>
      <c r="I181" s="72" t="s">
        <v>11</v>
      </c>
      <c r="J181" s="949">
        <v>82.3</v>
      </c>
      <c r="K181" s="502">
        <v>51.4</v>
      </c>
      <c r="L181" s="952">
        <v>51.4</v>
      </c>
      <c r="M181" s="484">
        <v>52.7</v>
      </c>
      <c r="N181" s="1597" t="s">
        <v>337</v>
      </c>
      <c r="O181" s="855">
        <v>2</v>
      </c>
      <c r="P181" s="459">
        <v>81</v>
      </c>
      <c r="Q181" s="955">
        <v>81</v>
      </c>
      <c r="R181" s="918">
        <v>83</v>
      </c>
    </row>
    <row r="182" spans="1:21" ht="34.5" customHeight="1" x14ac:dyDescent="0.2">
      <c r="A182" s="172"/>
      <c r="B182" s="164"/>
      <c r="C182" s="171"/>
      <c r="D182" s="942"/>
      <c r="E182" s="486"/>
      <c r="F182" s="1563"/>
      <c r="G182" s="520"/>
      <c r="H182" s="1620"/>
      <c r="I182" s="72" t="s">
        <v>63</v>
      </c>
      <c r="J182" s="949"/>
      <c r="K182" s="502">
        <v>82.3</v>
      </c>
      <c r="L182" s="952"/>
      <c r="M182" s="484"/>
      <c r="N182" s="1598"/>
      <c r="O182" s="856"/>
      <c r="P182" s="460"/>
      <c r="Q182" s="956"/>
      <c r="R182" s="934"/>
    </row>
    <row r="183" spans="1:21" ht="42" customHeight="1" x14ac:dyDescent="0.2">
      <c r="A183" s="172"/>
      <c r="B183" s="164"/>
      <c r="C183" s="171"/>
      <c r="D183" s="942"/>
      <c r="E183" s="942" t="s">
        <v>116</v>
      </c>
      <c r="F183" s="962" t="s">
        <v>497</v>
      </c>
      <c r="G183" s="757" t="s">
        <v>274</v>
      </c>
      <c r="H183" s="868" t="s">
        <v>156</v>
      </c>
      <c r="I183" s="72" t="s">
        <v>11</v>
      </c>
      <c r="J183" s="949"/>
      <c r="K183" s="502">
        <v>40</v>
      </c>
      <c r="L183" s="952"/>
      <c r="M183" s="851"/>
      <c r="N183" s="310" t="s">
        <v>191</v>
      </c>
      <c r="O183" s="868"/>
      <c r="P183" s="457">
        <v>100</v>
      </c>
      <c r="Q183" s="458"/>
      <c r="R183" s="919"/>
    </row>
    <row r="184" spans="1:21" ht="18" customHeight="1" thickBot="1" x14ac:dyDescent="0.25">
      <c r="A184" s="188"/>
      <c r="B184" s="189"/>
      <c r="C184" s="211"/>
      <c r="D184" s="943"/>
      <c r="E184" s="943"/>
      <c r="F184" s="805"/>
      <c r="G184" s="485"/>
      <c r="H184" s="852"/>
      <c r="I184" s="894" t="s">
        <v>12</v>
      </c>
      <c r="J184" s="266">
        <f>SUM(J142:J181)</f>
        <v>10541.199999999997</v>
      </c>
      <c r="K184" s="36">
        <f>SUM(K142:K183)</f>
        <v>10360.199999999999</v>
      </c>
      <c r="L184" s="108">
        <f>SUM(L142:L183)</f>
        <v>6063.3</v>
      </c>
      <c r="M184" s="106">
        <f>SUM(M142:M183)</f>
        <v>2264.1999999999998</v>
      </c>
      <c r="N184" s="311"/>
      <c r="O184" s="461"/>
      <c r="P184" s="467"/>
      <c r="Q184" s="468"/>
      <c r="R184" s="359"/>
    </row>
    <row r="185" spans="1:21" ht="14.65" customHeight="1" x14ac:dyDescent="0.2">
      <c r="A185" s="172"/>
      <c r="B185" s="164"/>
      <c r="C185" s="171"/>
      <c r="D185" s="129" t="s">
        <v>13</v>
      </c>
      <c r="E185" s="66"/>
      <c r="F185" s="1831" t="s">
        <v>94</v>
      </c>
      <c r="G185" s="757"/>
      <c r="H185" s="1619"/>
      <c r="I185" s="71"/>
      <c r="J185" s="429"/>
      <c r="K185" s="71"/>
      <c r="L185" s="92"/>
      <c r="M185" s="376"/>
      <c r="N185" s="85"/>
      <c r="O185" s="872"/>
      <c r="P185" s="71"/>
      <c r="Q185" s="92"/>
      <c r="R185" s="360"/>
    </row>
    <row r="186" spans="1:21" ht="14.65" customHeight="1" x14ac:dyDescent="0.2">
      <c r="A186" s="172"/>
      <c r="B186" s="164"/>
      <c r="C186" s="171"/>
      <c r="D186" s="66"/>
      <c r="E186" s="66"/>
      <c r="F186" s="1831"/>
      <c r="G186" s="757"/>
      <c r="H186" s="1768"/>
      <c r="I186" s="80"/>
      <c r="J186" s="418"/>
      <c r="K186" s="80"/>
      <c r="L186" s="432"/>
      <c r="M186" s="915"/>
      <c r="N186" s="85"/>
      <c r="O186" s="865"/>
      <c r="P186" s="71"/>
      <c r="Q186" s="92"/>
      <c r="R186" s="360"/>
    </row>
    <row r="187" spans="1:21" ht="17.45" customHeight="1" x14ac:dyDescent="0.2">
      <c r="A187" s="172"/>
      <c r="B187" s="164"/>
      <c r="C187" s="171"/>
      <c r="D187" s="942"/>
      <c r="E187" s="883" t="s">
        <v>10</v>
      </c>
      <c r="F187" s="1561" t="s">
        <v>126</v>
      </c>
      <c r="G187" s="300" t="s">
        <v>144</v>
      </c>
      <c r="H187" s="1769" t="s">
        <v>148</v>
      </c>
      <c r="I187" s="584" t="s">
        <v>11</v>
      </c>
      <c r="J187" s="562">
        <f>396.2-396.2+356+140+40+7.4+152.9+551+220.9-800-300-319.6+6.6</f>
        <v>55.200000000000024</v>
      </c>
      <c r="K187" s="610"/>
      <c r="L187" s="611">
        <v>425.4</v>
      </c>
      <c r="M187" s="558"/>
      <c r="N187" s="612" t="s">
        <v>69</v>
      </c>
      <c r="O187" s="742">
        <v>10</v>
      </c>
      <c r="P187" s="790">
        <v>70</v>
      </c>
      <c r="Q187" s="791">
        <v>100</v>
      </c>
      <c r="R187" s="613"/>
    </row>
    <row r="188" spans="1:21" ht="14.65" customHeight="1" x14ac:dyDescent="0.2">
      <c r="A188" s="172"/>
      <c r="B188" s="164"/>
      <c r="C188" s="171"/>
      <c r="D188" s="942"/>
      <c r="E188" s="884"/>
      <c r="F188" s="1562"/>
      <c r="G188" s="757" t="s">
        <v>270</v>
      </c>
      <c r="H188" s="1768"/>
      <c r="I188" s="584" t="s">
        <v>215</v>
      </c>
      <c r="J188" s="562">
        <f>57.2-6.6</f>
        <v>50.6</v>
      </c>
      <c r="K188" s="610"/>
      <c r="L188" s="611"/>
      <c r="M188" s="558"/>
      <c r="N188" s="614"/>
      <c r="O188" s="615"/>
      <c r="P188" s="616"/>
      <c r="Q188" s="617"/>
      <c r="R188" s="618"/>
    </row>
    <row r="189" spans="1:21" ht="14.65" customHeight="1" x14ac:dyDescent="0.2">
      <c r="A189" s="172"/>
      <c r="B189" s="164"/>
      <c r="C189" s="171"/>
      <c r="D189" s="942"/>
      <c r="E189" s="884"/>
      <c r="F189" s="1562"/>
      <c r="G189" s="301" t="s">
        <v>214</v>
      </c>
      <c r="H189" s="1768"/>
      <c r="I189" s="589" t="s">
        <v>63</v>
      </c>
      <c r="J189" s="619">
        <v>280.2</v>
      </c>
      <c r="K189" s="777">
        <v>1436</v>
      </c>
      <c r="L189" s="620"/>
      <c r="M189" s="621"/>
      <c r="N189" s="614"/>
      <c r="O189" s="615"/>
      <c r="P189" s="616"/>
      <c r="Q189" s="617"/>
      <c r="R189" s="618"/>
    </row>
    <row r="190" spans="1:21" x14ac:dyDescent="0.2">
      <c r="A190" s="172"/>
      <c r="B190" s="164"/>
      <c r="C190" s="171"/>
      <c r="D190" s="942"/>
      <c r="E190" s="893"/>
      <c r="F190" s="1562"/>
      <c r="G190" s="321" t="s">
        <v>272</v>
      </c>
      <c r="H190" s="1768"/>
      <c r="I190" s="72" t="s">
        <v>65</v>
      </c>
      <c r="J190" s="562">
        <f>263.7+255.8+95.9-378-158.4</f>
        <v>78.999999999999972</v>
      </c>
      <c r="K190" s="502">
        <f>800.1-160.1</f>
        <v>640</v>
      </c>
      <c r="L190" s="952">
        <v>239.1</v>
      </c>
      <c r="M190" s="558"/>
      <c r="N190" s="622"/>
      <c r="O190" s="623"/>
      <c r="P190" s="624"/>
      <c r="Q190" s="625"/>
      <c r="R190" s="626"/>
    </row>
    <row r="191" spans="1:21" ht="13.9" customHeight="1" x14ac:dyDescent="0.2">
      <c r="A191" s="172"/>
      <c r="B191" s="164"/>
      <c r="C191" s="171"/>
      <c r="D191" s="129"/>
      <c r="E191" s="884" t="s">
        <v>13</v>
      </c>
      <c r="F191" s="1539" t="s">
        <v>171</v>
      </c>
      <c r="G191" s="757" t="s">
        <v>144</v>
      </c>
      <c r="H191" s="125"/>
      <c r="I191" s="1826"/>
      <c r="J191" s="627"/>
      <c r="K191" s="628"/>
      <c r="L191" s="629"/>
      <c r="M191" s="630"/>
      <c r="N191" s="609"/>
      <c r="O191" s="570"/>
      <c r="P191" s="457"/>
      <c r="Q191" s="458"/>
      <c r="R191" s="573"/>
    </row>
    <row r="192" spans="1:21" ht="13.9" customHeight="1" x14ac:dyDescent="0.2">
      <c r="A192" s="172"/>
      <c r="B192" s="164"/>
      <c r="C192" s="171"/>
      <c r="D192" s="942"/>
      <c r="E192" s="884"/>
      <c r="F192" s="1825"/>
      <c r="G192" s="757"/>
      <c r="H192" s="1828" t="s">
        <v>148</v>
      </c>
      <c r="I192" s="1827"/>
      <c r="J192" s="631"/>
      <c r="K192" s="632"/>
      <c r="L192" s="633"/>
      <c r="M192" s="634"/>
      <c r="N192" s="609"/>
      <c r="O192" s="570"/>
      <c r="P192" s="457"/>
      <c r="Q192" s="458"/>
      <c r="R192" s="573"/>
    </row>
    <row r="193" spans="1:23" ht="13.9" customHeight="1" x14ac:dyDescent="0.2">
      <c r="A193" s="172"/>
      <c r="B193" s="164"/>
      <c r="C193" s="171"/>
      <c r="D193" s="942"/>
      <c r="E193" s="884"/>
      <c r="F193" s="1539" t="s">
        <v>516</v>
      </c>
      <c r="G193" s="757" t="s">
        <v>2</v>
      </c>
      <c r="H193" s="1828"/>
      <c r="I193" s="284" t="s">
        <v>11</v>
      </c>
      <c r="J193" s="649"/>
      <c r="K193" s="610"/>
      <c r="L193" s="611">
        <v>767.6</v>
      </c>
      <c r="M193" s="586">
        <v>608.6</v>
      </c>
      <c r="N193" s="1829" t="s">
        <v>98</v>
      </c>
      <c r="O193" s="566"/>
      <c r="P193" s="787">
        <v>1</v>
      </c>
      <c r="Q193" s="788">
        <v>1</v>
      </c>
      <c r="R193" s="123">
        <v>3</v>
      </c>
      <c r="S193" s="1587"/>
      <c r="T193" s="1588"/>
      <c r="U193" s="1588"/>
      <c r="V193" s="1588"/>
    </row>
    <row r="194" spans="1:23" ht="13.9" customHeight="1" x14ac:dyDescent="0.2">
      <c r="A194" s="172"/>
      <c r="B194" s="164"/>
      <c r="C194" s="171"/>
      <c r="D194" s="942"/>
      <c r="E194" s="884"/>
      <c r="F194" s="1541"/>
      <c r="G194" s="757" t="s">
        <v>270</v>
      </c>
      <c r="H194" s="1828"/>
      <c r="I194" s="589" t="s">
        <v>63</v>
      </c>
      <c r="J194" s="853"/>
      <c r="K194" s="777">
        <v>346.8</v>
      </c>
      <c r="L194" s="637"/>
      <c r="M194" s="630"/>
      <c r="N194" s="1830"/>
      <c r="O194" s="775"/>
      <c r="P194" s="638"/>
      <c r="Q194" s="639"/>
      <c r="R194" s="640"/>
      <c r="S194" s="1587"/>
      <c r="T194" s="1588"/>
      <c r="U194" s="1588"/>
      <c r="V194" s="1588"/>
    </row>
    <row r="195" spans="1:23" ht="13.9" customHeight="1" x14ac:dyDescent="0.2">
      <c r="A195" s="172"/>
      <c r="B195" s="164"/>
      <c r="C195" s="171"/>
      <c r="D195" s="942"/>
      <c r="E195" s="884"/>
      <c r="F195" s="1541"/>
      <c r="G195" s="757"/>
      <c r="H195" s="1828"/>
      <c r="I195" s="641"/>
      <c r="J195" s="635"/>
      <c r="K195" s="636"/>
      <c r="L195" s="637"/>
      <c r="M195" s="630"/>
      <c r="N195" s="1829" t="s">
        <v>191</v>
      </c>
      <c r="O195" s="566"/>
      <c r="P195" s="642"/>
      <c r="Q195" s="955">
        <v>30</v>
      </c>
      <c r="R195" s="567">
        <v>50</v>
      </c>
      <c r="S195" s="1587"/>
      <c r="T195" s="1588"/>
      <c r="U195" s="1588"/>
      <c r="V195" s="1588"/>
    </row>
    <row r="196" spans="1:23" ht="24" customHeight="1" x14ac:dyDescent="0.2">
      <c r="A196" s="172"/>
      <c r="B196" s="164"/>
      <c r="C196" s="171"/>
      <c r="D196" s="942"/>
      <c r="E196" s="884"/>
      <c r="F196" s="1540"/>
      <c r="G196" s="321"/>
      <c r="H196" s="96"/>
      <c r="I196" s="643"/>
      <c r="J196" s="631"/>
      <c r="K196" s="632"/>
      <c r="L196" s="633"/>
      <c r="M196" s="634"/>
      <c r="N196" s="1830"/>
      <c r="O196" s="775"/>
      <c r="P196" s="638"/>
      <c r="Q196" s="639"/>
      <c r="R196" s="640"/>
      <c r="S196" s="1587"/>
      <c r="T196" s="1588"/>
      <c r="U196" s="1588"/>
      <c r="V196" s="1588"/>
    </row>
    <row r="197" spans="1:23" ht="19.5" customHeight="1" x14ac:dyDescent="0.2">
      <c r="A197" s="172"/>
      <c r="B197" s="164"/>
      <c r="C197" s="171"/>
      <c r="D197" s="942"/>
      <c r="E197" s="884"/>
      <c r="F197" s="1539" t="s">
        <v>338</v>
      </c>
      <c r="G197" s="756" t="s">
        <v>270</v>
      </c>
      <c r="H197" s="1769" t="s">
        <v>268</v>
      </c>
      <c r="I197" s="284" t="s">
        <v>11</v>
      </c>
      <c r="J197" s="585">
        <v>250</v>
      </c>
      <c r="K197" s="610">
        <v>38.5</v>
      </c>
      <c r="L197" s="611"/>
      <c r="M197" s="586"/>
      <c r="N197" s="1597" t="s">
        <v>312</v>
      </c>
      <c r="O197" s="566"/>
      <c r="P197" s="459">
        <v>100</v>
      </c>
      <c r="Q197" s="955"/>
      <c r="R197" s="567"/>
    </row>
    <row r="198" spans="1:23" ht="24.75" customHeight="1" x14ac:dyDescent="0.2">
      <c r="A198" s="172"/>
      <c r="B198" s="164"/>
      <c r="C198" s="171"/>
      <c r="D198" s="942"/>
      <c r="E198" s="884"/>
      <c r="F198" s="1540"/>
      <c r="G198" s="321" t="s">
        <v>269</v>
      </c>
      <c r="H198" s="1620"/>
      <c r="I198" s="291" t="s">
        <v>63</v>
      </c>
      <c r="J198" s="644"/>
      <c r="K198" s="645">
        <v>931.6</v>
      </c>
      <c r="L198" s="953"/>
      <c r="M198" s="646"/>
      <c r="N198" s="1598"/>
      <c r="O198" s="775"/>
      <c r="P198" s="460"/>
      <c r="Q198" s="956"/>
      <c r="R198" s="647"/>
    </row>
    <row r="199" spans="1:23" ht="29.25" customHeight="1" x14ac:dyDescent="0.2">
      <c r="A199" s="172"/>
      <c r="B199" s="164"/>
      <c r="C199" s="171"/>
      <c r="D199" s="942"/>
      <c r="E199" s="883" t="s">
        <v>15</v>
      </c>
      <c r="F199" s="151" t="s">
        <v>193</v>
      </c>
      <c r="G199" s="648" t="s">
        <v>313</v>
      </c>
      <c r="H199" s="38" t="s">
        <v>148</v>
      </c>
      <c r="I199" s="284" t="s">
        <v>11</v>
      </c>
      <c r="J199" s="649"/>
      <c r="K199" s="610"/>
      <c r="L199" s="611">
        <v>367.8</v>
      </c>
      <c r="M199" s="586">
        <v>304.8</v>
      </c>
      <c r="N199" s="929" t="s">
        <v>191</v>
      </c>
      <c r="O199" s="650"/>
      <c r="P199" s="597"/>
      <c r="Q199" s="598">
        <v>50</v>
      </c>
      <c r="R199" s="290">
        <v>100</v>
      </c>
    </row>
    <row r="200" spans="1:23" ht="24" customHeight="1" x14ac:dyDescent="0.2">
      <c r="A200" s="172"/>
      <c r="B200" s="164"/>
      <c r="C200" s="171"/>
      <c r="D200" s="942"/>
      <c r="E200" s="883" t="s">
        <v>17</v>
      </c>
      <c r="F200" s="1539" t="s">
        <v>255</v>
      </c>
      <c r="G200" s="757" t="s">
        <v>256</v>
      </c>
      <c r="H200" s="868" t="s">
        <v>148</v>
      </c>
      <c r="I200" s="593" t="s">
        <v>11</v>
      </c>
      <c r="J200" s="651"/>
      <c r="K200" s="645"/>
      <c r="L200" s="953">
        <v>350.9</v>
      </c>
      <c r="M200" s="646">
        <v>452.8</v>
      </c>
      <c r="N200" s="1597" t="s">
        <v>191</v>
      </c>
      <c r="O200" s="570"/>
      <c r="P200" s="457"/>
      <c r="Q200" s="458">
        <v>50</v>
      </c>
      <c r="R200" s="573">
        <v>100</v>
      </c>
      <c r="S200" s="1587"/>
      <c r="T200" s="1588"/>
    </row>
    <row r="201" spans="1:23" ht="17.25" customHeight="1" x14ac:dyDescent="0.2">
      <c r="A201" s="172"/>
      <c r="B201" s="164"/>
      <c r="C201" s="171"/>
      <c r="D201" s="942"/>
      <c r="E201" s="884"/>
      <c r="F201" s="1541"/>
      <c r="G201" s="757" t="s">
        <v>270</v>
      </c>
      <c r="H201" s="868"/>
      <c r="I201" s="589" t="s">
        <v>271</v>
      </c>
      <c r="J201" s="651"/>
      <c r="K201" s="645"/>
      <c r="L201" s="953">
        <v>1988</v>
      </c>
      <c r="M201" s="652">
        <v>1999.4</v>
      </c>
      <c r="N201" s="1593"/>
      <c r="O201" s="570"/>
      <c r="P201" s="457"/>
      <c r="Q201" s="458"/>
      <c r="R201" s="573"/>
      <c r="S201" s="1587"/>
      <c r="T201" s="1588"/>
    </row>
    <row r="202" spans="1:23" ht="18" customHeight="1" x14ac:dyDescent="0.2">
      <c r="A202" s="172"/>
      <c r="B202" s="164"/>
      <c r="C202" s="171"/>
      <c r="D202" s="942"/>
      <c r="E202" s="884"/>
      <c r="F202" s="1540"/>
      <c r="G202" s="757" t="s">
        <v>2</v>
      </c>
      <c r="H202" s="868"/>
      <c r="I202" s="73" t="s">
        <v>12</v>
      </c>
      <c r="J202" s="654">
        <f>SUM(J187:J201)</f>
        <v>715</v>
      </c>
      <c r="K202" s="655">
        <f>SUM(K187:K201)</f>
        <v>3392.9</v>
      </c>
      <c r="L202" s="656">
        <f>SUM(L187:L201)</f>
        <v>4138.7999999999993</v>
      </c>
      <c r="M202" s="657">
        <f>SUM(M187:M201)</f>
        <v>3365.6000000000004</v>
      </c>
      <c r="N202" s="1598"/>
      <c r="O202" s="570"/>
      <c r="P202" s="457"/>
      <c r="Q202" s="458"/>
      <c r="R202" s="573"/>
      <c r="S202" s="1587"/>
      <c r="T202" s="1588"/>
    </row>
    <row r="203" spans="1:23" ht="15" customHeight="1" x14ac:dyDescent="0.2">
      <c r="A203" s="172"/>
      <c r="B203" s="164"/>
      <c r="C203" s="171"/>
      <c r="D203" s="70" t="s">
        <v>15</v>
      </c>
      <c r="E203" s="658"/>
      <c r="F203" s="1589" t="s">
        <v>95</v>
      </c>
      <c r="G203" s="756"/>
      <c r="H203" s="1769"/>
      <c r="I203" s="1"/>
      <c r="J203" s="619"/>
      <c r="K203" s="71"/>
      <c r="L203" s="92"/>
      <c r="M203" s="621"/>
      <c r="N203" s="869"/>
      <c r="O203" s="855"/>
      <c r="P203" s="1"/>
      <c r="Q203" s="859"/>
      <c r="R203" s="918"/>
      <c r="S203" s="14"/>
      <c r="T203" s="14"/>
      <c r="U203" s="14"/>
      <c r="V203" s="14"/>
      <c r="W203" s="14"/>
    </row>
    <row r="204" spans="1:23" ht="15" customHeight="1" x14ac:dyDescent="0.2">
      <c r="A204" s="172"/>
      <c r="B204" s="164"/>
      <c r="C204" s="171"/>
      <c r="D204" s="66"/>
      <c r="E204" s="659"/>
      <c r="F204" s="1590"/>
      <c r="G204" s="757"/>
      <c r="H204" s="1620"/>
      <c r="I204" s="71"/>
      <c r="J204" s="619"/>
      <c r="K204" s="71"/>
      <c r="L204" s="92"/>
      <c r="M204" s="621"/>
      <c r="N204" s="909"/>
      <c r="O204" s="868"/>
      <c r="P204" s="71"/>
      <c r="Q204" s="92"/>
      <c r="R204" s="919"/>
      <c r="S204" s="1591"/>
      <c r="T204" s="1592"/>
      <c r="U204" s="1592"/>
      <c r="V204" s="1592"/>
      <c r="W204" s="1592"/>
    </row>
    <row r="205" spans="1:23" ht="27.75" customHeight="1" x14ac:dyDescent="0.2">
      <c r="A205" s="172"/>
      <c r="B205" s="164"/>
      <c r="C205" s="171"/>
      <c r="D205" s="942"/>
      <c r="E205" s="883" t="s">
        <v>10</v>
      </c>
      <c r="F205" s="1561" t="s">
        <v>96</v>
      </c>
      <c r="G205" s="756" t="s">
        <v>144</v>
      </c>
      <c r="H205" s="1769" t="s">
        <v>151</v>
      </c>
      <c r="I205" s="660" t="s">
        <v>63</v>
      </c>
      <c r="J205" s="562">
        <f>113.7+35</f>
        <v>148.69999999999999</v>
      </c>
      <c r="K205" s="844">
        <v>8.9</v>
      </c>
      <c r="L205" s="661"/>
      <c r="M205" s="558"/>
      <c r="N205" s="662" t="s">
        <v>59</v>
      </c>
      <c r="O205" s="663">
        <v>100</v>
      </c>
      <c r="P205" s="664"/>
      <c r="Q205" s="665"/>
      <c r="R205" s="666"/>
      <c r="S205" s="1591"/>
      <c r="T205" s="1592"/>
      <c r="U205" s="1592"/>
      <c r="V205" s="1592"/>
      <c r="W205" s="1592"/>
    </row>
    <row r="206" spans="1:23" ht="14.45" customHeight="1" x14ac:dyDescent="0.2">
      <c r="A206" s="172"/>
      <c r="B206" s="164"/>
      <c r="C206" s="170"/>
      <c r="D206" s="942"/>
      <c r="E206" s="884"/>
      <c r="F206" s="1562"/>
      <c r="G206" s="757" t="s">
        <v>2</v>
      </c>
      <c r="H206" s="1768"/>
      <c r="I206" s="660" t="s">
        <v>132</v>
      </c>
      <c r="J206" s="562">
        <v>118.6</v>
      </c>
      <c r="K206" s="844">
        <v>29.8</v>
      </c>
      <c r="L206" s="661"/>
      <c r="M206" s="558"/>
      <c r="N206" s="662" t="s">
        <v>68</v>
      </c>
      <c r="O206" s="780">
        <v>100</v>
      </c>
      <c r="P206" s="664">
        <v>100</v>
      </c>
      <c r="Q206" s="665"/>
      <c r="R206" s="778"/>
      <c r="S206" s="14"/>
      <c r="T206" s="14"/>
      <c r="U206" s="14"/>
      <c r="V206" s="14"/>
      <c r="W206" s="14"/>
    </row>
    <row r="207" spans="1:23" ht="14.45" customHeight="1" x14ac:dyDescent="0.2">
      <c r="A207" s="172"/>
      <c r="B207" s="164"/>
      <c r="C207" s="170"/>
      <c r="D207" s="942"/>
      <c r="E207" s="893"/>
      <c r="F207" s="1563"/>
      <c r="G207" s="321"/>
      <c r="H207" s="1620"/>
      <c r="I207" s="667" t="s">
        <v>65</v>
      </c>
      <c r="J207" s="949">
        <f>285.8-17.9-118.6</f>
        <v>149.30000000000004</v>
      </c>
      <c r="K207" s="667"/>
      <c r="L207" s="668"/>
      <c r="M207" s="954"/>
      <c r="N207" s="462"/>
      <c r="O207" s="856"/>
      <c r="P207" s="460"/>
      <c r="Q207" s="956"/>
      <c r="R207" s="934"/>
      <c r="S207" s="14"/>
      <c r="T207" s="14"/>
      <c r="U207" s="14"/>
      <c r="V207" s="14"/>
      <c r="W207" s="14"/>
    </row>
    <row r="208" spans="1:23" ht="22.5" customHeight="1" x14ac:dyDescent="0.2">
      <c r="A208" s="172"/>
      <c r="B208" s="164"/>
      <c r="C208" s="170"/>
      <c r="D208" s="322"/>
      <c r="E208" s="883" t="s">
        <v>13</v>
      </c>
      <c r="F208" s="1561" t="s">
        <v>231</v>
      </c>
      <c r="G208" s="756" t="s">
        <v>270</v>
      </c>
      <c r="H208" s="1769" t="s">
        <v>232</v>
      </c>
      <c r="I208" s="653"/>
      <c r="J208" s="669"/>
      <c r="K208" s="653"/>
      <c r="L208" s="670"/>
      <c r="M208" s="671"/>
      <c r="N208" s="1597" t="s">
        <v>319</v>
      </c>
      <c r="O208" s="672">
        <v>1</v>
      </c>
      <c r="P208" s="459"/>
      <c r="Q208" s="955"/>
      <c r="R208" s="673"/>
    </row>
    <row r="209" spans="1:18" ht="17.25" customHeight="1" x14ac:dyDescent="0.2">
      <c r="A209" s="172"/>
      <c r="B209" s="164"/>
      <c r="C209" s="170"/>
      <c r="D209" s="483"/>
      <c r="E209" s="893"/>
      <c r="F209" s="1563"/>
      <c r="G209" s="321"/>
      <c r="H209" s="1620"/>
      <c r="I209" s="73" t="s">
        <v>12</v>
      </c>
      <c r="J209" s="654">
        <f>SUM(J203:J208)</f>
        <v>416.6</v>
      </c>
      <c r="K209" s="655">
        <f t="shared" ref="K209:M209" si="8">SUM(K203:K208)</f>
        <v>38.700000000000003</v>
      </c>
      <c r="L209" s="656">
        <f>SUM(L203:L208)</f>
        <v>0</v>
      </c>
      <c r="M209" s="657">
        <f t="shared" si="8"/>
        <v>0</v>
      </c>
      <c r="N209" s="1598"/>
      <c r="O209" s="674"/>
      <c r="P209" s="460"/>
      <c r="Q209" s="956"/>
      <c r="R209" s="675"/>
    </row>
    <row r="210" spans="1:18" ht="17.25" customHeight="1" thickBot="1" x14ac:dyDescent="0.25">
      <c r="A210" s="188"/>
      <c r="B210" s="189"/>
      <c r="C210" s="190"/>
      <c r="D210" s="807"/>
      <c r="E210" s="806"/>
      <c r="F210" s="805"/>
      <c r="G210" s="1585" t="s">
        <v>37</v>
      </c>
      <c r="H210" s="1823"/>
      <c r="I210" s="1506"/>
      <c r="J210" s="266">
        <f>+J202+J184+J209</f>
        <v>11672.799999999997</v>
      </c>
      <c r="K210" s="36">
        <f>+K202+K184+K209</f>
        <v>13791.8</v>
      </c>
      <c r="L210" s="108">
        <f>+L202+L184+L209</f>
        <v>10202.099999999999</v>
      </c>
      <c r="M210" s="111">
        <f>+M202+M184+M209</f>
        <v>5629.8</v>
      </c>
      <c r="N210" s="676"/>
      <c r="O210" s="873"/>
      <c r="P210" s="677"/>
      <c r="Q210" s="678"/>
      <c r="R210" s="917"/>
    </row>
    <row r="211" spans="1:18" ht="29.25" customHeight="1" x14ac:dyDescent="0.2">
      <c r="A211" s="184" t="s">
        <v>13</v>
      </c>
      <c r="B211" s="185" t="s">
        <v>10</v>
      </c>
      <c r="C211" s="162" t="s">
        <v>15</v>
      </c>
      <c r="D211" s="26"/>
      <c r="E211" s="26"/>
      <c r="F211" s="902" t="s">
        <v>60</v>
      </c>
      <c r="G211" s="176"/>
      <c r="H211" s="1619" t="s">
        <v>278</v>
      </c>
      <c r="I211" s="11"/>
      <c r="J211" s="429"/>
      <c r="K211" s="11"/>
      <c r="L211" s="965"/>
      <c r="M211" s="376"/>
      <c r="N211" s="874"/>
      <c r="O211" s="872"/>
      <c r="P211" s="907"/>
      <c r="Q211" s="889"/>
      <c r="R211" s="362"/>
    </row>
    <row r="212" spans="1:18" ht="21" customHeight="1" x14ac:dyDescent="0.2">
      <c r="A212" s="172"/>
      <c r="B212" s="164"/>
      <c r="C212" s="165"/>
      <c r="D212" s="509" t="s">
        <v>10</v>
      </c>
      <c r="E212" s="509"/>
      <c r="F212" s="1561" t="s">
        <v>127</v>
      </c>
      <c r="G212" s="757" t="s">
        <v>269</v>
      </c>
      <c r="H212" s="1768"/>
      <c r="I212" s="13" t="s">
        <v>11</v>
      </c>
      <c r="J212" s="416">
        <f>104+24+10.8</f>
        <v>138.80000000000001</v>
      </c>
      <c r="K212" s="105">
        <v>131</v>
      </c>
      <c r="L212" s="103">
        <v>158.80000000000001</v>
      </c>
      <c r="M212" s="278">
        <v>150</v>
      </c>
      <c r="N212" s="869" t="s">
        <v>70</v>
      </c>
      <c r="O212" s="911">
        <v>13</v>
      </c>
      <c r="P212" s="1">
        <v>11</v>
      </c>
      <c r="Q212" s="859">
        <v>15</v>
      </c>
      <c r="R212" s="861">
        <v>14</v>
      </c>
    </row>
    <row r="213" spans="1:18" ht="21" customHeight="1" x14ac:dyDescent="0.2">
      <c r="A213" s="172"/>
      <c r="B213" s="164"/>
      <c r="C213" s="165"/>
      <c r="D213" s="486"/>
      <c r="E213" s="486"/>
      <c r="F213" s="1563"/>
      <c r="G213" s="757"/>
      <c r="H213" s="1768"/>
      <c r="I213" s="2" t="s">
        <v>63</v>
      </c>
      <c r="J213" s="418">
        <v>10</v>
      </c>
      <c r="K213" s="482"/>
      <c r="L213" s="905"/>
      <c r="M213" s="915"/>
      <c r="N213" s="285"/>
      <c r="O213" s="856"/>
      <c r="P213" s="2"/>
      <c r="Q213" s="91"/>
      <c r="R213" s="934"/>
    </row>
    <row r="214" spans="1:18" ht="24.75" customHeight="1" x14ac:dyDescent="0.2">
      <c r="A214" s="172"/>
      <c r="B214" s="164"/>
      <c r="C214" s="165"/>
      <c r="D214" s="942" t="s">
        <v>13</v>
      </c>
      <c r="E214" s="942"/>
      <c r="F214" s="882" t="s">
        <v>263</v>
      </c>
      <c r="G214" s="139"/>
      <c r="H214" s="1768"/>
      <c r="I214" s="71" t="s">
        <v>11</v>
      </c>
      <c r="J214" s="896">
        <v>99.9</v>
      </c>
      <c r="K214" s="523"/>
      <c r="L214" s="948"/>
      <c r="M214" s="914"/>
      <c r="N214" s="81" t="s">
        <v>70</v>
      </c>
      <c r="O214" s="38">
        <v>4</v>
      </c>
      <c r="P214" s="13"/>
      <c r="Q214" s="90"/>
      <c r="R214" s="126"/>
    </row>
    <row r="215" spans="1:18" ht="16.5" customHeight="1" x14ac:dyDescent="0.2">
      <c r="A215" s="172"/>
      <c r="B215" s="164"/>
      <c r="C215" s="210"/>
      <c r="D215" s="883" t="s">
        <v>15</v>
      </c>
      <c r="E215" s="883"/>
      <c r="F215" s="1561" t="s">
        <v>128</v>
      </c>
      <c r="G215" s="139" t="s">
        <v>269</v>
      </c>
      <c r="H215" s="1768"/>
      <c r="I215" s="1769" t="s">
        <v>11</v>
      </c>
      <c r="J215" s="890">
        <f>127.5+8+5</f>
        <v>140.5</v>
      </c>
      <c r="K215" s="137">
        <v>205</v>
      </c>
      <c r="L215" s="951">
        <v>230</v>
      </c>
      <c r="M215" s="897">
        <v>230</v>
      </c>
      <c r="N215" s="909" t="s">
        <v>70</v>
      </c>
      <c r="O215" s="413">
        <v>14</v>
      </c>
      <c r="P215" s="71">
        <v>17</v>
      </c>
      <c r="Q215" s="92">
        <v>23</v>
      </c>
      <c r="R215" s="215">
        <v>23</v>
      </c>
    </row>
    <row r="216" spans="1:18" ht="12" customHeight="1" x14ac:dyDescent="0.2">
      <c r="A216" s="172"/>
      <c r="B216" s="164"/>
      <c r="C216" s="463"/>
      <c r="D216" s="893"/>
      <c r="E216" s="893"/>
      <c r="F216" s="1563"/>
      <c r="G216" s="139" t="s">
        <v>270</v>
      </c>
      <c r="H216" s="1768"/>
      <c r="I216" s="1620"/>
      <c r="J216" s="891"/>
      <c r="K216" s="482"/>
      <c r="L216" s="905"/>
      <c r="M216" s="899"/>
      <c r="N216" s="870"/>
      <c r="O216" s="508"/>
      <c r="P216" s="2"/>
      <c r="Q216" s="91"/>
      <c r="R216" s="276"/>
    </row>
    <row r="217" spans="1:18" ht="29.25" customHeight="1" x14ac:dyDescent="0.2">
      <c r="A217" s="172"/>
      <c r="B217" s="164"/>
      <c r="C217" s="463"/>
      <c r="D217" s="464" t="s">
        <v>17</v>
      </c>
      <c r="E217" s="464"/>
      <c r="F217" s="41" t="s">
        <v>136</v>
      </c>
      <c r="G217" s="139" t="s">
        <v>328</v>
      </c>
      <c r="H217" s="1768"/>
      <c r="I217" s="6" t="s">
        <v>11</v>
      </c>
      <c r="J217" s="416"/>
      <c r="K217" s="105">
        <v>19</v>
      </c>
      <c r="L217" s="103">
        <v>15</v>
      </c>
      <c r="M217" s="278"/>
      <c r="N217" s="938" t="s">
        <v>70</v>
      </c>
      <c r="O217" s="442"/>
      <c r="P217" s="13">
        <v>5</v>
      </c>
      <c r="Q217" s="90">
        <v>3</v>
      </c>
      <c r="R217" s="275"/>
    </row>
    <row r="218" spans="1:18" ht="33" customHeight="1" x14ac:dyDescent="0.2">
      <c r="A218" s="172"/>
      <c r="B218" s="164"/>
      <c r="C218" s="463"/>
      <c r="D218" s="464" t="s">
        <v>18</v>
      </c>
      <c r="E218" s="464"/>
      <c r="F218" s="41" t="s">
        <v>172</v>
      </c>
      <c r="G218" s="139"/>
      <c r="H218" s="1768"/>
      <c r="I218" s="6" t="s">
        <v>11</v>
      </c>
      <c r="J218" s="416">
        <v>20</v>
      </c>
      <c r="K218" s="105"/>
      <c r="L218" s="103"/>
      <c r="M218" s="278"/>
      <c r="N218" s="938" t="s">
        <v>173</v>
      </c>
      <c r="O218" s="442">
        <v>1</v>
      </c>
      <c r="P218" s="13"/>
      <c r="Q218" s="90"/>
      <c r="R218" s="275"/>
    </row>
    <row r="219" spans="1:18" ht="33" customHeight="1" x14ac:dyDescent="0.2">
      <c r="A219" s="172"/>
      <c r="B219" s="164"/>
      <c r="C219" s="463"/>
      <c r="D219" s="464" t="s">
        <v>61</v>
      </c>
      <c r="E219" s="464"/>
      <c r="F219" s="961" t="s">
        <v>517</v>
      </c>
      <c r="G219" s="139" t="s">
        <v>274</v>
      </c>
      <c r="H219" s="1768"/>
      <c r="I219" s="6" t="s">
        <v>11</v>
      </c>
      <c r="J219" s="416"/>
      <c r="K219" s="105"/>
      <c r="L219" s="103">
        <v>20</v>
      </c>
      <c r="M219" s="278"/>
      <c r="N219" s="938" t="s">
        <v>280</v>
      </c>
      <c r="O219" s="442"/>
      <c r="P219" s="13"/>
      <c r="Q219" s="90">
        <v>1</v>
      </c>
      <c r="R219" s="275"/>
    </row>
    <row r="220" spans="1:18" ht="42.75" customHeight="1" x14ac:dyDescent="0.2">
      <c r="A220" s="172"/>
      <c r="B220" s="164"/>
      <c r="C220" s="463"/>
      <c r="D220" s="464" t="s">
        <v>62</v>
      </c>
      <c r="E220" s="464"/>
      <c r="F220" s="76" t="s">
        <v>518</v>
      </c>
      <c r="G220" s="139" t="s">
        <v>274</v>
      </c>
      <c r="H220" s="1768"/>
      <c r="I220" s="6" t="s">
        <v>11</v>
      </c>
      <c r="J220" s="416"/>
      <c r="K220" s="105"/>
      <c r="L220" s="103">
        <v>124.4</v>
      </c>
      <c r="M220" s="278"/>
      <c r="N220" s="938" t="s">
        <v>173</v>
      </c>
      <c r="O220" s="442"/>
      <c r="P220" s="13"/>
      <c r="Q220" s="90">
        <v>1</v>
      </c>
      <c r="R220" s="275"/>
    </row>
    <row r="221" spans="1:18" ht="56.25" customHeight="1" x14ac:dyDescent="0.2">
      <c r="A221" s="172"/>
      <c r="B221" s="164"/>
      <c r="C221" s="463"/>
      <c r="D221" s="464" t="s">
        <v>110</v>
      </c>
      <c r="E221" s="464"/>
      <c r="F221" s="76" t="s">
        <v>281</v>
      </c>
      <c r="G221" s="139" t="s">
        <v>274</v>
      </c>
      <c r="H221" s="1768"/>
      <c r="I221" s="13" t="s">
        <v>11</v>
      </c>
      <c r="J221" s="416"/>
      <c r="K221" s="8">
        <v>97.1</v>
      </c>
      <c r="L221" s="103">
        <v>122.2</v>
      </c>
      <c r="M221" s="278">
        <v>148.19999999999999</v>
      </c>
      <c r="N221" s="939" t="s">
        <v>282</v>
      </c>
      <c r="O221" s="442"/>
      <c r="P221" s="13">
        <v>2</v>
      </c>
      <c r="Q221" s="90">
        <v>3</v>
      </c>
      <c r="R221" s="275">
        <v>3</v>
      </c>
    </row>
    <row r="222" spans="1:18" ht="30" customHeight="1" x14ac:dyDescent="0.2">
      <c r="A222" s="172"/>
      <c r="B222" s="164"/>
      <c r="C222" s="463"/>
      <c r="D222" s="884" t="s">
        <v>111</v>
      </c>
      <c r="E222" s="884"/>
      <c r="F222" s="1561" t="s">
        <v>519</v>
      </c>
      <c r="G222" s="139" t="s">
        <v>269</v>
      </c>
      <c r="H222" s="1768"/>
      <c r="I222" s="71" t="s">
        <v>11</v>
      </c>
      <c r="J222" s="900"/>
      <c r="K222" s="523"/>
      <c r="L222" s="948">
        <v>158.19999999999999</v>
      </c>
      <c r="M222" s="898"/>
      <c r="N222" s="938" t="s">
        <v>283</v>
      </c>
      <c r="O222" s="442"/>
      <c r="P222" s="13"/>
      <c r="Q222" s="90">
        <v>4</v>
      </c>
      <c r="R222" s="537"/>
    </row>
    <row r="223" spans="1:18" ht="25.5" customHeight="1" x14ac:dyDescent="0.2">
      <c r="A223" s="172"/>
      <c r="B223" s="164"/>
      <c r="C223" s="463"/>
      <c r="D223" s="893"/>
      <c r="E223" s="893"/>
      <c r="F223" s="1563"/>
      <c r="G223" s="549"/>
      <c r="H223" s="1768"/>
      <c r="I223" s="223"/>
      <c r="J223" s="891"/>
      <c r="K223" s="482"/>
      <c r="L223" s="905"/>
      <c r="M223" s="899"/>
      <c r="N223" s="938" t="s">
        <v>173</v>
      </c>
      <c r="O223" s="442"/>
      <c r="P223" s="13"/>
      <c r="Q223" s="90">
        <v>4</v>
      </c>
      <c r="R223" s="537"/>
    </row>
    <row r="224" spans="1:18" ht="54.6" customHeight="1" x14ac:dyDescent="0.2">
      <c r="A224" s="172"/>
      <c r="B224" s="164"/>
      <c r="C224" s="463"/>
      <c r="D224" s="884" t="s">
        <v>4</v>
      </c>
      <c r="E224" s="884"/>
      <c r="F224" s="1561" t="s">
        <v>520</v>
      </c>
      <c r="G224" s="139" t="s">
        <v>269</v>
      </c>
      <c r="H224" s="1620"/>
      <c r="I224" s="71" t="s">
        <v>11</v>
      </c>
      <c r="J224" s="900">
        <v>55.8</v>
      </c>
      <c r="K224" s="523"/>
      <c r="L224" s="948">
        <v>48</v>
      </c>
      <c r="M224" s="898"/>
      <c r="N224" s="1547" t="s">
        <v>314</v>
      </c>
      <c r="O224" s="413">
        <v>2</v>
      </c>
      <c r="P224" s="71"/>
      <c r="Q224" s="92">
        <v>1</v>
      </c>
      <c r="R224" s="215"/>
    </row>
    <row r="225" spans="1:21" ht="13.5" thickBot="1" x14ac:dyDescent="0.25">
      <c r="A225" s="172"/>
      <c r="B225" s="164"/>
      <c r="C225" s="170"/>
      <c r="D225" s="943"/>
      <c r="E225" s="943"/>
      <c r="F225" s="1556"/>
      <c r="G225" s="1585" t="s">
        <v>37</v>
      </c>
      <c r="H225" s="1823"/>
      <c r="I225" s="1506"/>
      <c r="J225" s="266">
        <f>SUM(J212:J224)</f>
        <v>465.00000000000006</v>
      </c>
      <c r="K225" s="36">
        <f>SUM(K212:K224)</f>
        <v>452.1</v>
      </c>
      <c r="L225" s="108">
        <f>SUM(L212:L224)</f>
        <v>876.60000000000014</v>
      </c>
      <c r="M225" s="111">
        <f>SUM(M212:M224)</f>
        <v>528.20000000000005</v>
      </c>
      <c r="N225" s="1560"/>
      <c r="O225" s="873"/>
      <c r="P225" s="908"/>
      <c r="Q225" s="858"/>
      <c r="R225" s="917"/>
    </row>
    <row r="226" spans="1:21" ht="15.75" customHeight="1" thickBot="1" x14ac:dyDescent="0.25">
      <c r="A226" s="194" t="s">
        <v>13</v>
      </c>
      <c r="B226" s="195" t="s">
        <v>10</v>
      </c>
      <c r="C226" s="1548" t="s">
        <v>16</v>
      </c>
      <c r="D226" s="1549"/>
      <c r="E226" s="1549"/>
      <c r="F226" s="1549"/>
      <c r="G226" s="1549"/>
      <c r="H226" s="1549"/>
      <c r="I226" s="1549"/>
      <c r="J226" s="425">
        <f>+J225+J210+J139</f>
        <v>12394.699999999997</v>
      </c>
      <c r="K226" s="196">
        <f>+K225+K210+K139</f>
        <v>14315.699999999999</v>
      </c>
      <c r="L226" s="197">
        <f>+L225+L210+L139</f>
        <v>11150.499999999998</v>
      </c>
      <c r="M226" s="198">
        <f>+M225+M210+M139</f>
        <v>6229.8</v>
      </c>
      <c r="N226" s="920"/>
      <c r="O226" s="921"/>
      <c r="P226" s="921"/>
      <c r="Q226" s="921"/>
      <c r="R226" s="922"/>
    </row>
    <row r="227" spans="1:21" ht="17.25" customHeight="1" thickBot="1" x14ac:dyDescent="0.25">
      <c r="A227" s="172" t="s">
        <v>13</v>
      </c>
      <c r="B227" s="195" t="s">
        <v>13</v>
      </c>
      <c r="C227" s="1573" t="s">
        <v>47</v>
      </c>
      <c r="D227" s="1574"/>
      <c r="E227" s="1574"/>
      <c r="F227" s="1574"/>
      <c r="G227" s="1574"/>
      <c r="H227" s="1574"/>
      <c r="I227" s="1574"/>
      <c r="J227" s="1574"/>
      <c r="K227" s="1574"/>
      <c r="L227" s="1574"/>
      <c r="M227" s="1574"/>
      <c r="N227" s="1574"/>
      <c r="O227" s="1574"/>
      <c r="P227" s="1574"/>
      <c r="Q227" s="1574"/>
      <c r="R227" s="1815"/>
    </row>
    <row r="228" spans="1:21" ht="16.149999999999999" customHeight="1" x14ac:dyDescent="0.2">
      <c r="A228" s="184" t="s">
        <v>13</v>
      </c>
      <c r="B228" s="185" t="s">
        <v>13</v>
      </c>
      <c r="C228" s="218" t="s">
        <v>10</v>
      </c>
      <c r="D228" s="83"/>
      <c r="E228" s="26"/>
      <c r="F228" s="902" t="s">
        <v>55</v>
      </c>
      <c r="G228" s="546"/>
      <c r="H228" s="1792" t="s">
        <v>278</v>
      </c>
      <c r="I228" s="180"/>
      <c r="J228" s="429"/>
      <c r="K228" s="121"/>
      <c r="L228" s="122"/>
      <c r="M228" s="376"/>
      <c r="N228" s="874"/>
      <c r="O228" s="872"/>
      <c r="P228" s="11"/>
      <c r="Q228" s="965"/>
      <c r="R228" s="362"/>
    </row>
    <row r="229" spans="1:21" ht="16.899999999999999" customHeight="1" x14ac:dyDescent="0.2">
      <c r="A229" s="172"/>
      <c r="B229" s="164"/>
      <c r="C229" s="165"/>
      <c r="D229" s="509" t="s">
        <v>10</v>
      </c>
      <c r="E229" s="132"/>
      <c r="F229" s="1561" t="s">
        <v>213</v>
      </c>
      <c r="G229" s="547"/>
      <c r="H229" s="1812"/>
      <c r="I229" s="127" t="s">
        <v>11</v>
      </c>
      <c r="J229" s="895">
        <v>12.4</v>
      </c>
      <c r="K229" s="540"/>
      <c r="L229" s="128"/>
      <c r="M229" s="370"/>
      <c r="N229" s="869" t="s">
        <v>79</v>
      </c>
      <c r="O229" s="864"/>
      <c r="P229" s="1"/>
      <c r="Q229" s="859"/>
      <c r="R229" s="361"/>
    </row>
    <row r="230" spans="1:21" ht="31.15" customHeight="1" x14ac:dyDescent="0.2">
      <c r="A230" s="172"/>
      <c r="B230" s="164"/>
      <c r="C230" s="165"/>
      <c r="D230" s="486"/>
      <c r="E230" s="538"/>
      <c r="F230" s="1563"/>
      <c r="G230" s="548"/>
      <c r="H230" s="1812"/>
      <c r="I230" s="539"/>
      <c r="J230" s="436"/>
      <c r="K230" s="541"/>
      <c r="L230" s="120"/>
      <c r="M230" s="382"/>
      <c r="N230" s="869" t="s">
        <v>195</v>
      </c>
      <c r="O230" s="864">
        <v>100</v>
      </c>
      <c r="P230" s="1"/>
      <c r="Q230" s="859"/>
      <c r="R230" s="361"/>
    </row>
    <row r="231" spans="1:21" ht="30" customHeight="1" x14ac:dyDescent="0.2">
      <c r="A231" s="172"/>
      <c r="B231" s="164"/>
      <c r="C231" s="165"/>
      <c r="D231" s="691" t="s">
        <v>13</v>
      </c>
      <c r="E231" s="1801"/>
      <c r="F231" s="882" t="s">
        <v>284</v>
      </c>
      <c r="G231" s="139" t="s">
        <v>274</v>
      </c>
      <c r="H231" s="1812"/>
      <c r="I231" s="937" t="s">
        <v>11</v>
      </c>
      <c r="J231" s="434"/>
      <c r="K231" s="523"/>
      <c r="L231" s="948">
        <f>2008.7+30</f>
        <v>2038.7</v>
      </c>
      <c r="M231" s="380"/>
      <c r="N231" s="869" t="s">
        <v>493</v>
      </c>
      <c r="O231" s="864"/>
      <c r="P231" s="817"/>
      <c r="Q231" s="859">
        <v>1</v>
      </c>
      <c r="R231" s="361"/>
      <c r="S231" s="1587"/>
      <c r="T231" s="1588"/>
      <c r="U231" s="1588"/>
    </row>
    <row r="232" spans="1:21" ht="20.25" customHeight="1" x14ac:dyDescent="0.2">
      <c r="A232" s="172"/>
      <c r="B232" s="164"/>
      <c r="C232" s="165"/>
      <c r="D232" s="691"/>
      <c r="E232" s="1824"/>
      <c r="F232" s="882"/>
      <c r="G232" s="139"/>
      <c r="H232" s="1812"/>
      <c r="I232" s="937"/>
      <c r="J232" s="434"/>
      <c r="K232" s="722"/>
      <c r="L232" s="542"/>
      <c r="M232" s="380"/>
      <c r="N232" s="869" t="s">
        <v>285</v>
      </c>
      <c r="O232" s="864"/>
      <c r="P232" s="1"/>
      <c r="Q232" s="859">
        <v>7960</v>
      </c>
      <c r="R232" s="361"/>
    </row>
    <row r="233" spans="1:21" ht="15.6" customHeight="1" x14ac:dyDescent="0.2">
      <c r="A233" s="172"/>
      <c r="B233" s="164"/>
      <c r="C233" s="165"/>
      <c r="D233" s="31" t="s">
        <v>15</v>
      </c>
      <c r="E233" s="509"/>
      <c r="F233" s="1561" t="s">
        <v>521</v>
      </c>
      <c r="G233" s="548" t="s">
        <v>269</v>
      </c>
      <c r="H233" s="1812"/>
      <c r="I233" s="377" t="s">
        <v>11</v>
      </c>
      <c r="J233" s="435">
        <f>28+9.7</f>
        <v>37.700000000000003</v>
      </c>
      <c r="K233" s="723">
        <v>39</v>
      </c>
      <c r="L233" s="543"/>
      <c r="M233" s="381"/>
      <c r="N233" s="938" t="s">
        <v>70</v>
      </c>
      <c r="O233" s="38">
        <v>9</v>
      </c>
      <c r="P233" s="13">
        <v>10</v>
      </c>
      <c r="Q233" s="90"/>
      <c r="R233" s="126"/>
    </row>
    <row r="234" spans="1:21" ht="15.6" customHeight="1" x14ac:dyDescent="0.2">
      <c r="A234" s="172"/>
      <c r="B234" s="164"/>
      <c r="C234" s="165"/>
      <c r="D234" s="32"/>
      <c r="E234" s="486"/>
      <c r="F234" s="1563"/>
      <c r="G234" s="547"/>
      <c r="H234" s="1812"/>
      <c r="I234" s="378"/>
      <c r="J234" s="436"/>
      <c r="K234" s="544"/>
      <c r="L234" s="545"/>
      <c r="M234" s="382"/>
      <c r="N234" s="9" t="s">
        <v>174</v>
      </c>
      <c r="O234" s="855">
        <v>360</v>
      </c>
      <c r="P234" s="1">
        <v>211</v>
      </c>
      <c r="Q234" s="859"/>
      <c r="R234" s="918"/>
    </row>
    <row r="235" spans="1:21" s="205" customFormat="1" ht="15.6" customHeight="1" x14ac:dyDescent="0.2">
      <c r="A235" s="886"/>
      <c r="B235" s="216"/>
      <c r="C235" s="219"/>
      <c r="D235" s="27" t="s">
        <v>17</v>
      </c>
      <c r="E235" s="27"/>
      <c r="F235" s="1561" t="s">
        <v>522</v>
      </c>
      <c r="G235" s="139" t="s">
        <v>269</v>
      </c>
      <c r="H235" s="1812"/>
      <c r="I235" s="379" t="s">
        <v>11</v>
      </c>
      <c r="J235" s="437">
        <f>20.5+3.6+15.8</f>
        <v>39.900000000000006</v>
      </c>
      <c r="K235" s="724">
        <v>4.5999999999999996</v>
      </c>
      <c r="L235" s="725">
        <v>20</v>
      </c>
      <c r="M235" s="726">
        <v>20</v>
      </c>
      <c r="N235" s="81" t="s">
        <v>70</v>
      </c>
      <c r="O235" s="38">
        <v>5</v>
      </c>
      <c r="P235" s="13">
        <v>2</v>
      </c>
      <c r="Q235" s="90">
        <v>6</v>
      </c>
      <c r="R235" s="126">
        <v>6</v>
      </c>
    </row>
    <row r="236" spans="1:21" s="205" customFormat="1" ht="14.25" customHeight="1" x14ac:dyDescent="0.2">
      <c r="A236" s="886"/>
      <c r="B236" s="216"/>
      <c r="C236" s="219"/>
      <c r="D236" s="27"/>
      <c r="E236" s="27"/>
      <c r="F236" s="1562"/>
      <c r="G236" s="139"/>
      <c r="H236" s="1812"/>
      <c r="I236" s="379"/>
      <c r="J236" s="437"/>
      <c r="K236" s="724"/>
      <c r="L236" s="725"/>
      <c r="M236" s="739"/>
      <c r="N236" s="1546" t="s">
        <v>502</v>
      </c>
      <c r="O236" s="413">
        <v>21</v>
      </c>
      <c r="P236" s="71">
        <v>3</v>
      </c>
      <c r="Q236" s="92">
        <v>10</v>
      </c>
      <c r="R236" s="215">
        <v>10</v>
      </c>
    </row>
    <row r="237" spans="1:21" s="205" customFormat="1" ht="15.6" customHeight="1" thickBot="1" x14ac:dyDescent="0.25">
      <c r="A237" s="886"/>
      <c r="B237" s="216"/>
      <c r="C237" s="219"/>
      <c r="D237" s="58"/>
      <c r="E237" s="33"/>
      <c r="F237" s="1556"/>
      <c r="G237" s="139"/>
      <c r="H237" s="1793"/>
      <c r="I237" s="73" t="s">
        <v>12</v>
      </c>
      <c r="J237" s="266">
        <f>SUM(J229:J235)</f>
        <v>90</v>
      </c>
      <c r="K237" s="36">
        <f>SUM(K229:K235)</f>
        <v>43.6</v>
      </c>
      <c r="L237" s="108">
        <f>SUM(L229:L235)</f>
        <v>2058.6999999999998</v>
      </c>
      <c r="M237" s="111">
        <f t="shared" ref="M237" si="9">SUM(M229:M235)</f>
        <v>20</v>
      </c>
      <c r="N237" s="1560"/>
      <c r="O237" s="413"/>
      <c r="P237" s="71"/>
      <c r="Q237" s="92"/>
      <c r="R237" s="215"/>
    </row>
    <row r="238" spans="1:21" s="205" customFormat="1" ht="30" customHeight="1" x14ac:dyDescent="0.2">
      <c r="A238" s="945" t="s">
        <v>13</v>
      </c>
      <c r="B238" s="220" t="s">
        <v>13</v>
      </c>
      <c r="C238" s="221" t="s">
        <v>13</v>
      </c>
      <c r="D238" s="50"/>
      <c r="E238" s="50"/>
      <c r="F238" s="901" t="s">
        <v>212</v>
      </c>
      <c r="G238" s="222" t="s">
        <v>2</v>
      </c>
      <c r="H238" s="61"/>
      <c r="I238" s="5"/>
      <c r="J238" s="438"/>
      <c r="K238" s="110"/>
      <c r="L238" s="904"/>
      <c r="M238" s="471"/>
      <c r="N238" s="364"/>
      <c r="O238" s="465"/>
      <c r="P238" s="405"/>
      <c r="Q238" s="445"/>
      <c r="R238" s="466"/>
    </row>
    <row r="239" spans="1:21" s="205" customFormat="1" ht="37.5" customHeight="1" x14ac:dyDescent="0.2">
      <c r="A239" s="886"/>
      <c r="B239" s="216"/>
      <c r="C239" s="219"/>
      <c r="D239" s="1809" t="s">
        <v>10</v>
      </c>
      <c r="E239" s="1809"/>
      <c r="F239" s="1561" t="s">
        <v>109</v>
      </c>
      <c r="G239" s="879" t="s">
        <v>269</v>
      </c>
      <c r="H239" s="1812" t="s">
        <v>278</v>
      </c>
      <c r="I239" s="1769" t="s">
        <v>11</v>
      </c>
      <c r="J239" s="1817">
        <v>5</v>
      </c>
      <c r="K239" s="1819"/>
      <c r="L239" s="1675">
        <v>55</v>
      </c>
      <c r="M239" s="1821">
        <v>35</v>
      </c>
      <c r="N239" s="9" t="s">
        <v>74</v>
      </c>
      <c r="O239" s="433">
        <v>1</v>
      </c>
      <c r="P239" s="6"/>
      <c r="Q239" s="90">
        <v>11</v>
      </c>
      <c r="R239" s="365">
        <v>7</v>
      </c>
    </row>
    <row r="240" spans="1:21" s="205" customFormat="1" ht="30" customHeight="1" x14ac:dyDescent="0.2">
      <c r="A240" s="886"/>
      <c r="B240" s="216"/>
      <c r="C240" s="219"/>
      <c r="D240" s="1810"/>
      <c r="E240" s="1810"/>
      <c r="F240" s="1563"/>
      <c r="G240" s="879"/>
      <c r="H240" s="1812"/>
      <c r="I240" s="1620"/>
      <c r="J240" s="1818"/>
      <c r="K240" s="1820"/>
      <c r="L240" s="1646"/>
      <c r="M240" s="1822"/>
      <c r="N240" s="9" t="s">
        <v>141</v>
      </c>
      <c r="O240" s="550"/>
      <c r="P240" s="13"/>
      <c r="Q240" s="90">
        <v>55</v>
      </c>
      <c r="R240" s="365">
        <v>35</v>
      </c>
    </row>
    <row r="241" spans="1:19" s="205" customFormat="1" ht="26.25" customHeight="1" x14ac:dyDescent="0.2">
      <c r="A241" s="886"/>
      <c r="B241" s="216"/>
      <c r="C241" s="219"/>
      <c r="D241" s="824" t="s">
        <v>13</v>
      </c>
      <c r="E241" s="824"/>
      <c r="F241" s="1561" t="s">
        <v>286</v>
      </c>
      <c r="G241" s="879" t="s">
        <v>274</v>
      </c>
      <c r="H241" s="1812"/>
      <c r="I241" s="85" t="s">
        <v>11</v>
      </c>
      <c r="J241" s="437"/>
      <c r="K241" s="523">
        <v>100</v>
      </c>
      <c r="L241" s="948">
        <v>100</v>
      </c>
      <c r="M241" s="739">
        <v>102</v>
      </c>
      <c r="N241" s="9" t="s">
        <v>141</v>
      </c>
      <c r="O241" s="550"/>
      <c r="P241" s="13">
        <v>100</v>
      </c>
      <c r="Q241" s="90">
        <v>100</v>
      </c>
      <c r="R241" s="275">
        <v>102</v>
      </c>
    </row>
    <row r="242" spans="1:19" s="205" customFormat="1" ht="18.75" customHeight="1" x14ac:dyDescent="0.2">
      <c r="A242" s="886"/>
      <c r="B242" s="216"/>
      <c r="C242" s="219"/>
      <c r="D242" s="824"/>
      <c r="E242" s="824"/>
      <c r="F242" s="1563"/>
      <c r="G242" s="879"/>
      <c r="H242" s="1812"/>
      <c r="I242" s="223"/>
      <c r="J242" s="863"/>
      <c r="K242" s="482"/>
      <c r="L242" s="905"/>
      <c r="M242" s="727"/>
      <c r="N242" s="9" t="s">
        <v>70</v>
      </c>
      <c r="O242" s="792"/>
      <c r="P242" s="13">
        <v>53</v>
      </c>
      <c r="Q242" s="90">
        <v>53</v>
      </c>
      <c r="R242" s="275">
        <v>53</v>
      </c>
    </row>
    <row r="243" spans="1:19" s="205" customFormat="1" ht="16.899999999999999" customHeight="1" x14ac:dyDescent="0.2">
      <c r="A243" s="886"/>
      <c r="B243" s="216"/>
      <c r="C243" s="219"/>
      <c r="D243" s="1809" t="s">
        <v>15</v>
      </c>
      <c r="E243" s="1809"/>
      <c r="F243" s="1561" t="s">
        <v>108</v>
      </c>
      <c r="G243" s="1811" t="s">
        <v>329</v>
      </c>
      <c r="H243" s="1812" t="s">
        <v>158</v>
      </c>
      <c r="I243" s="6" t="s">
        <v>11</v>
      </c>
      <c r="J243" s="439">
        <v>158</v>
      </c>
      <c r="K243" s="105">
        <v>122.3</v>
      </c>
      <c r="L243" s="103"/>
      <c r="M243" s="472"/>
      <c r="N243" s="9" t="s">
        <v>70</v>
      </c>
      <c r="O243" s="413">
        <v>10</v>
      </c>
      <c r="P243" s="71">
        <v>10</v>
      </c>
      <c r="Q243" s="92"/>
      <c r="R243" s="215"/>
    </row>
    <row r="244" spans="1:19" s="205" customFormat="1" ht="20.25" customHeight="1" x14ac:dyDescent="0.2">
      <c r="A244" s="886"/>
      <c r="B244" s="216"/>
      <c r="C244" s="219"/>
      <c r="D244" s="1810"/>
      <c r="E244" s="1810"/>
      <c r="F244" s="1563"/>
      <c r="G244" s="1656"/>
      <c r="H244" s="1812"/>
      <c r="I244" s="223" t="s">
        <v>63</v>
      </c>
      <c r="J244" s="416">
        <v>7.4</v>
      </c>
      <c r="K244" s="482">
        <v>24.1</v>
      </c>
      <c r="L244" s="905"/>
      <c r="M244" s="473"/>
      <c r="N244" s="81" t="s">
        <v>141</v>
      </c>
      <c r="O244" s="433">
        <v>5</v>
      </c>
      <c r="P244" s="535"/>
      <c r="Q244" s="536"/>
      <c r="R244" s="365"/>
    </row>
    <row r="245" spans="1:19" s="205" customFormat="1" ht="18" customHeight="1" x14ac:dyDescent="0.2">
      <c r="A245" s="886"/>
      <c r="B245" s="216"/>
      <c r="C245" s="219"/>
      <c r="D245" s="825" t="s">
        <v>17</v>
      </c>
      <c r="E245" s="825"/>
      <c r="F245" s="1561" t="s">
        <v>175</v>
      </c>
      <c r="G245" s="224" t="s">
        <v>274</v>
      </c>
      <c r="H245" s="1812"/>
      <c r="I245" s="85" t="s">
        <v>11</v>
      </c>
      <c r="J245" s="1770"/>
      <c r="K245" s="523">
        <v>94</v>
      </c>
      <c r="L245" s="948">
        <v>10</v>
      </c>
      <c r="M245" s="1804"/>
      <c r="N245" s="81" t="s">
        <v>70</v>
      </c>
      <c r="O245" s="433"/>
      <c r="P245" s="13">
        <v>44</v>
      </c>
      <c r="Q245" s="90">
        <v>5</v>
      </c>
      <c r="R245" s="365"/>
    </row>
    <row r="246" spans="1:19" s="205" customFormat="1" ht="18" customHeight="1" x14ac:dyDescent="0.2">
      <c r="A246" s="886"/>
      <c r="B246" s="216"/>
      <c r="C246" s="219"/>
      <c r="D246" s="825"/>
      <c r="E246" s="825"/>
      <c r="F246" s="1562"/>
      <c r="G246" s="224"/>
      <c r="H246" s="1812"/>
      <c r="I246" s="85"/>
      <c r="J246" s="1803"/>
      <c r="K246" s="523"/>
      <c r="L246" s="948"/>
      <c r="M246" s="1805"/>
      <c r="N246" s="81" t="s">
        <v>141</v>
      </c>
      <c r="O246" s="433"/>
      <c r="P246" s="13">
        <v>47</v>
      </c>
      <c r="Q246" s="90">
        <v>5</v>
      </c>
      <c r="R246" s="365"/>
    </row>
    <row r="247" spans="1:19" s="205" customFormat="1" ht="12.75" customHeight="1" x14ac:dyDescent="0.2">
      <c r="A247" s="886"/>
      <c r="B247" s="216"/>
      <c r="C247" s="219"/>
      <c r="D247" s="825"/>
      <c r="E247" s="825"/>
      <c r="F247" s="1562"/>
      <c r="G247" s="224"/>
      <c r="H247" s="1812"/>
      <c r="I247" s="85"/>
      <c r="J247" s="1771"/>
      <c r="K247" s="523"/>
      <c r="L247" s="948"/>
      <c r="M247" s="1806"/>
      <c r="N247" s="1546" t="s">
        <v>287</v>
      </c>
      <c r="O247" s="312"/>
      <c r="P247" s="1807">
        <v>47</v>
      </c>
      <c r="Q247" s="1569">
        <v>5</v>
      </c>
      <c r="R247" s="1571"/>
    </row>
    <row r="248" spans="1:19" s="205" customFormat="1" ht="19.5" customHeight="1" thickBot="1" x14ac:dyDescent="0.25">
      <c r="A248" s="887"/>
      <c r="B248" s="225"/>
      <c r="C248" s="226"/>
      <c r="D248" s="826"/>
      <c r="E248" s="826"/>
      <c r="F248" s="1556"/>
      <c r="G248" s="227"/>
      <c r="H248" s="1793"/>
      <c r="I248" s="7" t="s">
        <v>12</v>
      </c>
      <c r="J248" s="440">
        <f>SUM(J239:J245)</f>
        <v>170.4</v>
      </c>
      <c r="K248" s="56">
        <f>SUM(K239:K246)</f>
        <v>340.4</v>
      </c>
      <c r="L248" s="112">
        <f>SUM(L239:L245)</f>
        <v>165</v>
      </c>
      <c r="M248" s="474">
        <f>SUM(M239:M245)</f>
        <v>137</v>
      </c>
      <c r="N248" s="1560"/>
      <c r="O248" s="912"/>
      <c r="P248" s="1808"/>
      <c r="Q248" s="1570"/>
      <c r="R248" s="1572"/>
    </row>
    <row r="249" spans="1:19" ht="15.75" customHeight="1" thickBot="1" x14ac:dyDescent="0.25">
      <c r="A249" s="194" t="s">
        <v>13</v>
      </c>
      <c r="B249" s="189" t="s">
        <v>13</v>
      </c>
      <c r="C249" s="1813" t="s">
        <v>16</v>
      </c>
      <c r="D249" s="1814"/>
      <c r="E249" s="1814"/>
      <c r="F249" s="1814"/>
      <c r="G249" s="1814"/>
      <c r="H249" s="1814"/>
      <c r="I249" s="1814"/>
      <c r="J249" s="441">
        <f>J237+J248</f>
        <v>260.39999999999998</v>
      </c>
      <c r="K249" s="228">
        <f>K237+K248</f>
        <v>384</v>
      </c>
      <c r="L249" s="229">
        <f>L237+L248</f>
        <v>2223.6999999999998</v>
      </c>
      <c r="M249" s="475">
        <f>M237+M248</f>
        <v>157</v>
      </c>
      <c r="N249" s="230"/>
      <c r="O249" s="231"/>
      <c r="P249" s="231"/>
      <c r="Q249" s="231"/>
      <c r="R249" s="922"/>
    </row>
    <row r="250" spans="1:19" ht="15.75" customHeight="1" thickBot="1" x14ac:dyDescent="0.25">
      <c r="A250" s="194" t="s">
        <v>13</v>
      </c>
      <c r="B250" s="232" t="s">
        <v>15</v>
      </c>
      <c r="C250" s="1573" t="s">
        <v>25</v>
      </c>
      <c r="D250" s="1574"/>
      <c r="E250" s="1574"/>
      <c r="F250" s="1574"/>
      <c r="G250" s="1574"/>
      <c r="H250" s="1574"/>
      <c r="I250" s="1574"/>
      <c r="J250" s="1574"/>
      <c r="K250" s="1574"/>
      <c r="L250" s="1574"/>
      <c r="M250" s="1574"/>
      <c r="N250" s="1574"/>
      <c r="O250" s="1574"/>
      <c r="P250" s="1574"/>
      <c r="Q250" s="1574"/>
      <c r="R250" s="1815"/>
    </row>
    <row r="251" spans="1:19" ht="15.6" customHeight="1" x14ac:dyDescent="0.2">
      <c r="A251" s="184" t="s">
        <v>13</v>
      </c>
      <c r="B251" s="185" t="s">
        <v>15</v>
      </c>
      <c r="C251" s="162" t="s">
        <v>10</v>
      </c>
      <c r="D251" s="21"/>
      <c r="E251" s="21"/>
      <c r="F251" s="1575" t="s">
        <v>26</v>
      </c>
      <c r="G251" s="282"/>
      <c r="H251" s="1816"/>
      <c r="I251" s="3"/>
      <c r="J251" s="446"/>
      <c r="K251" s="193"/>
      <c r="L251" s="192"/>
      <c r="M251" s="383"/>
      <c r="N251" s="327"/>
      <c r="O251" s="872"/>
      <c r="P251" s="407"/>
      <c r="Q251" s="450"/>
      <c r="R251" s="362"/>
    </row>
    <row r="252" spans="1:19" ht="13.15" customHeight="1" x14ac:dyDescent="0.2">
      <c r="A252" s="172"/>
      <c r="B252" s="164"/>
      <c r="C252" s="171"/>
      <c r="D252" s="22"/>
      <c r="E252" s="22"/>
      <c r="F252" s="1576"/>
      <c r="G252" s="958"/>
      <c r="H252" s="1782"/>
      <c r="I252" s="52"/>
      <c r="J252" s="447"/>
      <c r="K252" s="18"/>
      <c r="L252" s="444"/>
      <c r="M252" s="384"/>
      <c r="N252" s="328"/>
      <c r="O252" s="865"/>
      <c r="P252" s="408"/>
      <c r="Q252" s="451"/>
      <c r="R252" s="360"/>
    </row>
    <row r="253" spans="1:19" ht="29.45" customHeight="1" x14ac:dyDescent="0.2">
      <c r="A253" s="172"/>
      <c r="B253" s="164"/>
      <c r="C253" s="233"/>
      <c r="D253" s="1801" t="s">
        <v>10</v>
      </c>
      <c r="E253" s="1801"/>
      <c r="F253" s="1561" t="s">
        <v>339</v>
      </c>
      <c r="G253" s="940" t="s">
        <v>269</v>
      </c>
      <c r="H253" s="1768" t="s">
        <v>156</v>
      </c>
      <c r="I253" s="84" t="s">
        <v>11</v>
      </c>
      <c r="J253" s="895">
        <f>500+2.9+571.8+15.2-12.8</f>
        <v>1077.0999999999999</v>
      </c>
      <c r="K253" s="137">
        <v>710</v>
      </c>
      <c r="L253" s="951">
        <v>760</v>
      </c>
      <c r="M253" s="370">
        <v>760</v>
      </c>
      <c r="N253" s="81" t="s">
        <v>320</v>
      </c>
      <c r="O253" s="442">
        <v>27</v>
      </c>
      <c r="P253" s="13">
        <v>26</v>
      </c>
      <c r="Q253" s="90">
        <v>27</v>
      </c>
      <c r="R253" s="275">
        <v>27</v>
      </c>
      <c r="S253" s="292"/>
    </row>
    <row r="254" spans="1:19" ht="26.45" customHeight="1" x14ac:dyDescent="0.2">
      <c r="A254" s="172"/>
      <c r="B254" s="164"/>
      <c r="C254" s="233"/>
      <c r="D254" s="1802"/>
      <c r="E254" s="1802"/>
      <c r="F254" s="1562"/>
      <c r="G254" s="679"/>
      <c r="H254" s="1620"/>
      <c r="I254" s="84" t="s">
        <v>63</v>
      </c>
      <c r="J254" s="890">
        <v>7.2</v>
      </c>
      <c r="K254" s="137">
        <v>432.7</v>
      </c>
      <c r="L254" s="859"/>
      <c r="M254" s="897"/>
      <c r="N254" s="75" t="s">
        <v>265</v>
      </c>
      <c r="O254" s="413">
        <v>47</v>
      </c>
      <c r="P254" s="71">
        <v>41</v>
      </c>
      <c r="Q254" s="92"/>
      <c r="R254" s="215"/>
    </row>
    <row r="255" spans="1:19" ht="94.5" customHeight="1" x14ac:dyDescent="0.2">
      <c r="A255" s="172"/>
      <c r="B255" s="164"/>
      <c r="C255" s="233"/>
      <c r="D255" s="1802"/>
      <c r="E255" s="1802"/>
      <c r="F255" s="1562"/>
      <c r="G255" s="679"/>
      <c r="H255" s="856" t="s">
        <v>264</v>
      </c>
      <c r="I255" s="84" t="s">
        <v>11</v>
      </c>
      <c r="J255" s="890">
        <f>20.5+12.8</f>
        <v>33.299999999999997</v>
      </c>
      <c r="K255" s="1"/>
      <c r="L255" s="859"/>
      <c r="M255" s="897"/>
      <c r="N255" s="75"/>
      <c r="O255" s="413"/>
      <c r="P255" s="71"/>
      <c r="Q255" s="92"/>
      <c r="R255" s="215"/>
    </row>
    <row r="256" spans="1:19" ht="45" customHeight="1" x14ac:dyDescent="0.2">
      <c r="A256" s="172"/>
      <c r="B256" s="164"/>
      <c r="C256" s="233"/>
      <c r="D256" s="1802"/>
      <c r="E256" s="1802"/>
      <c r="F256" s="1562"/>
      <c r="G256" s="679"/>
      <c r="H256" s="38" t="s">
        <v>184</v>
      </c>
      <c r="I256" s="6" t="s">
        <v>11</v>
      </c>
      <c r="J256" s="416">
        <v>72</v>
      </c>
      <c r="K256" s="13"/>
      <c r="L256" s="90"/>
      <c r="M256" s="278"/>
      <c r="N256" s="938" t="s">
        <v>503</v>
      </c>
      <c r="O256" s="442">
        <v>1</v>
      </c>
      <c r="P256" s="13"/>
      <c r="Q256" s="90"/>
      <c r="R256" s="275"/>
    </row>
    <row r="257" spans="1:18" s="234" customFormat="1" ht="30" customHeight="1" x14ac:dyDescent="0.2">
      <c r="A257" s="172"/>
      <c r="B257" s="164"/>
      <c r="C257" s="233"/>
      <c r="D257" s="883" t="s">
        <v>13</v>
      </c>
      <c r="E257" s="883"/>
      <c r="F257" s="857" t="s">
        <v>57</v>
      </c>
      <c r="G257" s="940" t="s">
        <v>269</v>
      </c>
      <c r="H257" s="1794" t="s">
        <v>156</v>
      </c>
      <c r="I257" s="6" t="s">
        <v>11</v>
      </c>
      <c r="J257" s="416">
        <v>36.700000000000003</v>
      </c>
      <c r="K257" s="105">
        <v>34.5</v>
      </c>
      <c r="L257" s="103">
        <v>34.5</v>
      </c>
      <c r="M257" s="278">
        <v>41.4</v>
      </c>
      <c r="N257" s="869" t="s">
        <v>70</v>
      </c>
      <c r="O257" s="911">
        <v>93</v>
      </c>
      <c r="P257" s="1">
        <v>93</v>
      </c>
      <c r="Q257" s="859">
        <v>93</v>
      </c>
      <c r="R257" s="861">
        <v>94</v>
      </c>
    </row>
    <row r="258" spans="1:18" ht="16.5" customHeight="1" x14ac:dyDescent="0.2">
      <c r="A258" s="172"/>
      <c r="B258" s="164"/>
      <c r="C258" s="233"/>
      <c r="D258" s="683" t="s">
        <v>15</v>
      </c>
      <c r="E258" s="883"/>
      <c r="F258" s="1561" t="s">
        <v>30</v>
      </c>
      <c r="G258" s="940" t="s">
        <v>269</v>
      </c>
      <c r="H258" s="1739"/>
      <c r="I258" s="6" t="s">
        <v>11</v>
      </c>
      <c r="J258" s="416">
        <f>90.2+7.3+20+3.2</f>
        <v>120.7</v>
      </c>
      <c r="K258" s="8">
        <v>98</v>
      </c>
      <c r="L258" s="103">
        <v>107.8</v>
      </c>
      <c r="M258" s="278">
        <v>107.8</v>
      </c>
      <c r="N258" s="1546" t="s">
        <v>504</v>
      </c>
      <c r="O258" s="911">
        <v>32</v>
      </c>
      <c r="P258" s="1">
        <v>31</v>
      </c>
      <c r="Q258" s="859">
        <v>30</v>
      </c>
      <c r="R258" s="861">
        <v>30</v>
      </c>
    </row>
    <row r="259" spans="1:18" ht="16.5" customHeight="1" x14ac:dyDescent="0.2">
      <c r="A259" s="172"/>
      <c r="B259" s="164"/>
      <c r="C259" s="233"/>
      <c r="D259" s="685"/>
      <c r="E259" s="893"/>
      <c r="F259" s="1563"/>
      <c r="G259" s="940"/>
      <c r="H259" s="896"/>
      <c r="I259" s="223" t="s">
        <v>63</v>
      </c>
      <c r="J259" s="900"/>
      <c r="K259" s="482">
        <v>15.8</v>
      </c>
      <c r="L259" s="905"/>
      <c r="M259" s="898"/>
      <c r="N259" s="1564"/>
      <c r="O259" s="508"/>
      <c r="P259" s="2"/>
      <c r="Q259" s="91"/>
      <c r="R259" s="276"/>
    </row>
    <row r="260" spans="1:18" ht="29.25" customHeight="1" x14ac:dyDescent="0.2">
      <c r="A260" s="172"/>
      <c r="B260" s="164"/>
      <c r="C260" s="233"/>
      <c r="D260" s="884" t="s">
        <v>17</v>
      </c>
      <c r="E260" s="884"/>
      <c r="F260" s="963" t="s">
        <v>32</v>
      </c>
      <c r="G260" s="940" t="s">
        <v>269</v>
      </c>
      <c r="H260" s="868"/>
      <c r="I260" s="223" t="s">
        <v>11</v>
      </c>
      <c r="J260" s="416">
        <f>42-4.7-2.3</f>
        <v>35</v>
      </c>
      <c r="K260" s="482">
        <v>56</v>
      </c>
      <c r="L260" s="905">
        <v>56</v>
      </c>
      <c r="M260" s="278">
        <v>56</v>
      </c>
      <c r="N260" s="870" t="s">
        <v>321</v>
      </c>
      <c r="O260" s="508">
        <v>3</v>
      </c>
      <c r="P260" s="2">
        <v>4</v>
      </c>
      <c r="Q260" s="91">
        <v>4</v>
      </c>
      <c r="R260" s="276">
        <v>4</v>
      </c>
    </row>
    <row r="261" spans="1:18" ht="18" customHeight="1" x14ac:dyDescent="0.2">
      <c r="A261" s="172"/>
      <c r="B261" s="164"/>
      <c r="C261" s="233"/>
      <c r="D261" s="464" t="s">
        <v>18</v>
      </c>
      <c r="E261" s="464"/>
      <c r="F261" s="41" t="s">
        <v>29</v>
      </c>
      <c r="G261" s="940" t="s">
        <v>269</v>
      </c>
      <c r="H261" s="868"/>
      <c r="I261" s="223" t="s">
        <v>11</v>
      </c>
      <c r="J261" s="416">
        <f>17.5-2.2</f>
        <v>15.3</v>
      </c>
      <c r="K261" s="482">
        <v>17.5</v>
      </c>
      <c r="L261" s="905">
        <v>17.5</v>
      </c>
      <c r="M261" s="278">
        <v>17.5</v>
      </c>
      <c r="N261" s="938" t="s">
        <v>33</v>
      </c>
      <c r="O261" s="681">
        <v>38</v>
      </c>
      <c r="P261" s="13">
        <v>38</v>
      </c>
      <c r="Q261" s="90">
        <v>38</v>
      </c>
      <c r="R261" s="682">
        <v>38</v>
      </c>
    </row>
    <row r="262" spans="1:18" ht="18" customHeight="1" x14ac:dyDescent="0.2">
      <c r="A262" s="172"/>
      <c r="B262" s="164"/>
      <c r="C262" s="171"/>
      <c r="D262" s="683" t="s">
        <v>61</v>
      </c>
      <c r="E262" s="683"/>
      <c r="F262" s="961" t="s">
        <v>330</v>
      </c>
      <c r="G262" s="940" t="s">
        <v>269</v>
      </c>
      <c r="H262" s="868"/>
      <c r="I262" s="223" t="s">
        <v>11</v>
      </c>
      <c r="J262" s="416">
        <v>2.2000000000000002</v>
      </c>
      <c r="K262" s="482">
        <v>3</v>
      </c>
      <c r="L262" s="905"/>
      <c r="M262" s="473"/>
      <c r="N262" s="869" t="s">
        <v>331</v>
      </c>
      <c r="O262" s="681">
        <v>69</v>
      </c>
      <c r="P262" s="13">
        <v>70</v>
      </c>
      <c r="Q262" s="90"/>
      <c r="R262" s="682"/>
    </row>
    <row r="263" spans="1:18" ht="18" customHeight="1" x14ac:dyDescent="0.2">
      <c r="A263" s="172"/>
      <c r="B263" s="164"/>
      <c r="C263" s="171"/>
      <c r="D263" s="683" t="s">
        <v>62</v>
      </c>
      <c r="E263" s="683"/>
      <c r="F263" s="857" t="s">
        <v>31</v>
      </c>
      <c r="G263" s="940" t="s">
        <v>269</v>
      </c>
      <c r="H263" s="868"/>
      <c r="I263" s="223" t="s">
        <v>11</v>
      </c>
      <c r="J263" s="416">
        <v>282.5</v>
      </c>
      <c r="K263" s="684">
        <v>312.7</v>
      </c>
      <c r="L263" s="102">
        <v>312.7</v>
      </c>
      <c r="M263" s="473">
        <v>312.7</v>
      </c>
      <c r="N263" s="1795" t="s">
        <v>97</v>
      </c>
      <c r="O263" s="413">
        <v>101</v>
      </c>
      <c r="P263" s="71">
        <v>103</v>
      </c>
      <c r="Q263" s="92">
        <v>104</v>
      </c>
      <c r="R263" s="215">
        <v>104</v>
      </c>
    </row>
    <row r="264" spans="1:18" ht="14.45" customHeight="1" x14ac:dyDescent="0.2">
      <c r="A264" s="172"/>
      <c r="B264" s="164"/>
      <c r="C264" s="171"/>
      <c r="D264" s="685"/>
      <c r="E264" s="685"/>
      <c r="F264" s="880"/>
      <c r="G264" s="679"/>
      <c r="H264" s="868"/>
      <c r="I264" s="53" t="s">
        <v>14</v>
      </c>
      <c r="J264" s="891">
        <v>2.6</v>
      </c>
      <c r="K264" s="686">
        <v>2.9</v>
      </c>
      <c r="L264" s="102">
        <v>2.9</v>
      </c>
      <c r="M264" s="687">
        <v>2.9</v>
      </c>
      <c r="N264" s="1796"/>
      <c r="O264" s="413"/>
      <c r="P264" s="71"/>
      <c r="Q264" s="92"/>
      <c r="R264" s="215"/>
    </row>
    <row r="265" spans="1:18" ht="27" customHeight="1" x14ac:dyDescent="0.2">
      <c r="A265" s="172"/>
      <c r="B265" s="164"/>
      <c r="C265" s="233"/>
      <c r="D265" s="884" t="s">
        <v>110</v>
      </c>
      <c r="E265" s="884"/>
      <c r="F265" s="962" t="s">
        <v>36</v>
      </c>
      <c r="G265" s="940" t="s">
        <v>269</v>
      </c>
      <c r="H265" s="868"/>
      <c r="I265" s="293" t="s">
        <v>11</v>
      </c>
      <c r="J265" s="416">
        <f>207-35-5.4-3.2</f>
        <v>163.4</v>
      </c>
      <c r="K265" s="684">
        <v>205</v>
      </c>
      <c r="L265" s="102">
        <v>205</v>
      </c>
      <c r="M265" s="473">
        <v>205</v>
      </c>
      <c r="N265" s="81" t="s">
        <v>70</v>
      </c>
      <c r="O265" s="442">
        <v>8</v>
      </c>
      <c r="P265" s="13">
        <v>10</v>
      </c>
      <c r="Q265" s="90">
        <v>10</v>
      </c>
      <c r="R265" s="275">
        <v>10</v>
      </c>
    </row>
    <row r="266" spans="1:18" ht="27" customHeight="1" x14ac:dyDescent="0.2">
      <c r="A266" s="172"/>
      <c r="B266" s="164"/>
      <c r="C266" s="233"/>
      <c r="D266" s="464" t="s">
        <v>111</v>
      </c>
      <c r="E266" s="464"/>
      <c r="F266" s="76" t="s">
        <v>153</v>
      </c>
      <c r="G266" s="520" t="s">
        <v>269</v>
      </c>
      <c r="H266" s="868"/>
      <c r="I266" s="293" t="s">
        <v>11</v>
      </c>
      <c r="J266" s="416">
        <f>300-50-1.9</f>
        <v>248.1</v>
      </c>
      <c r="K266" s="684">
        <v>300</v>
      </c>
      <c r="L266" s="102">
        <v>300</v>
      </c>
      <c r="M266" s="473">
        <v>300</v>
      </c>
      <c r="N266" s="81" t="s">
        <v>70</v>
      </c>
      <c r="O266" s="688">
        <f>10-1</f>
        <v>9</v>
      </c>
      <c r="P266" s="2">
        <v>9</v>
      </c>
      <c r="Q266" s="91">
        <v>9</v>
      </c>
      <c r="R266" s="689">
        <v>9</v>
      </c>
    </row>
    <row r="267" spans="1:18" ht="18" customHeight="1" x14ac:dyDescent="0.2">
      <c r="A267" s="172"/>
      <c r="B267" s="164"/>
      <c r="C267" s="233"/>
      <c r="D267" s="464" t="s">
        <v>4</v>
      </c>
      <c r="E267" s="464"/>
      <c r="F267" s="880" t="s">
        <v>51</v>
      </c>
      <c r="G267" s="690" t="s">
        <v>269</v>
      </c>
      <c r="H267" s="868"/>
      <c r="I267" s="293" t="s">
        <v>11</v>
      </c>
      <c r="J267" s="416">
        <f>200+107.7</f>
        <v>307.7</v>
      </c>
      <c r="K267" s="684">
        <v>200</v>
      </c>
      <c r="L267" s="102">
        <v>200</v>
      </c>
      <c r="M267" s="473">
        <v>200</v>
      </c>
      <c r="N267" s="81" t="s">
        <v>70</v>
      </c>
      <c r="O267" s="508">
        <v>11</v>
      </c>
      <c r="P267" s="2">
        <v>10</v>
      </c>
      <c r="Q267" s="91">
        <v>10</v>
      </c>
      <c r="R267" s="276">
        <v>10</v>
      </c>
    </row>
    <row r="268" spans="1:18" ht="27.75" customHeight="1" x14ac:dyDescent="0.2">
      <c r="A268" s="172"/>
      <c r="B268" s="164"/>
      <c r="C268" s="171"/>
      <c r="D268" s="691" t="s">
        <v>112</v>
      </c>
      <c r="E268" s="691"/>
      <c r="F268" s="1561" t="s">
        <v>340</v>
      </c>
      <c r="G268" s="1797" t="s">
        <v>269</v>
      </c>
      <c r="H268" s="868"/>
      <c r="I268" s="84" t="s">
        <v>11</v>
      </c>
      <c r="J268" s="890">
        <f>53-9.9</f>
        <v>43.1</v>
      </c>
      <c r="K268" s="692">
        <v>184</v>
      </c>
      <c r="L268" s="104">
        <v>150</v>
      </c>
      <c r="M268" s="101">
        <v>150</v>
      </c>
      <c r="N268" s="909" t="s">
        <v>99</v>
      </c>
      <c r="O268" s="508">
        <v>2</v>
      </c>
      <c r="P268" s="71">
        <v>2</v>
      </c>
      <c r="Q268" s="693"/>
      <c r="R268" s="276"/>
    </row>
    <row r="269" spans="1:18" ht="27.75" customHeight="1" x14ac:dyDescent="0.2">
      <c r="A269" s="172"/>
      <c r="B269" s="164"/>
      <c r="C269" s="171"/>
      <c r="D269" s="691"/>
      <c r="E269" s="691"/>
      <c r="F269" s="1563"/>
      <c r="G269" s="1798"/>
      <c r="H269" s="868"/>
      <c r="I269" s="84" t="s">
        <v>63</v>
      </c>
      <c r="J269" s="416">
        <v>100.8</v>
      </c>
      <c r="K269" s="137">
        <v>9.9</v>
      </c>
      <c r="L269" s="859"/>
      <c r="M269" s="473"/>
      <c r="N269" s="938" t="s">
        <v>102</v>
      </c>
      <c r="O269" s="911">
        <v>3</v>
      </c>
      <c r="P269" s="1">
        <v>2</v>
      </c>
      <c r="Q269" s="859">
        <v>2</v>
      </c>
      <c r="R269" s="861">
        <v>2</v>
      </c>
    </row>
    <row r="270" spans="1:18" ht="28.5" customHeight="1" x14ac:dyDescent="0.2">
      <c r="A270" s="172"/>
      <c r="B270" s="164"/>
      <c r="C270" s="171"/>
      <c r="D270" s="680" t="s">
        <v>113</v>
      </c>
      <c r="E270" s="680"/>
      <c r="F270" s="41" t="s">
        <v>85</v>
      </c>
      <c r="G270" s="694" t="s">
        <v>269</v>
      </c>
      <c r="H270" s="868"/>
      <c r="I270" s="6" t="s">
        <v>11</v>
      </c>
      <c r="J270" s="416">
        <f>80-40-11</f>
        <v>29</v>
      </c>
      <c r="K270" s="684">
        <v>40</v>
      </c>
      <c r="L270" s="102">
        <v>40</v>
      </c>
      <c r="M270" s="473">
        <v>40</v>
      </c>
      <c r="N270" s="869" t="s">
        <v>70</v>
      </c>
      <c r="O270" s="911">
        <v>33</v>
      </c>
      <c r="P270" s="1">
        <v>33</v>
      </c>
      <c r="Q270" s="859">
        <v>33</v>
      </c>
      <c r="R270" s="861">
        <v>33</v>
      </c>
    </row>
    <row r="271" spans="1:18" ht="18" customHeight="1" x14ac:dyDescent="0.2">
      <c r="A271" s="172"/>
      <c r="B271" s="164"/>
      <c r="C271" s="171"/>
      <c r="D271" s="680" t="s">
        <v>114</v>
      </c>
      <c r="E271" s="683"/>
      <c r="F271" s="961" t="s">
        <v>341</v>
      </c>
      <c r="G271" s="695" t="s">
        <v>269</v>
      </c>
      <c r="H271" s="868"/>
      <c r="I271" s="84" t="s">
        <v>11</v>
      </c>
      <c r="J271" s="890">
        <f>20-3.5</f>
        <v>16.5</v>
      </c>
      <c r="K271" s="692">
        <v>75</v>
      </c>
      <c r="L271" s="102">
        <v>75</v>
      </c>
      <c r="M271" s="101">
        <v>75</v>
      </c>
      <c r="N271" s="81" t="s">
        <v>70</v>
      </c>
      <c r="O271" s="442">
        <v>1</v>
      </c>
      <c r="P271" s="13">
        <v>3</v>
      </c>
      <c r="Q271" s="90">
        <v>3</v>
      </c>
      <c r="R271" s="275">
        <v>3</v>
      </c>
    </row>
    <row r="272" spans="1:18" ht="18" customHeight="1" x14ac:dyDescent="0.2">
      <c r="A272" s="172"/>
      <c r="B272" s="164"/>
      <c r="C272" s="171"/>
      <c r="D272" s="35" t="s">
        <v>115</v>
      </c>
      <c r="E272" s="29"/>
      <c r="F272" s="385" t="s">
        <v>204</v>
      </c>
      <c r="G272" s="235"/>
      <c r="H272" s="868"/>
      <c r="I272" s="84" t="s">
        <v>63</v>
      </c>
      <c r="J272" s="890">
        <v>0.7</v>
      </c>
      <c r="K272" s="1"/>
      <c r="L272" s="859"/>
      <c r="M272" s="897"/>
      <c r="N272" s="81" t="s">
        <v>205</v>
      </c>
      <c r="O272" s="442">
        <v>1</v>
      </c>
      <c r="P272" s="13"/>
      <c r="Q272" s="90"/>
      <c r="R272" s="275"/>
    </row>
    <row r="273" spans="1:19" ht="18" customHeight="1" x14ac:dyDescent="0.2">
      <c r="A273" s="172"/>
      <c r="B273" s="164"/>
      <c r="C273" s="171"/>
      <c r="D273" s="29" t="s">
        <v>116</v>
      </c>
      <c r="E273" s="773"/>
      <c r="F273" s="385" t="s">
        <v>241</v>
      </c>
      <c r="G273" s="235"/>
      <c r="H273" s="868"/>
      <c r="I273" s="84" t="s">
        <v>11</v>
      </c>
      <c r="J273" s="890">
        <v>14.4</v>
      </c>
      <c r="K273" s="137"/>
      <c r="L273" s="951"/>
      <c r="M273" s="897"/>
      <c r="N273" s="81" t="s">
        <v>242</v>
      </c>
      <c r="O273" s="442">
        <v>1</v>
      </c>
      <c r="P273" s="13"/>
      <c r="Q273" s="90"/>
      <c r="R273" s="275"/>
    </row>
    <row r="274" spans="1:19" ht="18" customHeight="1" x14ac:dyDescent="0.2">
      <c r="A274" s="172"/>
      <c r="B274" s="164"/>
      <c r="C274" s="171"/>
      <c r="D274" s="884" t="s">
        <v>117</v>
      </c>
      <c r="E274" s="815"/>
      <c r="F274" s="962" t="s">
        <v>335</v>
      </c>
      <c r="G274" s="881" t="s">
        <v>274</v>
      </c>
      <c r="H274" s="1769" t="s">
        <v>184</v>
      </c>
      <c r="I274" s="84" t="s">
        <v>11</v>
      </c>
      <c r="J274" s="890"/>
      <c r="K274" s="137">
        <v>16.399999999999999</v>
      </c>
      <c r="L274" s="951">
        <v>16.399999999999999</v>
      </c>
      <c r="M274" s="101">
        <v>16.399999999999999</v>
      </c>
      <c r="N274" s="75" t="s">
        <v>70</v>
      </c>
      <c r="O274" s="413"/>
      <c r="P274" s="71">
        <v>90</v>
      </c>
      <c r="Q274" s="92">
        <v>90</v>
      </c>
      <c r="R274" s="215">
        <v>90</v>
      </c>
    </row>
    <row r="275" spans="1:19" ht="16.899999999999999" customHeight="1" thickBot="1" x14ac:dyDescent="0.25">
      <c r="A275" s="188"/>
      <c r="B275" s="189"/>
      <c r="C275" s="190"/>
      <c r="D275" s="772"/>
      <c r="E275" s="772"/>
      <c r="F275" s="315"/>
      <c r="G275" s="959"/>
      <c r="H275" s="1785"/>
      <c r="I275" s="7" t="s">
        <v>12</v>
      </c>
      <c r="J275" s="266">
        <f>SUM(J253:J273)</f>
        <v>2608.2999999999997</v>
      </c>
      <c r="K275" s="36">
        <f>SUM(K253:K274)</f>
        <v>2713.4000000000005</v>
      </c>
      <c r="L275" s="108">
        <f>SUM(L253:L274)</f>
        <v>2277.8000000000002</v>
      </c>
      <c r="M275" s="111">
        <f>SUM(M253:M274)</f>
        <v>2284.7000000000003</v>
      </c>
      <c r="N275" s="82"/>
      <c r="O275" s="866"/>
      <c r="P275" s="12"/>
      <c r="Q275" s="860"/>
      <c r="R275" s="367"/>
    </row>
    <row r="276" spans="1:19" s="205" customFormat="1" ht="87" customHeight="1" x14ac:dyDescent="0.2">
      <c r="A276" s="1786" t="s">
        <v>13</v>
      </c>
      <c r="B276" s="1788" t="s">
        <v>15</v>
      </c>
      <c r="C276" s="219" t="s">
        <v>13</v>
      </c>
      <c r="D276" s="50"/>
      <c r="E276" s="40"/>
      <c r="F276" s="1555" t="s">
        <v>140</v>
      </c>
      <c r="G276" s="1790" t="s">
        <v>269</v>
      </c>
      <c r="H276" s="1792" t="s">
        <v>278</v>
      </c>
      <c r="I276" s="55" t="s">
        <v>11</v>
      </c>
      <c r="J276" s="415">
        <v>31.3</v>
      </c>
      <c r="K276" s="728">
        <v>33</v>
      </c>
      <c r="L276" s="729">
        <v>33</v>
      </c>
      <c r="M276" s="730">
        <v>33</v>
      </c>
      <c r="N276" s="1799" t="s">
        <v>124</v>
      </c>
      <c r="O276" s="443">
        <v>300</v>
      </c>
      <c r="P276" s="11">
        <v>300</v>
      </c>
      <c r="Q276" s="965">
        <v>300</v>
      </c>
      <c r="R276" s="368">
        <v>300</v>
      </c>
    </row>
    <row r="277" spans="1:19" s="205" customFormat="1" ht="19.5" customHeight="1" thickBot="1" x14ac:dyDescent="0.25">
      <c r="A277" s="1787"/>
      <c r="B277" s="1789"/>
      <c r="C277" s="236"/>
      <c r="D277" s="33"/>
      <c r="E277" s="33"/>
      <c r="F277" s="1556"/>
      <c r="G277" s="1791"/>
      <c r="H277" s="1793"/>
      <c r="I277" s="7" t="s">
        <v>12</v>
      </c>
      <c r="J277" s="440">
        <f>SUM(J276:J276)</f>
        <v>31.3</v>
      </c>
      <c r="K277" s="56">
        <f t="shared" ref="K277:M277" si="10">SUM(K276:K276)</f>
        <v>33</v>
      </c>
      <c r="L277" s="112">
        <f t="shared" si="10"/>
        <v>33</v>
      </c>
      <c r="M277" s="474">
        <f t="shared" si="10"/>
        <v>33</v>
      </c>
      <c r="N277" s="1800"/>
      <c r="O277" s="912"/>
      <c r="P277" s="12"/>
      <c r="Q277" s="860"/>
      <c r="R277" s="862"/>
    </row>
    <row r="278" spans="1:19" ht="19.5" customHeight="1" x14ac:dyDescent="0.2">
      <c r="A278" s="184" t="s">
        <v>13</v>
      </c>
      <c r="B278" s="185" t="s">
        <v>15</v>
      </c>
      <c r="C278" s="218" t="s">
        <v>15</v>
      </c>
      <c r="D278" s="26"/>
      <c r="E278" s="26"/>
      <c r="F278" s="1555" t="s">
        <v>84</v>
      </c>
      <c r="G278" s="1557" t="s">
        <v>269</v>
      </c>
      <c r="H278" s="1779" t="s">
        <v>149</v>
      </c>
      <c r="I278" s="5" t="s">
        <v>11</v>
      </c>
      <c r="J278" s="931">
        <v>30</v>
      </c>
      <c r="K278" s="110">
        <v>30</v>
      </c>
      <c r="L278" s="904">
        <v>30</v>
      </c>
      <c r="M278" s="99">
        <v>30</v>
      </c>
      <c r="N278" s="74" t="s">
        <v>100</v>
      </c>
      <c r="O278" s="867">
        <v>3</v>
      </c>
      <c r="P278" s="11">
        <v>2</v>
      </c>
      <c r="Q278" s="965">
        <v>2</v>
      </c>
      <c r="R278" s="916">
        <v>2</v>
      </c>
    </row>
    <row r="279" spans="1:19" ht="18" customHeight="1" x14ac:dyDescent="0.2">
      <c r="A279" s="172"/>
      <c r="B279" s="164"/>
      <c r="C279" s="177"/>
      <c r="D279" s="942"/>
      <c r="E279" s="942"/>
      <c r="F279" s="1562"/>
      <c r="G279" s="1778"/>
      <c r="H279" s="1780"/>
      <c r="I279" s="6" t="s">
        <v>63</v>
      </c>
      <c r="J279" s="417">
        <v>15.9</v>
      </c>
      <c r="K279" s="105"/>
      <c r="L279" s="103"/>
      <c r="M279" s="98"/>
      <c r="N279" s="75"/>
      <c r="O279" s="868"/>
      <c r="P279" s="14"/>
      <c r="Q279" s="962"/>
      <c r="R279" s="919"/>
    </row>
    <row r="280" spans="1:19" ht="15" customHeight="1" thickBot="1" x14ac:dyDescent="0.25">
      <c r="A280" s="188"/>
      <c r="B280" s="189"/>
      <c r="C280" s="237"/>
      <c r="D280" s="943"/>
      <c r="E280" s="943"/>
      <c r="F280" s="858"/>
      <c r="G280" s="1558"/>
      <c r="H280" s="77"/>
      <c r="I280" s="7" t="s">
        <v>12</v>
      </c>
      <c r="J280" s="266">
        <f>SUM(J278:J279)</f>
        <v>45.9</v>
      </c>
      <c r="K280" s="36">
        <f t="shared" ref="K280:M280" si="11">SUM(K278:K279)</f>
        <v>30</v>
      </c>
      <c r="L280" s="108">
        <f t="shared" si="11"/>
        <v>30</v>
      </c>
      <c r="M280" s="111">
        <f t="shared" si="11"/>
        <v>30</v>
      </c>
      <c r="N280" s="82"/>
      <c r="O280" s="865"/>
      <c r="P280" s="14"/>
      <c r="Q280" s="962"/>
      <c r="R280" s="360"/>
    </row>
    <row r="281" spans="1:19" ht="32.25" customHeight="1" x14ac:dyDescent="0.2">
      <c r="A281" s="184" t="s">
        <v>13</v>
      </c>
      <c r="B281" s="185" t="s">
        <v>15</v>
      </c>
      <c r="C281" s="83" t="s">
        <v>17</v>
      </c>
      <c r="D281" s="26"/>
      <c r="E281" s="26"/>
      <c r="F281" s="902" t="s">
        <v>58</v>
      </c>
      <c r="G281" s="238"/>
      <c r="H281" s="888"/>
      <c r="I281" s="5"/>
      <c r="J281" s="931"/>
      <c r="K281" s="110"/>
      <c r="L281" s="904"/>
      <c r="M281" s="913"/>
      <c r="N281" s="874"/>
      <c r="O281" s="872"/>
      <c r="P281" s="907"/>
      <c r="Q281" s="889"/>
      <c r="R281" s="362"/>
    </row>
    <row r="282" spans="1:19" s="19" customFormat="1" ht="31.15" customHeight="1" x14ac:dyDescent="0.2">
      <c r="A282" s="172"/>
      <c r="B282" s="164"/>
      <c r="C282" s="213"/>
      <c r="D282" s="883" t="s">
        <v>10</v>
      </c>
      <c r="E282" s="883"/>
      <c r="F282" s="1539" t="s">
        <v>56</v>
      </c>
      <c r="G282" s="501" t="s">
        <v>269</v>
      </c>
      <c r="H282" s="1781" t="s">
        <v>156</v>
      </c>
      <c r="I282" s="214" t="s">
        <v>11</v>
      </c>
      <c r="J282" s="696">
        <v>11.5</v>
      </c>
      <c r="K282" s="697">
        <v>12.7</v>
      </c>
      <c r="L282" s="698">
        <v>12.7</v>
      </c>
      <c r="M282" s="699">
        <v>12.7</v>
      </c>
      <c r="N282" s="700" t="s">
        <v>101</v>
      </c>
      <c r="O282" s="442">
        <v>79</v>
      </c>
      <c r="P282" s="580">
        <v>79</v>
      </c>
      <c r="Q282" s="781">
        <v>79</v>
      </c>
      <c r="R282" s="275">
        <v>79</v>
      </c>
    </row>
    <row r="283" spans="1:19" s="19" customFormat="1" ht="43.9" customHeight="1" x14ac:dyDescent="0.2">
      <c r="A283" s="172"/>
      <c r="B283" s="164"/>
      <c r="C283" s="213"/>
      <c r="D283" s="884"/>
      <c r="E283" s="884"/>
      <c r="F283" s="1540"/>
      <c r="G283" s="239"/>
      <c r="H283" s="1782"/>
      <c r="I283" s="214" t="s">
        <v>11</v>
      </c>
      <c r="J283" s="890">
        <v>36</v>
      </c>
      <c r="K283" s="692">
        <v>37</v>
      </c>
      <c r="L283" s="102">
        <v>37</v>
      </c>
      <c r="M283" s="101">
        <v>37</v>
      </c>
      <c r="N283" s="700" t="s">
        <v>322</v>
      </c>
      <c r="O283" s="911">
        <v>20</v>
      </c>
      <c r="P283" s="580">
        <v>27</v>
      </c>
      <c r="Q283" s="781">
        <v>27</v>
      </c>
      <c r="R283" s="861">
        <v>27</v>
      </c>
    </row>
    <row r="284" spans="1:19" s="19" customFormat="1" ht="25.9" customHeight="1" x14ac:dyDescent="0.2">
      <c r="A284" s="172"/>
      <c r="B284" s="167"/>
      <c r="C284" s="213"/>
      <c r="D284" s="883" t="s">
        <v>13</v>
      </c>
      <c r="E284" s="883"/>
      <c r="F284" s="1539" t="s">
        <v>342</v>
      </c>
      <c r="G284" s="878" t="s">
        <v>270</v>
      </c>
      <c r="H284" s="1782"/>
      <c r="I284" s="410" t="s">
        <v>11</v>
      </c>
      <c r="J284" s="416"/>
      <c r="K284" s="813">
        <v>0.5</v>
      </c>
      <c r="L284" s="103"/>
      <c r="M284" s="278"/>
      <c r="N284" s="316" t="s">
        <v>299</v>
      </c>
      <c r="O284" s="38"/>
      <c r="P284" s="829">
        <v>2</v>
      </c>
      <c r="Q284" s="265"/>
      <c r="R284" s="126"/>
      <c r="S284" s="292"/>
    </row>
    <row r="285" spans="1:19" s="19" customFormat="1" ht="15" customHeight="1" x14ac:dyDescent="0.2">
      <c r="A285" s="172"/>
      <c r="B285" s="167"/>
      <c r="C285" s="213"/>
      <c r="D285" s="884"/>
      <c r="E285" s="884"/>
      <c r="F285" s="1541"/>
      <c r="G285" s="879" t="s">
        <v>269</v>
      </c>
      <c r="H285" s="1783"/>
      <c r="I285" s="304" t="s">
        <v>11</v>
      </c>
      <c r="J285" s="891">
        <v>7.8</v>
      </c>
      <c r="K285" s="523"/>
      <c r="L285" s="948"/>
      <c r="M285" s="899"/>
      <c r="N285" s="702" t="s">
        <v>238</v>
      </c>
      <c r="O285" s="868">
        <v>5</v>
      </c>
      <c r="P285" s="281"/>
      <c r="Q285" s="280"/>
      <c r="R285" s="919"/>
      <c r="S285" s="292"/>
    </row>
    <row r="286" spans="1:19" ht="33" customHeight="1" x14ac:dyDescent="0.2">
      <c r="A286" s="172"/>
      <c r="B286" s="167"/>
      <c r="C286" s="213"/>
      <c r="D286" s="884"/>
      <c r="E286" s="884"/>
      <c r="F286" s="1541"/>
      <c r="G286" s="701"/>
      <c r="H286" s="1781" t="s">
        <v>278</v>
      </c>
      <c r="I286" s="214" t="s">
        <v>11</v>
      </c>
      <c r="J286" s="416">
        <v>28.6</v>
      </c>
      <c r="K286" s="703">
        <v>59.4</v>
      </c>
      <c r="L286" s="951"/>
      <c r="M286" s="278"/>
      <c r="N286" s="1543" t="s">
        <v>125</v>
      </c>
      <c r="O286" s="911">
        <v>3</v>
      </c>
      <c r="P286" s="214">
        <v>5</v>
      </c>
      <c r="Q286" s="755"/>
      <c r="R286" s="861"/>
      <c r="S286" s="292"/>
    </row>
    <row r="287" spans="1:19" ht="30" customHeight="1" x14ac:dyDescent="0.2">
      <c r="A287" s="172"/>
      <c r="B287" s="167"/>
      <c r="C287" s="213"/>
      <c r="D287" s="884"/>
      <c r="E287" s="884"/>
      <c r="F287" s="1541"/>
      <c r="G287" s="141"/>
      <c r="H287" s="1782"/>
      <c r="I287" s="214" t="s">
        <v>63</v>
      </c>
      <c r="J287" s="416">
        <v>0.5</v>
      </c>
      <c r="K287" s="703">
        <v>18.5</v>
      </c>
      <c r="L287" s="951"/>
      <c r="M287" s="278"/>
      <c r="N287" s="1544"/>
      <c r="O287" s="413"/>
      <c r="P287" s="281"/>
      <c r="Q287" s="765"/>
      <c r="R287" s="215"/>
      <c r="S287" s="292"/>
    </row>
    <row r="288" spans="1:19" ht="27.75" customHeight="1" x14ac:dyDescent="0.2">
      <c r="A288" s="172"/>
      <c r="B288" s="167"/>
      <c r="C288" s="213"/>
      <c r="D288" s="884"/>
      <c r="E288" s="884"/>
      <c r="F288" s="1541"/>
      <c r="G288" s="141"/>
      <c r="H288" s="1782"/>
      <c r="I288" s="45" t="s">
        <v>3</v>
      </c>
      <c r="J288" s="416">
        <v>94</v>
      </c>
      <c r="K288" s="551"/>
      <c r="L288" s="552"/>
      <c r="M288" s="278"/>
      <c r="N288" s="1544"/>
      <c r="O288" s="413"/>
      <c r="P288" s="281"/>
      <c r="Q288" s="280"/>
      <c r="R288" s="215"/>
      <c r="S288" s="292"/>
    </row>
    <row r="289" spans="1:19" ht="14.25" customHeight="1" thickBot="1" x14ac:dyDescent="0.25">
      <c r="A289" s="172"/>
      <c r="B289" s="164"/>
      <c r="C289" s="212"/>
      <c r="D289" s="691"/>
      <c r="E289" s="691"/>
      <c r="F289" s="1542"/>
      <c r="G289" s="141"/>
      <c r="H289" s="1784"/>
      <c r="I289" s="57" t="s">
        <v>12</v>
      </c>
      <c r="J289" s="266">
        <f>SUM(J282:J288)</f>
        <v>178.4</v>
      </c>
      <c r="K289" s="36">
        <f>SUM(K282:K288)</f>
        <v>128.1</v>
      </c>
      <c r="L289" s="108">
        <f>SUM(L282:L288)</f>
        <v>49.7</v>
      </c>
      <c r="M289" s="111">
        <f>SUM(M282:M288)</f>
        <v>49.7</v>
      </c>
      <c r="N289" s="1545"/>
      <c r="O289" s="868"/>
      <c r="P289" s="406"/>
      <c r="Q289" s="892"/>
      <c r="R289" s="919"/>
      <c r="S289" s="292"/>
    </row>
    <row r="290" spans="1:19" ht="16.149999999999999" customHeight="1" x14ac:dyDescent="0.2">
      <c r="A290" s="184" t="s">
        <v>13</v>
      </c>
      <c r="B290" s="185" t="s">
        <v>15</v>
      </c>
      <c r="C290" s="240" t="s">
        <v>18</v>
      </c>
      <c r="D290" s="26"/>
      <c r="E290" s="21"/>
      <c r="F290" s="274" t="s">
        <v>206</v>
      </c>
      <c r="G290" s="704" t="s">
        <v>269</v>
      </c>
      <c r="H290" s="1619" t="s">
        <v>156</v>
      </c>
      <c r="I290" s="11"/>
      <c r="J290" s="705"/>
      <c r="K290" s="110"/>
      <c r="L290" s="904"/>
      <c r="M290" s="913"/>
      <c r="N290" s="74"/>
      <c r="O290" s="867"/>
      <c r="P290" s="186"/>
      <c r="Q290" s="274"/>
      <c r="R290" s="916"/>
    </row>
    <row r="291" spans="1:19" ht="15.75" customHeight="1" x14ac:dyDescent="0.2">
      <c r="A291" s="172"/>
      <c r="B291" s="164"/>
      <c r="C291" s="171"/>
      <c r="D291" s="942"/>
      <c r="E291" s="22"/>
      <c r="F291" s="962" t="s">
        <v>207</v>
      </c>
      <c r="G291" s="224"/>
      <c r="H291" s="1768"/>
      <c r="I291" s="2" t="s">
        <v>11</v>
      </c>
      <c r="J291" s="418">
        <v>1769.3</v>
      </c>
      <c r="K291" s="706">
        <v>3036.7</v>
      </c>
      <c r="L291" s="905">
        <v>3040</v>
      </c>
      <c r="M291" s="470">
        <v>3040</v>
      </c>
      <c r="N291" s="75" t="s">
        <v>70</v>
      </c>
      <c r="O291" s="868">
        <v>92</v>
      </c>
      <c r="P291" s="71">
        <v>92</v>
      </c>
      <c r="Q291" s="92">
        <v>92</v>
      </c>
      <c r="R291" s="919">
        <v>92</v>
      </c>
    </row>
    <row r="292" spans="1:19" ht="17.25" customHeight="1" x14ac:dyDescent="0.2">
      <c r="A292" s="172"/>
      <c r="B292" s="164"/>
      <c r="C292" s="171"/>
      <c r="D292" s="22"/>
      <c r="E292" s="22"/>
      <c r="F292" s="963"/>
      <c r="G292" s="168"/>
      <c r="H292" s="1620"/>
      <c r="I292" s="6" t="s">
        <v>63</v>
      </c>
      <c r="J292" s="416">
        <v>315.10000000000002</v>
      </c>
      <c r="K292" s="105"/>
      <c r="L292" s="103"/>
      <c r="M292" s="473"/>
      <c r="N292" s="75"/>
      <c r="O292" s="868"/>
      <c r="P292" s="14"/>
      <c r="Q292" s="962"/>
      <c r="R292" s="919"/>
    </row>
    <row r="293" spans="1:19" ht="16.149999999999999" customHeight="1" x14ac:dyDescent="0.2">
      <c r="A293" s="172"/>
      <c r="B293" s="164"/>
      <c r="C293" s="171"/>
      <c r="D293" s="22"/>
      <c r="E293" s="22"/>
      <c r="F293" s="962" t="s">
        <v>208</v>
      </c>
      <c r="G293" s="139" t="s">
        <v>269</v>
      </c>
      <c r="H293" s="1768" t="s">
        <v>156</v>
      </c>
      <c r="I293" s="84" t="s">
        <v>11</v>
      </c>
      <c r="J293" s="890">
        <v>542.5</v>
      </c>
      <c r="K293" s="692">
        <v>750.4</v>
      </c>
      <c r="L293" s="104">
        <v>760</v>
      </c>
      <c r="M293" s="101">
        <v>760</v>
      </c>
      <c r="N293" s="1546" t="s">
        <v>230</v>
      </c>
      <c r="O293" s="855">
        <v>100</v>
      </c>
      <c r="P293" s="1"/>
      <c r="Q293" s="859"/>
      <c r="R293" s="918"/>
    </row>
    <row r="294" spans="1:19" ht="16.149999999999999" customHeight="1" x14ac:dyDescent="0.2">
      <c r="A294" s="172"/>
      <c r="B294" s="164"/>
      <c r="C294" s="171"/>
      <c r="D294" s="22"/>
      <c r="E294" s="22"/>
      <c r="F294" s="962"/>
      <c r="G294" s="145"/>
      <c r="H294" s="1768"/>
      <c r="I294" s="84" t="s">
        <v>11</v>
      </c>
      <c r="J294" s="890"/>
      <c r="K294" s="703">
        <v>9.1</v>
      </c>
      <c r="L294" s="707">
        <v>9.1</v>
      </c>
      <c r="M294" s="703">
        <v>9.1</v>
      </c>
      <c r="N294" s="1547"/>
      <c r="O294" s="868"/>
      <c r="P294" s="910"/>
      <c r="Q294" s="882"/>
      <c r="R294" s="919"/>
    </row>
    <row r="295" spans="1:19" ht="10.5" customHeight="1" x14ac:dyDescent="0.2">
      <c r="A295" s="172"/>
      <c r="B295" s="164"/>
      <c r="C295" s="171"/>
      <c r="D295" s="22"/>
      <c r="E295" s="22"/>
      <c r="F295" s="962"/>
      <c r="G295" s="145"/>
      <c r="H295" s="1768"/>
      <c r="I295" s="1769" t="s">
        <v>14</v>
      </c>
      <c r="J295" s="1770">
        <v>7</v>
      </c>
      <c r="K295" s="1772">
        <v>11.5</v>
      </c>
      <c r="L295" s="1774">
        <v>12</v>
      </c>
      <c r="M295" s="1776">
        <v>12</v>
      </c>
      <c r="N295" s="1564"/>
      <c r="O295" s="856"/>
      <c r="P295" s="763"/>
      <c r="Q295" s="880"/>
      <c r="R295" s="934"/>
    </row>
    <row r="296" spans="1:19" ht="38.25" customHeight="1" x14ac:dyDescent="0.2">
      <c r="A296" s="172"/>
      <c r="B296" s="164"/>
      <c r="C296" s="171"/>
      <c r="D296" s="22"/>
      <c r="E296" s="22"/>
      <c r="F296" s="962"/>
      <c r="G296" s="145"/>
      <c r="H296" s="1768"/>
      <c r="I296" s="1620"/>
      <c r="J296" s="1771"/>
      <c r="K296" s="1773"/>
      <c r="L296" s="1775"/>
      <c r="M296" s="1777"/>
      <c r="N296" s="1547" t="s">
        <v>325</v>
      </c>
      <c r="O296" s="868"/>
      <c r="P296" s="71">
        <v>90</v>
      </c>
      <c r="Q296" s="92">
        <v>90</v>
      </c>
      <c r="R296" s="919">
        <v>90</v>
      </c>
    </row>
    <row r="297" spans="1:19" ht="15" customHeight="1" thickBot="1" x14ac:dyDescent="0.25">
      <c r="A297" s="172"/>
      <c r="B297" s="164"/>
      <c r="C297" s="212"/>
      <c r="D297" s="28"/>
      <c r="E297" s="28"/>
      <c r="F297" s="858"/>
      <c r="G297" s="141"/>
      <c r="H297" s="1620"/>
      <c r="I297" s="57" t="s">
        <v>12</v>
      </c>
      <c r="J297" s="266">
        <f>SUM(J291:J296)</f>
        <v>2633.9</v>
      </c>
      <c r="K297" s="36">
        <f>SUM(K291:K296)</f>
        <v>3807.7</v>
      </c>
      <c r="L297" s="108">
        <f>SUM(L291:L296)</f>
        <v>3821.1</v>
      </c>
      <c r="M297" s="111">
        <f>SUM(M291:M296)</f>
        <v>3821.1</v>
      </c>
      <c r="N297" s="1560"/>
      <c r="O297" s="873"/>
      <c r="P297" s="908"/>
      <c r="Q297" s="858"/>
      <c r="R297" s="917"/>
    </row>
    <row r="298" spans="1:19" ht="14.25" customHeight="1" thickBot="1" x14ac:dyDescent="0.25">
      <c r="A298" s="241" t="s">
        <v>13</v>
      </c>
      <c r="B298" s="242" t="s">
        <v>15</v>
      </c>
      <c r="C298" s="1548" t="s">
        <v>16</v>
      </c>
      <c r="D298" s="1549"/>
      <c r="E298" s="1549"/>
      <c r="F298" s="1549"/>
      <c r="G298" s="1549"/>
      <c r="H298" s="1549"/>
      <c r="I298" s="1549"/>
      <c r="J298" s="425">
        <f>J277+J280+J289+J275+J297</f>
        <v>5497.7999999999993</v>
      </c>
      <c r="K298" s="425">
        <f>K277+K280+K289+K275+K297</f>
        <v>6712.2000000000007</v>
      </c>
      <c r="L298" s="197">
        <f>L277+L280+L289+L275+L297</f>
        <v>6211.6</v>
      </c>
      <c r="M298" s="198">
        <f>M277+M280+M289+M275+M297</f>
        <v>6218.5</v>
      </c>
      <c r="N298" s="920"/>
      <c r="O298" s="921"/>
      <c r="P298" s="921"/>
      <c r="Q298" s="921"/>
      <c r="R298" s="922"/>
    </row>
    <row r="299" spans="1:19" s="64" customFormat="1" ht="14.25" customHeight="1" thickBot="1" x14ac:dyDescent="0.25">
      <c r="A299" s="241" t="s">
        <v>13</v>
      </c>
      <c r="B299" s="1523" t="s">
        <v>5</v>
      </c>
      <c r="C299" s="1524"/>
      <c r="D299" s="1524"/>
      <c r="E299" s="1524"/>
      <c r="F299" s="1524"/>
      <c r="G299" s="1524"/>
      <c r="H299" s="1524"/>
      <c r="I299" s="1524"/>
      <c r="J299" s="448">
        <f>J298+J249+J226</f>
        <v>18152.899999999994</v>
      </c>
      <c r="K299" s="448">
        <f>K298+K249+K226</f>
        <v>21411.9</v>
      </c>
      <c r="L299" s="244">
        <f>L298+L249+L226</f>
        <v>19585.799999999996</v>
      </c>
      <c r="M299" s="318">
        <f>M298+M249+M226</f>
        <v>12605.3</v>
      </c>
      <c r="N299" s="925"/>
      <c r="O299" s="926"/>
      <c r="P299" s="926"/>
      <c r="Q299" s="926"/>
      <c r="R299" s="927"/>
    </row>
    <row r="300" spans="1:19" s="64" customFormat="1" ht="14.25" customHeight="1" thickBot="1" x14ac:dyDescent="0.25">
      <c r="A300" s="246" t="s">
        <v>4</v>
      </c>
      <c r="B300" s="1526" t="s">
        <v>6</v>
      </c>
      <c r="C300" s="1527"/>
      <c r="D300" s="1527"/>
      <c r="E300" s="1527"/>
      <c r="F300" s="1527"/>
      <c r="G300" s="1527"/>
      <c r="H300" s="1527"/>
      <c r="I300" s="1527"/>
      <c r="J300" s="449">
        <f>J299+J133</f>
        <v>124047.90299999999</v>
      </c>
      <c r="K300" s="449">
        <f>K299+K133</f>
        <v>142426.49999999997</v>
      </c>
      <c r="L300" s="248">
        <f>L299+L133</f>
        <v>140305.59999999995</v>
      </c>
      <c r="M300" s="319">
        <f>M299+M133</f>
        <v>132334.89999999997</v>
      </c>
      <c r="N300" s="249"/>
      <c r="O300" s="250"/>
      <c r="P300" s="250"/>
      <c r="Q300" s="250"/>
      <c r="R300" s="251"/>
    </row>
    <row r="301" spans="1:19" s="64" customFormat="1" ht="14.25" customHeight="1" x14ac:dyDescent="0.2">
      <c r="A301" s="1529" t="s">
        <v>494</v>
      </c>
      <c r="B301" s="1529"/>
      <c r="C301" s="1529"/>
      <c r="D301" s="1529"/>
      <c r="E301" s="1529"/>
      <c r="F301" s="1529"/>
      <c r="G301" s="1529"/>
      <c r="H301" s="1529"/>
      <c r="I301" s="1529"/>
      <c r="J301" s="1529"/>
      <c r="K301" s="1529"/>
      <c r="L301" s="1529"/>
      <c r="M301" s="1529"/>
      <c r="N301" s="1529"/>
      <c r="O301" s="1529"/>
      <c r="P301" s="1529"/>
      <c r="Q301" s="1529"/>
      <c r="R301" s="1529"/>
    </row>
    <row r="302" spans="1:19" s="64" customFormat="1" ht="14.25" customHeight="1" x14ac:dyDescent="0.2">
      <c r="A302" s="885"/>
      <c r="B302" s="885"/>
      <c r="C302" s="885"/>
      <c r="D302" s="885"/>
      <c r="E302" s="885"/>
      <c r="F302" s="885"/>
      <c r="G302" s="885"/>
      <c r="H302" s="885"/>
      <c r="I302" s="885"/>
      <c r="J302" s="885"/>
      <c r="K302" s="885"/>
      <c r="L302" s="885"/>
      <c r="M302" s="885"/>
      <c r="N302" s="885"/>
      <c r="O302" s="885"/>
      <c r="P302" s="885"/>
      <c r="Q302" s="885"/>
      <c r="R302" s="885"/>
    </row>
    <row r="303" spans="1:19" s="64" customFormat="1" ht="43.5" customHeight="1" x14ac:dyDescent="0.2">
      <c r="A303" s="1767" t="s">
        <v>499</v>
      </c>
      <c r="B303" s="1767"/>
      <c r="C303" s="1767"/>
      <c r="D303" s="1767"/>
      <c r="E303" s="1767"/>
      <c r="F303" s="1767"/>
      <c r="G303" s="1767"/>
      <c r="H303" s="1767"/>
      <c r="I303" s="1767"/>
      <c r="J303" s="1767"/>
      <c r="K303" s="1767"/>
      <c r="L303" s="1767"/>
      <c r="M303" s="1767"/>
      <c r="N303" s="885"/>
      <c r="O303" s="885"/>
      <c r="P303" s="885"/>
      <c r="Q303" s="885"/>
      <c r="R303" s="885"/>
    </row>
    <row r="304" spans="1:19" s="64" customFormat="1" ht="23.25" customHeight="1" thickBot="1" x14ac:dyDescent="0.25">
      <c r="A304" s="1530" t="s">
        <v>0</v>
      </c>
      <c r="B304" s="1530"/>
      <c r="C304" s="1530"/>
      <c r="D304" s="1530"/>
      <c r="E304" s="1530"/>
      <c r="F304" s="1530"/>
      <c r="G304" s="1530"/>
      <c r="H304" s="1530"/>
      <c r="I304" s="1530"/>
      <c r="J304" s="1530"/>
      <c r="K304" s="1530"/>
      <c r="L304" s="1530"/>
      <c r="M304" s="1530"/>
      <c r="N304" s="252"/>
      <c r="O304" s="252"/>
      <c r="P304" s="252"/>
      <c r="Q304" s="252"/>
      <c r="R304" s="252"/>
    </row>
    <row r="305" spans="1:19" s="64" customFormat="1" ht="99" customHeight="1" thickBot="1" x14ac:dyDescent="0.25">
      <c r="A305" s="1531" t="s">
        <v>1</v>
      </c>
      <c r="B305" s="1532"/>
      <c r="C305" s="1532"/>
      <c r="D305" s="1532"/>
      <c r="E305" s="1532"/>
      <c r="F305" s="1532"/>
      <c r="G305" s="1532"/>
      <c r="H305" s="1532"/>
      <c r="I305" s="1533"/>
      <c r="J305" s="453" t="s">
        <v>252</v>
      </c>
      <c r="K305" s="477" t="s">
        <v>247</v>
      </c>
      <c r="L305" s="478" t="s">
        <v>498</v>
      </c>
      <c r="M305" s="476" t="s">
        <v>253</v>
      </c>
      <c r="N305" s="49"/>
      <c r="O305" s="49"/>
      <c r="P305" s="49"/>
      <c r="Q305" s="49"/>
      <c r="R305" s="15"/>
    </row>
    <row r="306" spans="1:19" s="64" customFormat="1" ht="13.5" customHeight="1" x14ac:dyDescent="0.2">
      <c r="A306" s="1534" t="s">
        <v>500</v>
      </c>
      <c r="B306" s="1535"/>
      <c r="C306" s="1535"/>
      <c r="D306" s="1535"/>
      <c r="E306" s="1535"/>
      <c r="F306" s="1535"/>
      <c r="G306" s="1535"/>
      <c r="H306" s="1535"/>
      <c r="I306" s="1535"/>
      <c r="J306" s="267">
        <f>+J307+J314+J315+J316+J317</f>
        <v>123953.90299999999</v>
      </c>
      <c r="K306" s="253">
        <f t="shared" ref="K306:M306" si="12">+K307+K314+K315+K316+K317</f>
        <v>142236.60000000003</v>
      </c>
      <c r="L306" s="254">
        <f>+L307+L314+L315+L316+L317</f>
        <v>136974.6</v>
      </c>
      <c r="M306" s="255">
        <f t="shared" si="12"/>
        <v>130012.5</v>
      </c>
      <c r="N306" s="49"/>
      <c r="O306" s="49"/>
      <c r="P306" s="49"/>
      <c r="Q306" s="49"/>
      <c r="R306" s="15"/>
    </row>
    <row r="307" spans="1:19" s="64" customFormat="1" ht="13.5" customHeight="1" x14ac:dyDescent="0.2">
      <c r="A307" s="1517" t="s">
        <v>131</v>
      </c>
      <c r="B307" s="1518"/>
      <c r="C307" s="1518"/>
      <c r="D307" s="1518"/>
      <c r="E307" s="1518"/>
      <c r="F307" s="1518"/>
      <c r="G307" s="1518"/>
      <c r="H307" s="1518"/>
      <c r="I307" s="1518"/>
      <c r="J307" s="268">
        <f>SUM(J308:J313)</f>
        <v>118786.20299999999</v>
      </c>
      <c r="K307" s="256">
        <f t="shared" ref="K307:M307" si="13">SUM(K308:K313)</f>
        <v>134384.90000000002</v>
      </c>
      <c r="L307" s="257">
        <f>SUM(L308:L313)</f>
        <v>136974.6</v>
      </c>
      <c r="M307" s="258">
        <f t="shared" si="13"/>
        <v>130012.5</v>
      </c>
      <c r="N307" s="49"/>
      <c r="O307" s="49"/>
      <c r="P307" s="49"/>
      <c r="Q307" s="49"/>
      <c r="R307" s="15"/>
      <c r="S307" s="17"/>
    </row>
    <row r="308" spans="1:19" s="64" customFormat="1" ht="14.25" customHeight="1" x14ac:dyDescent="0.2">
      <c r="A308" s="1502" t="s">
        <v>201</v>
      </c>
      <c r="B308" s="1503"/>
      <c r="C308" s="1503"/>
      <c r="D308" s="1503"/>
      <c r="E308" s="1503"/>
      <c r="F308" s="1503"/>
      <c r="G308" s="1503"/>
      <c r="H308" s="1503"/>
      <c r="I308" s="1503"/>
      <c r="J308" s="324">
        <f>SUMIF(I14:I297,"sb",J14:J297)</f>
        <v>49907.903000000006</v>
      </c>
      <c r="K308" s="4">
        <f>SUMIF(I14:I297,"sb",K14:K297)</f>
        <v>57283.100000000006</v>
      </c>
      <c r="L308" s="107">
        <f>SUMIF(I14:I297,"sb",L14:L297)</f>
        <v>64797.30000000001</v>
      </c>
      <c r="M308" s="116">
        <f>SUMIF(I14:I297,"sb",M14:M297)</f>
        <v>58074.5</v>
      </c>
      <c r="N308" s="10"/>
      <c r="O308" s="10"/>
      <c r="P308" s="10"/>
      <c r="Q308" s="10"/>
      <c r="R308" s="15"/>
    </row>
    <row r="309" spans="1:19" s="64" customFormat="1" ht="15.6" customHeight="1" x14ac:dyDescent="0.2">
      <c r="A309" s="1764" t="s">
        <v>216</v>
      </c>
      <c r="B309" s="1765"/>
      <c r="C309" s="1765"/>
      <c r="D309" s="1765"/>
      <c r="E309" s="1765"/>
      <c r="F309" s="1765"/>
      <c r="G309" s="1765"/>
      <c r="H309" s="1765"/>
      <c r="I309" s="1766"/>
      <c r="J309" s="324">
        <f>SUMIF(I15:I294,"sb(K)",J15:J294)</f>
        <v>2890.4999999999995</v>
      </c>
      <c r="K309" s="4">
        <f>SUMIF(I15:I294,"sb(K)",K15:K294)</f>
        <v>0</v>
      </c>
      <c r="L309" s="107">
        <f>SUMIF(I14:I297,"sb(K)",L14:L297)</f>
        <v>0</v>
      </c>
      <c r="M309" s="116">
        <f>SUMIF(I15:I294,"sb(K)",M15:M294)</f>
        <v>0</v>
      </c>
      <c r="N309" s="10"/>
      <c r="O309" s="10"/>
      <c r="P309" s="10"/>
      <c r="Q309" s="10"/>
      <c r="R309" s="15"/>
    </row>
    <row r="310" spans="1:19" s="64" customFormat="1" ht="15.75" customHeight="1" x14ac:dyDescent="0.2">
      <c r="A310" s="1502" t="s">
        <v>202</v>
      </c>
      <c r="B310" s="1503"/>
      <c r="C310" s="1503"/>
      <c r="D310" s="1503"/>
      <c r="E310" s="1503"/>
      <c r="F310" s="1503"/>
      <c r="G310" s="1503"/>
      <c r="H310" s="1503"/>
      <c r="I310" s="1503"/>
      <c r="J310" s="324">
        <f>SUMIF(I14:I297,"sb(sp)",J14:J297)</f>
        <v>5239.9000000000005</v>
      </c>
      <c r="K310" s="4">
        <f>SUMIF(I14:I297,"sb(sp)",K14:K297)</f>
        <v>5105.3</v>
      </c>
      <c r="L310" s="107">
        <f>SUMIF(I14:I297,"sb(sp)",L14:L297)</f>
        <v>5105.5</v>
      </c>
      <c r="M310" s="116">
        <f>SUMIF(I14:I297,"sb(sp)",M14:M297)</f>
        <v>5105.3</v>
      </c>
      <c r="N310" s="18"/>
      <c r="O310" s="18"/>
      <c r="P310" s="18"/>
      <c r="Q310" s="18"/>
      <c r="R310" s="15"/>
    </row>
    <row r="311" spans="1:19" s="64" customFormat="1" ht="15.75" customHeight="1" x14ac:dyDescent="0.2">
      <c r="A311" s="1502" t="s">
        <v>194</v>
      </c>
      <c r="B311" s="1503"/>
      <c r="C311" s="1503"/>
      <c r="D311" s="1503"/>
      <c r="E311" s="1503"/>
      <c r="F311" s="1503"/>
      <c r="G311" s="1503"/>
      <c r="H311" s="1503"/>
      <c r="I311" s="1504"/>
      <c r="J311" s="324">
        <f>SUMIF(I14:I297,"sb(p)",J14:J297)</f>
        <v>1778.7</v>
      </c>
      <c r="K311" s="4">
        <f>SUMIF(I14:I297,"sb(p)",K14:K297)</f>
        <v>3395.5</v>
      </c>
      <c r="L311" s="107">
        <f>SUMIF(I14:I297,"sb(p)",L14:L297)</f>
        <v>0</v>
      </c>
      <c r="M311" s="116">
        <f>SUMIF(I14:I297,"sb(p)",M14:M297)</f>
        <v>0</v>
      </c>
      <c r="N311" s="18"/>
      <c r="O311" s="18"/>
      <c r="P311" s="18"/>
      <c r="Q311" s="18"/>
      <c r="R311" s="15"/>
    </row>
    <row r="312" spans="1:19" s="64" customFormat="1" ht="15.75" customHeight="1" x14ac:dyDescent="0.2">
      <c r="A312" s="1520" t="s">
        <v>203</v>
      </c>
      <c r="B312" s="1521"/>
      <c r="C312" s="1521"/>
      <c r="D312" s="1521"/>
      <c r="E312" s="1521"/>
      <c r="F312" s="1521"/>
      <c r="G312" s="1521"/>
      <c r="H312" s="1521"/>
      <c r="I312" s="1521"/>
      <c r="J312" s="324">
        <f>SUMIF(I14:I297,"sb(vb)",J14:J297)</f>
        <v>57979.499999999993</v>
      </c>
      <c r="K312" s="4">
        <f>SUMIF(I14:I296,"sb(vb)",K14:K296)</f>
        <v>67107.5</v>
      </c>
      <c r="L312" s="107">
        <f>SUMIF(I14:I297,"sb(vb)",L14:L297)</f>
        <v>66832.7</v>
      </c>
      <c r="M312" s="116">
        <f>SUMIF(I14:I297,"sb(vb)",M14:M297)</f>
        <v>66832.7</v>
      </c>
      <c r="N312" s="18"/>
      <c r="O312" s="18"/>
      <c r="P312" s="18"/>
      <c r="Q312" s="18"/>
      <c r="R312" s="15"/>
    </row>
    <row r="313" spans="1:19" ht="15.75" customHeight="1" x14ac:dyDescent="0.2">
      <c r="A313" s="1762" t="s">
        <v>129</v>
      </c>
      <c r="B313" s="1763"/>
      <c r="C313" s="1763"/>
      <c r="D313" s="1763"/>
      <c r="E313" s="1763"/>
      <c r="F313" s="1763"/>
      <c r="G313" s="1763"/>
      <c r="H313" s="1763"/>
      <c r="I313" s="1763"/>
      <c r="J313" s="324">
        <f>SUMIF(I14:I297,"sb(es)",J14:J297)</f>
        <v>989.7</v>
      </c>
      <c r="K313" s="4">
        <f>SUMIF(I14:I297,"sb(es)",K14:K297)</f>
        <v>1493.5</v>
      </c>
      <c r="L313" s="107">
        <f>SUMIF(I14:I297,"sb(es)",L14:L297)</f>
        <v>239.1</v>
      </c>
      <c r="M313" s="116">
        <f>SUMIF(I14:I297,"sb(es)",M14:M297)</f>
        <v>0</v>
      </c>
      <c r="N313" s="18"/>
      <c r="O313" s="18"/>
      <c r="P313" s="18"/>
      <c r="Q313" s="18"/>
      <c r="R313" s="15"/>
    </row>
    <row r="314" spans="1:19" ht="15.75" customHeight="1" x14ac:dyDescent="0.2">
      <c r="A314" s="1759" t="s">
        <v>64</v>
      </c>
      <c r="B314" s="1759"/>
      <c r="C314" s="1759"/>
      <c r="D314" s="1759"/>
      <c r="E314" s="1759"/>
      <c r="F314" s="1759"/>
      <c r="G314" s="1759"/>
      <c r="H314" s="1509"/>
      <c r="I314" s="1509"/>
      <c r="J314" s="269">
        <f>SUMIF(I14:I294,"sb(l)",J14:J294)</f>
        <v>4132.8999999999996</v>
      </c>
      <c r="K314" s="113">
        <f>SUMIF(I14:I294,"sb(l)",K14:K294)</f>
        <v>7093.4000000000005</v>
      </c>
      <c r="L314" s="119">
        <f>SUMIF(I14:I297,"sb(l)",L14:L297)</f>
        <v>0</v>
      </c>
      <c r="M314" s="117">
        <f>SUMIF(I14:I294,"sb(l)",M14:M294)</f>
        <v>0</v>
      </c>
      <c r="N314" s="18"/>
      <c r="O314" s="18"/>
      <c r="P314" s="18"/>
      <c r="Q314" s="18"/>
      <c r="R314" s="15"/>
    </row>
    <row r="315" spans="1:19" ht="15.75" customHeight="1" x14ac:dyDescent="0.2">
      <c r="A315" s="1759" t="s">
        <v>130</v>
      </c>
      <c r="B315" s="1759"/>
      <c r="C315" s="1759"/>
      <c r="D315" s="1759"/>
      <c r="E315" s="1759"/>
      <c r="F315" s="1759"/>
      <c r="G315" s="1759"/>
      <c r="H315" s="1509"/>
      <c r="I315" s="1509"/>
      <c r="J315" s="269">
        <f>SUMIF(I15:I297,"sb(esl)",J15:J297)</f>
        <v>645.00000000000011</v>
      </c>
      <c r="K315" s="113">
        <f>SUMIF(I15:I297,"sb(esl)",K15:K297)</f>
        <v>137</v>
      </c>
      <c r="L315" s="119">
        <f>SUMIF(I15:I297,"sb(esl)",L15:L297)</f>
        <v>0</v>
      </c>
      <c r="M315" s="117">
        <f>SUMIF(I15:I297,"sb(esl)",M15:M297)</f>
        <v>0</v>
      </c>
      <c r="N315" s="18"/>
      <c r="O315" s="18"/>
      <c r="P315" s="18"/>
      <c r="Q315" s="18"/>
      <c r="R315" s="15"/>
    </row>
    <row r="316" spans="1:19" ht="16.5" customHeight="1" x14ac:dyDescent="0.2">
      <c r="A316" s="1759" t="s">
        <v>45</v>
      </c>
      <c r="B316" s="1759"/>
      <c r="C316" s="1759"/>
      <c r="D316" s="1759"/>
      <c r="E316" s="1759"/>
      <c r="F316" s="1759"/>
      <c r="G316" s="1759"/>
      <c r="H316" s="1509"/>
      <c r="I316" s="1509"/>
      <c r="J316" s="269">
        <f>SUMIF(I14:I297,"sb(spl)",J14:J297)</f>
        <v>388.8</v>
      </c>
      <c r="K316" s="113">
        <f>SUMIF(I14:I297,"sb(spl)",K14:K297)</f>
        <v>620.20000000000005</v>
      </c>
      <c r="L316" s="119">
        <f>SUMIF(I14:I297,"sb(spl)",L14:L297)</f>
        <v>0</v>
      </c>
      <c r="M316" s="117">
        <f>SUMIF(I14:I297,"sb(spl)",M14:M297)</f>
        <v>0</v>
      </c>
      <c r="N316" s="18"/>
      <c r="O316" s="18"/>
      <c r="P316" s="18"/>
      <c r="Q316" s="18"/>
      <c r="R316" s="15"/>
    </row>
    <row r="317" spans="1:19" ht="16.5" customHeight="1" x14ac:dyDescent="0.2">
      <c r="A317" s="1759" t="s">
        <v>135</v>
      </c>
      <c r="B317" s="1759"/>
      <c r="C317" s="1759"/>
      <c r="D317" s="1759"/>
      <c r="E317" s="1759"/>
      <c r="F317" s="1759"/>
      <c r="G317" s="1759"/>
      <c r="H317" s="1509"/>
      <c r="I317" s="1509"/>
      <c r="J317" s="269">
        <f>SUMIF(I15:I297,"sb(vbl)",J15:J297)</f>
        <v>1</v>
      </c>
      <c r="K317" s="113">
        <f>SUMIF(I15:I297,"sb(vbl)",K15:K297)</f>
        <v>1.1000000000000001</v>
      </c>
      <c r="L317" s="119">
        <f>SUMIF(I15:I297,"sb(vbl)",L15:L297)</f>
        <v>0</v>
      </c>
      <c r="M317" s="117">
        <f>SUMIF(I15:I297,"sb(vbl)",M15:M297)</f>
        <v>0</v>
      </c>
      <c r="N317" s="18"/>
      <c r="O317" s="18"/>
      <c r="P317" s="18"/>
      <c r="Q317" s="18"/>
      <c r="R317" s="15"/>
    </row>
    <row r="318" spans="1:19" ht="17.25" customHeight="1" x14ac:dyDescent="0.2">
      <c r="A318" s="1512" t="s">
        <v>20</v>
      </c>
      <c r="B318" s="1513"/>
      <c r="C318" s="1513"/>
      <c r="D318" s="1513"/>
      <c r="E318" s="1513"/>
      <c r="F318" s="1513"/>
      <c r="G318" s="1513"/>
      <c r="H318" s="1513"/>
      <c r="I318" s="1513"/>
      <c r="J318" s="270">
        <f>SUM(J320:J321)</f>
        <v>94</v>
      </c>
      <c r="K318" s="271">
        <f>SUM(K319:K321)</f>
        <v>189.9</v>
      </c>
      <c r="L318" s="272">
        <f>SUM(L319:L321)</f>
        <v>3331</v>
      </c>
      <c r="M318" s="273">
        <f>SUM(M319:M321)</f>
        <v>2322.4</v>
      </c>
      <c r="N318" s="49"/>
      <c r="O318" s="49"/>
      <c r="P318" s="49"/>
      <c r="Q318" s="49"/>
      <c r="R318" s="15"/>
    </row>
    <row r="319" spans="1:19" ht="17.25" customHeight="1" x14ac:dyDescent="0.2">
      <c r="A319" s="1515" t="s">
        <v>289</v>
      </c>
      <c r="B319" s="1516"/>
      <c r="C319" s="1516"/>
      <c r="D319" s="1516"/>
      <c r="E319" s="1516"/>
      <c r="F319" s="1516"/>
      <c r="G319" s="708"/>
      <c r="H319" s="708"/>
      <c r="I319" s="708"/>
      <c r="J319" s="418">
        <f>SUMIF(I14:I297,"ES",J14:J297)</f>
        <v>0</v>
      </c>
      <c r="K319" s="709">
        <f>SUMIF(I14:I297,"ES",K14:K297)</f>
        <v>0</v>
      </c>
      <c r="L319" s="103">
        <f>SUMIF(I14:I297,"ES",L14:L297)</f>
        <v>1988</v>
      </c>
      <c r="M319" s="470">
        <f>SUMIF(I14:I297,"ES",M14:M297)</f>
        <v>2322.4</v>
      </c>
      <c r="N319" s="49"/>
      <c r="O319" s="49"/>
      <c r="P319" s="49"/>
      <c r="Q319" s="49"/>
      <c r="R319" s="15"/>
    </row>
    <row r="320" spans="1:19" ht="15" customHeight="1" x14ac:dyDescent="0.2">
      <c r="A320" s="1760" t="s">
        <v>66</v>
      </c>
      <c r="B320" s="1761"/>
      <c r="C320" s="1761"/>
      <c r="D320" s="1761"/>
      <c r="E320" s="1761"/>
      <c r="F320" s="1761"/>
      <c r="G320" s="1761"/>
      <c r="H320" s="1761"/>
      <c r="I320" s="1761"/>
      <c r="J320" s="325">
        <f>SUMIF(I14:I297,"lrvb",J14:J297)</f>
        <v>94</v>
      </c>
      <c r="K320" s="114">
        <f>SUMIF(I14:I297,"lrvb",K14:K297)</f>
        <v>0</v>
      </c>
      <c r="L320" s="120">
        <f>SUMIF(I14:I297,"lrvb",L14:L297)</f>
        <v>1343</v>
      </c>
      <c r="M320" s="118">
        <f>SUMIF(I14:I297,"lrvb",M14:M297)</f>
        <v>0</v>
      </c>
      <c r="N320" s="18"/>
      <c r="O320" s="18"/>
      <c r="P320" s="18"/>
      <c r="Q320" s="18"/>
      <c r="R320" s="15"/>
    </row>
    <row r="321" spans="1:18" ht="15" customHeight="1" x14ac:dyDescent="0.2">
      <c r="A321" s="1502" t="s">
        <v>185</v>
      </c>
      <c r="B321" s="1503"/>
      <c r="C321" s="1503"/>
      <c r="D321" s="1503"/>
      <c r="E321" s="1503"/>
      <c r="F321" s="1503"/>
      <c r="G321" s="1503"/>
      <c r="H321" s="1503"/>
      <c r="I321" s="1504"/>
      <c r="J321" s="326">
        <f>SUMIF(I16:I297,"kt",J16:J297)</f>
        <v>0</v>
      </c>
      <c r="K321" s="115">
        <f>SUMIF(I16:I297,"kt",K16:K297)</f>
        <v>189.9</v>
      </c>
      <c r="L321" s="480">
        <f>SUMIF(I14:I297,"kt",L14:L297)</f>
        <v>0</v>
      </c>
      <c r="M321" s="479">
        <f>SUMIF(I16:I297,"kt",M16:M297)</f>
        <v>0</v>
      </c>
      <c r="N321" s="18"/>
      <c r="O321" s="18"/>
      <c r="P321" s="18"/>
      <c r="Q321" s="18"/>
      <c r="R321" s="15"/>
    </row>
    <row r="322" spans="1:18" ht="16.5" customHeight="1" thickBot="1" x14ac:dyDescent="0.25">
      <c r="A322" s="1505" t="s">
        <v>21</v>
      </c>
      <c r="B322" s="1506"/>
      <c r="C322" s="1506"/>
      <c r="D322" s="1506"/>
      <c r="E322" s="1506"/>
      <c r="F322" s="1506"/>
      <c r="G322" s="1506"/>
      <c r="H322" s="1506"/>
      <c r="I322" s="1506"/>
      <c r="J322" s="266">
        <f>J318+J306</f>
        <v>124047.90299999999</v>
      </c>
      <c r="K322" s="36">
        <f t="shared" ref="K322:M322" si="14">K318+K306</f>
        <v>142426.50000000003</v>
      </c>
      <c r="L322" s="108">
        <f t="shared" si="14"/>
        <v>140305.60000000001</v>
      </c>
      <c r="M322" s="111">
        <f t="shared" si="14"/>
        <v>132334.9</v>
      </c>
      <c r="N322" s="49"/>
      <c r="O322" s="49"/>
      <c r="P322" s="49"/>
      <c r="Q322" s="49"/>
    </row>
    <row r="323" spans="1:18" ht="22.5" customHeight="1" x14ac:dyDescent="0.2">
      <c r="A323" s="1508" t="s">
        <v>103</v>
      </c>
      <c r="B323" s="1508"/>
      <c r="C323" s="1508"/>
      <c r="D323" s="1508"/>
      <c r="E323" s="1508"/>
      <c r="F323" s="1508"/>
      <c r="G323" s="1508"/>
      <c r="H323" s="1508"/>
      <c r="I323" s="1508"/>
      <c r="J323" s="1508"/>
      <c r="K323" s="1508"/>
      <c r="L323" s="1508"/>
      <c r="M323" s="1508"/>
      <c r="N323" s="1508"/>
      <c r="O323" s="1508"/>
      <c r="P323" s="1508"/>
      <c r="Q323" s="1508"/>
      <c r="R323" s="1508"/>
    </row>
    <row r="324" spans="1:18" x14ac:dyDescent="0.2">
      <c r="F324" s="17"/>
      <c r="G324" s="259"/>
      <c r="H324" s="937"/>
      <c r="I324" s="71"/>
      <c r="J324" s="71"/>
      <c r="K324" s="71"/>
      <c r="L324" s="71"/>
      <c r="M324" s="320">
        <f>+M322-M300</f>
        <v>0</v>
      </c>
      <c r="N324" s="14"/>
      <c r="O324" s="14"/>
      <c r="P324" s="14"/>
      <c r="Q324" s="14"/>
    </row>
    <row r="325" spans="1:18" x14ac:dyDescent="0.2">
      <c r="F325" s="17"/>
      <c r="G325" s="259"/>
      <c r="H325" s="937"/>
      <c r="I325" s="51"/>
      <c r="J325" s="51"/>
      <c r="K325" s="51"/>
      <c r="L325" s="51"/>
      <c r="M325" s="65"/>
      <c r="N325" s="78"/>
      <c r="O325" s="78"/>
      <c r="P325" s="78"/>
      <c r="Q325" s="78"/>
    </row>
    <row r="326" spans="1:18" x14ac:dyDescent="0.2">
      <c r="F326" s="17"/>
      <c r="G326" s="259"/>
      <c r="H326" s="937"/>
      <c r="I326" s="937"/>
      <c r="J326" s="937"/>
      <c r="K326" s="937"/>
      <c r="L326" s="937"/>
      <c r="M326" s="63"/>
    </row>
    <row r="327" spans="1:18" x14ac:dyDescent="0.2">
      <c r="F327" s="17"/>
      <c r="G327" s="259"/>
      <c r="H327" s="937"/>
      <c r="I327" s="937"/>
      <c r="J327" s="937"/>
      <c r="K327" s="937"/>
      <c r="L327" s="937"/>
      <c r="M327" s="63"/>
      <c r="R327" s="17"/>
    </row>
    <row r="328" spans="1:18" x14ac:dyDescent="0.2">
      <c r="F328" s="17"/>
      <c r="G328" s="259"/>
      <c r="H328" s="937"/>
      <c r="I328" s="937"/>
      <c r="J328" s="937"/>
      <c r="K328" s="937"/>
      <c r="L328" s="937"/>
      <c r="M328" s="63"/>
      <c r="R328" s="17"/>
    </row>
    <row r="329" spans="1:18" x14ac:dyDescent="0.2">
      <c r="F329" s="17"/>
      <c r="G329" s="259"/>
      <c r="H329" s="937"/>
      <c r="I329" s="937"/>
      <c r="J329" s="937"/>
      <c r="K329" s="937"/>
      <c r="L329" s="937"/>
      <c r="M329" s="63"/>
      <c r="R329" s="17"/>
    </row>
    <row r="330" spans="1:18" x14ac:dyDescent="0.2">
      <c r="F330" s="17"/>
      <c r="G330" s="259"/>
      <c r="H330" s="937"/>
      <c r="I330" s="937"/>
      <c r="J330" s="937"/>
      <c r="K330" s="937"/>
      <c r="L330" s="937"/>
      <c r="M330" s="63"/>
      <c r="R330" s="17"/>
    </row>
    <row r="331" spans="1:18" x14ac:dyDescent="0.2">
      <c r="F331" s="17"/>
      <c r="G331" s="259"/>
      <c r="H331" s="937"/>
      <c r="I331" s="937"/>
      <c r="J331" s="937"/>
      <c r="K331" s="937"/>
      <c r="L331" s="937"/>
      <c r="M331" s="63"/>
      <c r="R331" s="17"/>
    </row>
    <row r="332" spans="1:18" x14ac:dyDescent="0.2">
      <c r="A332" s="260"/>
      <c r="B332" s="260"/>
      <c r="C332" s="260"/>
      <c r="D332" s="34"/>
      <c r="E332" s="34"/>
      <c r="F332" s="17"/>
      <c r="G332" s="259"/>
      <c r="H332" s="937"/>
      <c r="I332" s="937"/>
      <c r="J332" s="937"/>
      <c r="K332" s="937"/>
      <c r="L332" s="937"/>
      <c r="M332" s="63"/>
      <c r="N332" s="17"/>
      <c r="O332" s="17"/>
      <c r="P332" s="17"/>
      <c r="Q332" s="17"/>
      <c r="R332" s="17"/>
    </row>
    <row r="333" spans="1:18" x14ac:dyDescent="0.2">
      <c r="A333" s="260"/>
      <c r="B333" s="260"/>
      <c r="C333" s="260"/>
      <c r="D333" s="34"/>
      <c r="E333" s="34"/>
      <c r="F333" s="17"/>
      <c r="G333" s="259"/>
      <c r="H333" s="937"/>
      <c r="I333" s="937"/>
      <c r="J333" s="937"/>
      <c r="K333" s="937"/>
      <c r="L333" s="937"/>
      <c r="M333" s="63"/>
      <c r="N333" s="17"/>
      <c r="O333" s="17"/>
      <c r="P333" s="17"/>
      <c r="Q333" s="17"/>
      <c r="R333" s="17"/>
    </row>
    <row r="334" spans="1:18" x14ac:dyDescent="0.2">
      <c r="A334" s="260"/>
      <c r="B334" s="260"/>
      <c r="C334" s="260"/>
      <c r="D334" s="34"/>
      <c r="E334" s="34"/>
      <c r="F334" s="17"/>
      <c r="G334" s="259"/>
      <c r="H334" s="937"/>
      <c r="I334" s="937"/>
      <c r="J334" s="937"/>
      <c r="K334" s="937"/>
      <c r="L334" s="937"/>
      <c r="M334" s="63"/>
      <c r="N334" s="17"/>
      <c r="O334" s="17"/>
      <c r="P334" s="17"/>
      <c r="Q334" s="17"/>
      <c r="R334" s="17"/>
    </row>
    <row r="335" spans="1:18" x14ac:dyDescent="0.2">
      <c r="A335" s="260"/>
      <c r="B335" s="260"/>
      <c r="C335" s="260"/>
      <c r="D335" s="34"/>
      <c r="E335" s="34"/>
      <c r="F335" s="17"/>
      <c r="G335" s="259"/>
      <c r="H335" s="937"/>
      <c r="I335" s="937"/>
      <c r="J335" s="937"/>
      <c r="K335" s="937"/>
      <c r="L335" s="937"/>
      <c r="M335" s="63"/>
      <c r="N335" s="17"/>
      <c r="O335" s="17"/>
      <c r="P335" s="17"/>
      <c r="Q335" s="17"/>
      <c r="R335" s="17"/>
    </row>
    <row r="336" spans="1:18" x14ac:dyDescent="0.2">
      <c r="A336" s="260"/>
      <c r="B336" s="260"/>
      <c r="C336" s="260"/>
      <c r="D336" s="34"/>
      <c r="E336" s="34"/>
      <c r="F336" s="17"/>
      <c r="G336" s="259"/>
      <c r="H336" s="937"/>
      <c r="I336" s="937"/>
      <c r="J336" s="937"/>
      <c r="K336" s="937"/>
      <c r="L336" s="937"/>
      <c r="M336" s="63"/>
      <c r="N336" s="17"/>
      <c r="O336" s="17"/>
      <c r="P336" s="17"/>
      <c r="Q336" s="17"/>
      <c r="R336" s="17"/>
    </row>
    <row r="337" spans="1:18" x14ac:dyDescent="0.2">
      <c r="A337" s="260"/>
      <c r="B337" s="260"/>
      <c r="C337" s="260"/>
      <c r="D337" s="34"/>
      <c r="E337" s="34"/>
      <c r="F337" s="17"/>
      <c r="G337" s="259"/>
      <c r="H337" s="937"/>
      <c r="I337" s="937"/>
      <c r="J337" s="937"/>
      <c r="K337" s="937"/>
      <c r="L337" s="937"/>
      <c r="M337" s="63"/>
      <c r="N337" s="17"/>
      <c r="O337" s="17"/>
      <c r="P337" s="17"/>
      <c r="Q337" s="17"/>
      <c r="R337" s="17"/>
    </row>
    <row r="338" spans="1:18" x14ac:dyDescent="0.2">
      <c r="A338" s="260"/>
      <c r="B338" s="260"/>
      <c r="C338" s="260"/>
      <c r="D338" s="34"/>
      <c r="E338" s="34"/>
      <c r="F338" s="17"/>
      <c r="G338" s="259"/>
      <c r="H338" s="937"/>
      <c r="I338" s="937"/>
      <c r="J338" s="937"/>
      <c r="K338" s="937"/>
      <c r="L338" s="937"/>
      <c r="M338" s="63"/>
      <c r="N338" s="17"/>
      <c r="O338" s="17"/>
      <c r="P338" s="17"/>
      <c r="Q338" s="17"/>
      <c r="R338" s="17"/>
    </row>
    <row r="339" spans="1:18" x14ac:dyDescent="0.2">
      <c r="A339" s="260"/>
      <c r="B339" s="260"/>
      <c r="C339" s="260"/>
      <c r="D339" s="34"/>
      <c r="E339" s="34"/>
      <c r="F339" s="17"/>
      <c r="G339" s="259"/>
      <c r="H339" s="937"/>
      <c r="I339" s="937"/>
      <c r="J339" s="937"/>
      <c r="K339" s="937"/>
      <c r="L339" s="937"/>
      <c r="M339" s="63"/>
      <c r="N339" s="17"/>
      <c r="O339" s="17"/>
      <c r="P339" s="17"/>
      <c r="Q339" s="17"/>
      <c r="R339" s="17"/>
    </row>
    <row r="340" spans="1:18" x14ac:dyDescent="0.2">
      <c r="A340" s="260"/>
      <c r="B340" s="260"/>
      <c r="C340" s="260"/>
      <c r="D340" s="34"/>
      <c r="E340" s="34"/>
      <c r="F340" s="17"/>
      <c r="G340" s="259"/>
      <c r="H340" s="937"/>
      <c r="I340" s="937"/>
      <c r="J340" s="937"/>
      <c r="K340" s="937"/>
      <c r="L340" s="937"/>
      <c r="M340" s="63"/>
      <c r="N340" s="17"/>
      <c r="O340" s="17"/>
      <c r="P340" s="17"/>
      <c r="Q340" s="17"/>
      <c r="R340" s="17"/>
    </row>
    <row r="341" spans="1:18" x14ac:dyDescent="0.2">
      <c r="A341" s="260"/>
      <c r="B341" s="260"/>
      <c r="C341" s="260"/>
      <c r="D341" s="34"/>
      <c r="E341" s="34"/>
      <c r="F341" s="17"/>
      <c r="G341" s="259"/>
      <c r="H341" s="937"/>
      <c r="I341" s="937"/>
      <c r="J341" s="937"/>
      <c r="K341" s="937"/>
      <c r="L341" s="937"/>
      <c r="M341" s="63"/>
      <c r="N341" s="17"/>
      <c r="O341" s="17"/>
      <c r="P341" s="17"/>
      <c r="Q341" s="17"/>
      <c r="R341" s="17"/>
    </row>
    <row r="342" spans="1:18" x14ac:dyDescent="0.2">
      <c r="A342" s="260"/>
      <c r="B342" s="260"/>
      <c r="C342" s="260"/>
      <c r="D342" s="34"/>
      <c r="E342" s="34"/>
      <c r="F342" s="17"/>
      <c r="G342" s="259"/>
      <c r="H342" s="937"/>
      <c r="I342" s="937"/>
      <c r="J342" s="937"/>
      <c r="K342" s="937"/>
      <c r="L342" s="937"/>
      <c r="M342" s="63"/>
      <c r="N342" s="17"/>
      <c r="O342" s="17"/>
      <c r="P342" s="17"/>
      <c r="Q342" s="17"/>
      <c r="R342" s="17"/>
    </row>
    <row r="343" spans="1:18" x14ac:dyDescent="0.2">
      <c r="A343" s="260"/>
      <c r="B343" s="260"/>
      <c r="C343" s="260"/>
      <c r="D343" s="34"/>
      <c r="E343" s="34"/>
      <c r="F343" s="17"/>
      <c r="G343" s="259"/>
      <c r="H343" s="937"/>
      <c r="I343" s="937"/>
      <c r="J343" s="937"/>
      <c r="K343" s="937"/>
      <c r="L343" s="937"/>
      <c r="M343" s="63"/>
      <c r="N343" s="17"/>
      <c r="O343" s="17"/>
      <c r="P343" s="17"/>
      <c r="Q343" s="17"/>
      <c r="R343" s="17"/>
    </row>
    <row r="344" spans="1:18" x14ac:dyDescent="0.2">
      <c r="A344" s="260"/>
      <c r="B344" s="260"/>
      <c r="C344" s="260"/>
      <c r="D344" s="34"/>
      <c r="E344" s="34"/>
      <c r="F344" s="17"/>
      <c r="G344" s="259"/>
      <c r="H344" s="937"/>
      <c r="I344" s="937"/>
      <c r="J344" s="937"/>
      <c r="K344" s="937"/>
      <c r="L344" s="937"/>
      <c r="M344" s="63"/>
      <c r="N344" s="17"/>
      <c r="O344" s="17"/>
      <c r="P344" s="17"/>
      <c r="Q344" s="17"/>
      <c r="R344" s="17"/>
    </row>
  </sheetData>
  <mergeCells count="297">
    <mergeCell ref="H1:R1"/>
    <mergeCell ref="A3:R3"/>
    <mergeCell ref="A4:R4"/>
    <mergeCell ref="A5:R5"/>
    <mergeCell ref="N6:R6"/>
    <mergeCell ref="A7:A9"/>
    <mergeCell ref="B7:B9"/>
    <mergeCell ref="C7:C9"/>
    <mergeCell ref="D7:D9"/>
    <mergeCell ref="E7:E9"/>
    <mergeCell ref="L7:L9"/>
    <mergeCell ref="M7:M9"/>
    <mergeCell ref="N7:R7"/>
    <mergeCell ref="N8:N9"/>
    <mergeCell ref="O8:O9"/>
    <mergeCell ref="P8:R8"/>
    <mergeCell ref="F7:F9"/>
    <mergeCell ref="G7:G9"/>
    <mergeCell ref="H7:H9"/>
    <mergeCell ref="I7:I9"/>
    <mergeCell ref="J7:J9"/>
    <mergeCell ref="K7:K9"/>
    <mergeCell ref="F23:F25"/>
    <mergeCell ref="F26:F27"/>
    <mergeCell ref="I26:I27"/>
    <mergeCell ref="J26:J27"/>
    <mergeCell ref="K26:K27"/>
    <mergeCell ref="L26:L27"/>
    <mergeCell ref="A10:R10"/>
    <mergeCell ref="A11:R11"/>
    <mergeCell ref="B12:R12"/>
    <mergeCell ref="C13:R13"/>
    <mergeCell ref="H14:H16"/>
    <mergeCell ref="F15:F19"/>
    <mergeCell ref="H19:H22"/>
    <mergeCell ref="M26:M27"/>
    <mergeCell ref="F28:F31"/>
    <mergeCell ref="N29:N30"/>
    <mergeCell ref="O29:O30"/>
    <mergeCell ref="R29:R30"/>
    <mergeCell ref="F36:F39"/>
    <mergeCell ref="N36:N37"/>
    <mergeCell ref="O36:O37"/>
    <mergeCell ref="R36:R37"/>
    <mergeCell ref="F56:F59"/>
    <mergeCell ref="N56:N57"/>
    <mergeCell ref="O56:O57"/>
    <mergeCell ref="R56:R57"/>
    <mergeCell ref="F62:F63"/>
    <mergeCell ref="N62:N63"/>
    <mergeCell ref="O62:O63"/>
    <mergeCell ref="R62:R63"/>
    <mergeCell ref="S36:S39"/>
    <mergeCell ref="F40:F45"/>
    <mergeCell ref="N43:N44"/>
    <mergeCell ref="N47:N48"/>
    <mergeCell ref="F51:F53"/>
    <mergeCell ref="S51:U53"/>
    <mergeCell ref="N82:N83"/>
    <mergeCell ref="D83:D85"/>
    <mergeCell ref="E83:E85"/>
    <mergeCell ref="F89:F90"/>
    <mergeCell ref="H91:H102"/>
    <mergeCell ref="F96:F97"/>
    <mergeCell ref="N96:N97"/>
    <mergeCell ref="F65:F69"/>
    <mergeCell ref="N67:N69"/>
    <mergeCell ref="F73:F75"/>
    <mergeCell ref="F77:F79"/>
    <mergeCell ref="F80:F85"/>
    <mergeCell ref="I80:I81"/>
    <mergeCell ref="J80:J81"/>
    <mergeCell ref="K80:K81"/>
    <mergeCell ref="L80:L81"/>
    <mergeCell ref="M80:M81"/>
    <mergeCell ref="S110:T110"/>
    <mergeCell ref="F111:F112"/>
    <mergeCell ref="G112:I112"/>
    <mergeCell ref="H113:H114"/>
    <mergeCell ref="S114:U115"/>
    <mergeCell ref="F115:F116"/>
    <mergeCell ref="G115:G116"/>
    <mergeCell ref="N115:N116"/>
    <mergeCell ref="O96:O97"/>
    <mergeCell ref="P96:P97"/>
    <mergeCell ref="Q96:Q97"/>
    <mergeCell ref="R96:R97"/>
    <mergeCell ref="F98:F101"/>
    <mergeCell ref="F108:F109"/>
    <mergeCell ref="H108:H109"/>
    <mergeCell ref="F118:F121"/>
    <mergeCell ref="N119:N121"/>
    <mergeCell ref="F122:F125"/>
    <mergeCell ref="H122:H125"/>
    <mergeCell ref="J122:J124"/>
    <mergeCell ref="K122:K124"/>
    <mergeCell ref="L122:L124"/>
    <mergeCell ref="M122:M124"/>
    <mergeCell ref="N124:N125"/>
    <mergeCell ref="F128:F129"/>
    <mergeCell ref="H128:H129"/>
    <mergeCell ref="N128:N129"/>
    <mergeCell ref="F130:F131"/>
    <mergeCell ref="H130:H131"/>
    <mergeCell ref="C132:I132"/>
    <mergeCell ref="N132:R132"/>
    <mergeCell ref="P124:P125"/>
    <mergeCell ref="Q124:Q125"/>
    <mergeCell ref="R124:R125"/>
    <mergeCell ref="F126:F127"/>
    <mergeCell ref="H126:H127"/>
    <mergeCell ref="N126:N127"/>
    <mergeCell ref="B133:I133"/>
    <mergeCell ref="N133:R133"/>
    <mergeCell ref="B134:R134"/>
    <mergeCell ref="C135:R135"/>
    <mergeCell ref="A136:A139"/>
    <mergeCell ref="B136:B139"/>
    <mergeCell ref="C136:C139"/>
    <mergeCell ref="F136:F139"/>
    <mergeCell ref="G136:G139"/>
    <mergeCell ref="H137:H138"/>
    <mergeCell ref="F149:F151"/>
    <mergeCell ref="H149:H151"/>
    <mergeCell ref="N149:N151"/>
    <mergeCell ref="F153:F157"/>
    <mergeCell ref="H153:H154"/>
    <mergeCell ref="F158:F162"/>
    <mergeCell ref="H158:H160"/>
    <mergeCell ref="N158:N159"/>
    <mergeCell ref="N137:N138"/>
    <mergeCell ref="H140:H141"/>
    <mergeCell ref="F142:F144"/>
    <mergeCell ref="N142:N143"/>
    <mergeCell ref="F145:F147"/>
    <mergeCell ref="H145:H148"/>
    <mergeCell ref="I169:I170"/>
    <mergeCell ref="J169:J170"/>
    <mergeCell ref="K169:K170"/>
    <mergeCell ref="L169:L170"/>
    <mergeCell ref="M169:M170"/>
    <mergeCell ref="E171:E173"/>
    <mergeCell ref="F171:F173"/>
    <mergeCell ref="H171:H173"/>
    <mergeCell ref="F163:F164"/>
    <mergeCell ref="H163:H164"/>
    <mergeCell ref="F165:F166"/>
    <mergeCell ref="H165:H166"/>
    <mergeCell ref="H167:H168"/>
    <mergeCell ref="F169:F170"/>
    <mergeCell ref="H169:H170"/>
    <mergeCell ref="I176:I177"/>
    <mergeCell ref="J176:J177"/>
    <mergeCell ref="K176:K177"/>
    <mergeCell ref="L176:L177"/>
    <mergeCell ref="M176:M177"/>
    <mergeCell ref="S176:U177"/>
    <mergeCell ref="S171:U172"/>
    <mergeCell ref="E174:E175"/>
    <mergeCell ref="F174:F175"/>
    <mergeCell ref="N174:N175"/>
    <mergeCell ref="O174:O175"/>
    <mergeCell ref="P174:P175"/>
    <mergeCell ref="Q174:Q175"/>
    <mergeCell ref="R174:R175"/>
    <mergeCell ref="S174:U175"/>
    <mergeCell ref="F191:F192"/>
    <mergeCell ref="I191:I192"/>
    <mergeCell ref="H192:H195"/>
    <mergeCell ref="F193:F196"/>
    <mergeCell ref="N193:N194"/>
    <mergeCell ref="S193:V196"/>
    <mergeCell ref="N195:N196"/>
    <mergeCell ref="H178:H182"/>
    <mergeCell ref="F181:F182"/>
    <mergeCell ref="N181:N182"/>
    <mergeCell ref="F185:F186"/>
    <mergeCell ref="H185:H186"/>
    <mergeCell ref="F187:F190"/>
    <mergeCell ref="H187:H190"/>
    <mergeCell ref="F203:F204"/>
    <mergeCell ref="H203:H204"/>
    <mergeCell ref="S204:W205"/>
    <mergeCell ref="F205:F207"/>
    <mergeCell ref="H205:H207"/>
    <mergeCell ref="F208:F209"/>
    <mergeCell ref="H208:H209"/>
    <mergeCell ref="N208:N209"/>
    <mergeCell ref="F197:F198"/>
    <mergeCell ref="H197:H198"/>
    <mergeCell ref="N197:N198"/>
    <mergeCell ref="F200:F202"/>
    <mergeCell ref="N200:N202"/>
    <mergeCell ref="S200:T202"/>
    <mergeCell ref="N224:N225"/>
    <mergeCell ref="G225:I225"/>
    <mergeCell ref="C226:I226"/>
    <mergeCell ref="C227:R227"/>
    <mergeCell ref="H228:H237"/>
    <mergeCell ref="F229:F230"/>
    <mergeCell ref="E231:E232"/>
    <mergeCell ref="G210:I210"/>
    <mergeCell ref="H211:H224"/>
    <mergeCell ref="F212:F213"/>
    <mergeCell ref="F215:F216"/>
    <mergeCell ref="I215:I216"/>
    <mergeCell ref="F222:F223"/>
    <mergeCell ref="F224:F225"/>
    <mergeCell ref="S231:U231"/>
    <mergeCell ref="F233:F234"/>
    <mergeCell ref="F235:F237"/>
    <mergeCell ref="N236:N237"/>
    <mergeCell ref="D239:D240"/>
    <mergeCell ref="E239:E240"/>
    <mergeCell ref="F239:F240"/>
    <mergeCell ref="H239:H242"/>
    <mergeCell ref="I239:I240"/>
    <mergeCell ref="J239:J240"/>
    <mergeCell ref="K239:K240"/>
    <mergeCell ref="L239:L240"/>
    <mergeCell ref="M239:M240"/>
    <mergeCell ref="F241:F242"/>
    <mergeCell ref="D243:D244"/>
    <mergeCell ref="E243:E244"/>
    <mergeCell ref="F243:F244"/>
    <mergeCell ref="G243:G244"/>
    <mergeCell ref="H243:H248"/>
    <mergeCell ref="F245:F248"/>
    <mergeCell ref="C249:I249"/>
    <mergeCell ref="C250:R250"/>
    <mergeCell ref="F251:F252"/>
    <mergeCell ref="H251:H252"/>
    <mergeCell ref="R247:R248"/>
    <mergeCell ref="D253:D256"/>
    <mergeCell ref="E253:E256"/>
    <mergeCell ref="F253:F256"/>
    <mergeCell ref="H253:H254"/>
    <mergeCell ref="J245:J247"/>
    <mergeCell ref="M245:M247"/>
    <mergeCell ref="N247:N248"/>
    <mergeCell ref="P247:P248"/>
    <mergeCell ref="Q247:Q248"/>
    <mergeCell ref="H274:H275"/>
    <mergeCell ref="A276:A277"/>
    <mergeCell ref="B276:B277"/>
    <mergeCell ref="F276:F277"/>
    <mergeCell ref="G276:G277"/>
    <mergeCell ref="H276:H277"/>
    <mergeCell ref="H257:H258"/>
    <mergeCell ref="F258:F259"/>
    <mergeCell ref="N258:N259"/>
    <mergeCell ref="N263:N264"/>
    <mergeCell ref="F268:F269"/>
    <mergeCell ref="G268:G269"/>
    <mergeCell ref="N276:N277"/>
    <mergeCell ref="F278:F279"/>
    <mergeCell ref="G278:G280"/>
    <mergeCell ref="H278:H279"/>
    <mergeCell ref="F282:F283"/>
    <mergeCell ref="H282:H285"/>
    <mergeCell ref="F284:F289"/>
    <mergeCell ref="H286:H289"/>
    <mergeCell ref="N286:N289"/>
    <mergeCell ref="H290:H292"/>
    <mergeCell ref="H293:H297"/>
    <mergeCell ref="N293:N295"/>
    <mergeCell ref="I295:I296"/>
    <mergeCell ref="J295:J296"/>
    <mergeCell ref="K295:K296"/>
    <mergeCell ref="L295:L296"/>
    <mergeCell ref="M295:M296"/>
    <mergeCell ref="N296:N297"/>
    <mergeCell ref="A305:I305"/>
    <mergeCell ref="A306:I306"/>
    <mergeCell ref="A307:I307"/>
    <mergeCell ref="A308:I308"/>
    <mergeCell ref="A309:I309"/>
    <mergeCell ref="A310:I310"/>
    <mergeCell ref="C298:I298"/>
    <mergeCell ref="B299:I299"/>
    <mergeCell ref="B300:I300"/>
    <mergeCell ref="A301:R301"/>
    <mergeCell ref="A303:M303"/>
    <mergeCell ref="A304:M304"/>
    <mergeCell ref="A323:R323"/>
    <mergeCell ref="A317:I317"/>
    <mergeCell ref="A318:I318"/>
    <mergeCell ref="A319:F319"/>
    <mergeCell ref="A320:I320"/>
    <mergeCell ref="A321:I321"/>
    <mergeCell ref="A322:I322"/>
    <mergeCell ref="A311:I311"/>
    <mergeCell ref="A312:I312"/>
    <mergeCell ref="A313:I313"/>
    <mergeCell ref="A314:I314"/>
    <mergeCell ref="A315:I315"/>
    <mergeCell ref="A316:I316"/>
  </mergeCells>
  <pageMargins left="0.70866141732283472" right="0.70866141732283472" top="0.74803149606299213" bottom="0.74803149606299213" header="0.31496062992125984" footer="0.31496062992125984"/>
  <pageSetup paperSize="9" scale="55" orientation="portrait" r:id="rId1"/>
  <rowBreaks count="6" manualBreakCount="6">
    <brk id="55" max="17" man="1"/>
    <brk id="102" max="17" man="1"/>
    <brk id="148" max="17" man="1"/>
    <brk id="199" max="17" man="1"/>
    <brk id="249" max="17" man="1"/>
    <brk id="292" max="1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zoomScaleNormal="100" workbookViewId="0">
      <selection activeCell="D8" sqref="D8"/>
    </sheetView>
  </sheetViews>
  <sheetFormatPr defaultRowHeight="12.75" x14ac:dyDescent="0.2"/>
  <cols>
    <col min="1" max="1" width="4.7109375" customWidth="1"/>
    <col min="2" max="3" width="19.7109375" customWidth="1"/>
    <col min="4" max="4" width="19.7109375" style="803" customWidth="1"/>
    <col min="5" max="5" width="19.7109375" customWidth="1"/>
  </cols>
  <sheetData>
    <row r="1" spans="1:5" ht="41.45" customHeight="1" x14ac:dyDescent="0.2">
      <c r="A1" s="1908" t="s">
        <v>492</v>
      </c>
      <c r="B1" s="1908"/>
      <c r="C1" s="1908"/>
      <c r="D1" s="1908"/>
      <c r="E1" s="1908"/>
    </row>
    <row r="2" spans="1:5" ht="15.75" x14ac:dyDescent="0.2">
      <c r="A2" s="793" t="s">
        <v>343</v>
      </c>
      <c r="B2" s="793" t="s">
        <v>19</v>
      </c>
      <c r="C2" s="793" t="s">
        <v>344</v>
      </c>
      <c r="D2" s="793" t="s">
        <v>345</v>
      </c>
      <c r="E2" s="793" t="s">
        <v>346</v>
      </c>
    </row>
    <row r="3" spans="1:5" ht="31.5" x14ac:dyDescent="0.2">
      <c r="A3" s="793" t="s">
        <v>347</v>
      </c>
      <c r="B3" s="794" t="s">
        <v>348</v>
      </c>
      <c r="C3" s="794" t="s">
        <v>349</v>
      </c>
      <c r="D3" s="793">
        <v>5372.91</v>
      </c>
      <c r="E3" s="793"/>
    </row>
    <row r="4" spans="1:5" ht="31.5" x14ac:dyDescent="0.2">
      <c r="A4" s="793" t="s">
        <v>350</v>
      </c>
      <c r="B4" s="794" t="s">
        <v>351</v>
      </c>
      <c r="C4" s="794" t="s">
        <v>352</v>
      </c>
      <c r="D4" s="793">
        <v>6250.48</v>
      </c>
      <c r="E4" s="793"/>
    </row>
    <row r="5" spans="1:5" ht="31.5" x14ac:dyDescent="0.2">
      <c r="A5" s="793" t="s">
        <v>353</v>
      </c>
      <c r="B5" s="794" t="s">
        <v>354</v>
      </c>
      <c r="C5" s="794" t="s">
        <v>355</v>
      </c>
      <c r="D5" s="793">
        <v>5607</v>
      </c>
      <c r="E5" s="793"/>
    </row>
    <row r="6" spans="1:5" ht="31.5" x14ac:dyDescent="0.2">
      <c r="A6" s="793" t="s">
        <v>356</v>
      </c>
      <c r="B6" s="794" t="s">
        <v>357</v>
      </c>
      <c r="C6" s="794" t="s">
        <v>358</v>
      </c>
      <c r="D6" s="793">
        <v>4848.7</v>
      </c>
      <c r="E6" s="793"/>
    </row>
    <row r="7" spans="1:5" ht="31.5" x14ac:dyDescent="0.2">
      <c r="A7" s="793" t="s">
        <v>359</v>
      </c>
      <c r="B7" s="794" t="s">
        <v>360</v>
      </c>
      <c r="C7" s="794" t="s">
        <v>361</v>
      </c>
      <c r="D7" s="793">
        <v>3605.67</v>
      </c>
      <c r="E7" s="793"/>
    </row>
    <row r="8" spans="1:5" ht="31.5" x14ac:dyDescent="0.2">
      <c r="A8" s="795" t="s">
        <v>362</v>
      </c>
      <c r="B8" s="796" t="s">
        <v>363</v>
      </c>
      <c r="C8" s="796" t="s">
        <v>364</v>
      </c>
      <c r="D8" s="795">
        <v>9534.0300000000007</v>
      </c>
      <c r="E8" s="795" t="s">
        <v>365</v>
      </c>
    </row>
    <row r="9" spans="1:5" ht="31.5" x14ac:dyDescent="0.2">
      <c r="A9" s="795" t="s">
        <v>366</v>
      </c>
      <c r="B9" s="796" t="s">
        <v>367</v>
      </c>
      <c r="C9" s="796" t="s">
        <v>368</v>
      </c>
      <c r="D9" s="795">
        <v>6331.55</v>
      </c>
      <c r="E9" s="795" t="s">
        <v>365</v>
      </c>
    </row>
    <row r="10" spans="1:5" ht="31.5" x14ac:dyDescent="0.2">
      <c r="A10" s="795" t="s">
        <v>369</v>
      </c>
      <c r="B10" s="796" t="s">
        <v>370</v>
      </c>
      <c r="C10" s="796" t="s">
        <v>371</v>
      </c>
      <c r="D10" s="795">
        <v>6727.55</v>
      </c>
      <c r="E10" s="795" t="s">
        <v>365</v>
      </c>
    </row>
    <row r="11" spans="1:5" ht="31.5" x14ac:dyDescent="0.2">
      <c r="A11" s="793" t="s">
        <v>372</v>
      </c>
      <c r="B11" s="794" t="s">
        <v>373</v>
      </c>
      <c r="C11" s="794" t="s">
        <v>374</v>
      </c>
      <c r="D11" s="793">
        <v>8932.52</v>
      </c>
      <c r="E11" s="793"/>
    </row>
    <row r="12" spans="1:5" ht="31.5" x14ac:dyDescent="0.2">
      <c r="A12" s="793" t="s">
        <v>375</v>
      </c>
      <c r="B12" s="794" t="s">
        <v>376</v>
      </c>
      <c r="C12" s="794" t="s">
        <v>377</v>
      </c>
      <c r="D12" s="793">
        <v>6201.1</v>
      </c>
      <c r="E12" s="793"/>
    </row>
    <row r="13" spans="1:5" ht="31.5" x14ac:dyDescent="0.2">
      <c r="A13" s="795" t="s">
        <v>378</v>
      </c>
      <c r="B13" s="796" t="s">
        <v>379</v>
      </c>
      <c r="C13" s="796" t="s">
        <v>380</v>
      </c>
      <c r="D13" s="795">
        <v>6973.99</v>
      </c>
      <c r="E13" s="795" t="s">
        <v>365</v>
      </c>
    </row>
    <row r="14" spans="1:5" ht="31.5" x14ac:dyDescent="0.2">
      <c r="A14" s="793" t="s">
        <v>381</v>
      </c>
      <c r="B14" s="794" t="s">
        <v>382</v>
      </c>
      <c r="C14" s="794" t="s">
        <v>383</v>
      </c>
      <c r="D14" s="793">
        <v>5040.8</v>
      </c>
      <c r="E14" s="793"/>
    </row>
    <row r="15" spans="1:5" ht="31.5" x14ac:dyDescent="0.2">
      <c r="A15" s="793" t="s">
        <v>384</v>
      </c>
      <c r="B15" s="794" t="s">
        <v>385</v>
      </c>
      <c r="C15" s="794" t="s">
        <v>386</v>
      </c>
      <c r="D15" s="793">
        <v>1435.48</v>
      </c>
      <c r="E15" s="794" t="s">
        <v>387</v>
      </c>
    </row>
    <row r="16" spans="1:5" ht="31.5" x14ac:dyDescent="0.2">
      <c r="A16" s="797">
        <v>44209</v>
      </c>
      <c r="B16" s="794" t="s">
        <v>388</v>
      </c>
      <c r="C16" s="794" t="s">
        <v>389</v>
      </c>
      <c r="D16" s="793">
        <v>7183.51</v>
      </c>
      <c r="E16" s="793"/>
    </row>
    <row r="17" spans="1:5" ht="31.5" x14ac:dyDescent="0.2">
      <c r="A17" s="793" t="s">
        <v>390</v>
      </c>
      <c r="B17" s="794" t="s">
        <v>391</v>
      </c>
      <c r="C17" s="794" t="s">
        <v>392</v>
      </c>
      <c r="D17" s="793">
        <v>6237.11</v>
      </c>
      <c r="E17" s="793" t="s">
        <v>393</v>
      </c>
    </row>
    <row r="18" spans="1:5" ht="31.5" x14ac:dyDescent="0.2">
      <c r="A18" s="793" t="s">
        <v>394</v>
      </c>
      <c r="B18" s="794" t="s">
        <v>395</v>
      </c>
      <c r="C18" s="794" t="s">
        <v>396</v>
      </c>
      <c r="D18" s="804">
        <v>3933.74</v>
      </c>
      <c r="E18" s="793"/>
    </row>
    <row r="19" spans="1:5" ht="31.5" x14ac:dyDescent="0.2">
      <c r="A19" s="793" t="s">
        <v>397</v>
      </c>
      <c r="B19" s="794" t="s">
        <v>398</v>
      </c>
      <c r="C19" s="794" t="s">
        <v>399</v>
      </c>
      <c r="D19" s="793">
        <v>6709.89</v>
      </c>
      <c r="E19" s="793"/>
    </row>
    <row r="20" spans="1:5" ht="31.5" x14ac:dyDescent="0.2">
      <c r="A20" s="793" t="s">
        <v>400</v>
      </c>
      <c r="B20" s="794" t="s">
        <v>401</v>
      </c>
      <c r="C20" s="794" t="s">
        <v>349</v>
      </c>
      <c r="D20" s="793">
        <v>2005.14</v>
      </c>
      <c r="E20" s="793"/>
    </row>
    <row r="21" spans="1:5" ht="31.5" x14ac:dyDescent="0.2">
      <c r="A21" s="795" t="s">
        <v>402</v>
      </c>
      <c r="B21" s="796" t="s">
        <v>403</v>
      </c>
      <c r="C21" s="796" t="s">
        <v>404</v>
      </c>
      <c r="D21" s="795">
        <v>6373.35</v>
      </c>
      <c r="E21" s="795" t="s">
        <v>365</v>
      </c>
    </row>
    <row r="22" spans="1:5" ht="31.5" x14ac:dyDescent="0.2">
      <c r="A22" s="795" t="s">
        <v>405</v>
      </c>
      <c r="B22" s="796" t="s">
        <v>406</v>
      </c>
      <c r="C22" s="796" t="s">
        <v>407</v>
      </c>
      <c r="D22" s="795">
        <v>6321.78</v>
      </c>
      <c r="E22" s="795" t="s">
        <v>365</v>
      </c>
    </row>
    <row r="23" spans="1:5" ht="31.5" x14ac:dyDescent="0.2">
      <c r="A23" s="795" t="s">
        <v>408</v>
      </c>
      <c r="B23" s="796" t="s">
        <v>409</v>
      </c>
      <c r="C23" s="796" t="s">
        <v>410</v>
      </c>
      <c r="D23" s="795">
        <v>9376.43</v>
      </c>
      <c r="E23" s="795" t="s">
        <v>365</v>
      </c>
    </row>
    <row r="24" spans="1:5" ht="31.5" x14ac:dyDescent="0.2">
      <c r="A24" s="793" t="s">
        <v>411</v>
      </c>
      <c r="B24" s="794" t="s">
        <v>412</v>
      </c>
      <c r="C24" s="794" t="s">
        <v>413</v>
      </c>
      <c r="D24" s="793">
        <v>5773.89</v>
      </c>
      <c r="E24" s="793"/>
    </row>
    <row r="25" spans="1:5" ht="31.5" x14ac:dyDescent="0.2">
      <c r="A25" s="793" t="s">
        <v>414</v>
      </c>
      <c r="B25" s="794" t="s">
        <v>415</v>
      </c>
      <c r="C25" s="794" t="s">
        <v>416</v>
      </c>
      <c r="D25" s="793">
        <v>7066.44</v>
      </c>
      <c r="E25" s="793"/>
    </row>
    <row r="26" spans="1:5" ht="31.5" x14ac:dyDescent="0.2">
      <c r="A26" s="795" t="s">
        <v>417</v>
      </c>
      <c r="B26" s="796" t="s">
        <v>418</v>
      </c>
      <c r="C26" s="796" t="s">
        <v>419</v>
      </c>
      <c r="D26" s="795">
        <v>6329.65</v>
      </c>
      <c r="E26" s="795" t="s">
        <v>365</v>
      </c>
    </row>
    <row r="27" spans="1:5" ht="31.5" x14ac:dyDescent="0.2">
      <c r="A27" s="793" t="s">
        <v>420</v>
      </c>
      <c r="B27" s="794" t="s">
        <v>421</v>
      </c>
      <c r="C27" s="794" t="s">
        <v>422</v>
      </c>
      <c r="D27" s="793">
        <v>4445.7700000000004</v>
      </c>
      <c r="E27" s="793"/>
    </row>
    <row r="28" spans="1:5" ht="31.5" x14ac:dyDescent="0.2">
      <c r="A28" s="795" t="s">
        <v>423</v>
      </c>
      <c r="B28" s="796" t="s">
        <v>424</v>
      </c>
      <c r="C28" s="796" t="s">
        <v>425</v>
      </c>
      <c r="D28" s="795">
        <v>4691.7700000000004</v>
      </c>
      <c r="E28" s="795" t="s">
        <v>365</v>
      </c>
    </row>
    <row r="29" spans="1:5" ht="31.5" x14ac:dyDescent="0.2">
      <c r="A29" s="795" t="s">
        <v>426</v>
      </c>
      <c r="B29" s="796" t="s">
        <v>427</v>
      </c>
      <c r="C29" s="796" t="s">
        <v>428</v>
      </c>
      <c r="D29" s="795">
        <v>6197.05</v>
      </c>
      <c r="E29" s="795" t="s">
        <v>365</v>
      </c>
    </row>
    <row r="30" spans="1:5" ht="31.5" x14ac:dyDescent="0.2">
      <c r="A30" s="795" t="s">
        <v>429</v>
      </c>
      <c r="B30" s="796" t="s">
        <v>430</v>
      </c>
      <c r="C30" s="796" t="s">
        <v>431</v>
      </c>
      <c r="D30" s="795">
        <v>12603.6</v>
      </c>
      <c r="E30" s="795" t="s">
        <v>365</v>
      </c>
    </row>
    <row r="31" spans="1:5" ht="31.5" x14ac:dyDescent="0.2">
      <c r="A31" s="793" t="s">
        <v>432</v>
      </c>
      <c r="B31" s="794" t="s">
        <v>433</v>
      </c>
      <c r="C31" s="794" t="s">
        <v>434</v>
      </c>
      <c r="D31" s="804">
        <v>1467.03</v>
      </c>
      <c r="E31" s="793"/>
    </row>
    <row r="32" spans="1:5" ht="31.5" x14ac:dyDescent="0.2">
      <c r="A32" s="795" t="s">
        <v>435</v>
      </c>
      <c r="B32" s="796" t="s">
        <v>436</v>
      </c>
      <c r="C32" s="796" t="s">
        <v>437</v>
      </c>
      <c r="D32" s="795">
        <v>5742.79</v>
      </c>
      <c r="E32" s="795" t="s">
        <v>365</v>
      </c>
    </row>
    <row r="33" spans="1:5" ht="31.5" x14ac:dyDescent="0.2">
      <c r="A33" s="793" t="s">
        <v>438</v>
      </c>
      <c r="B33" s="794" t="s">
        <v>439</v>
      </c>
      <c r="C33" s="794" t="s">
        <v>440</v>
      </c>
      <c r="D33" s="798">
        <v>6174.64</v>
      </c>
      <c r="E33" s="798"/>
    </row>
    <row r="34" spans="1:5" ht="31.5" x14ac:dyDescent="0.2">
      <c r="A34" s="795" t="s">
        <v>441</v>
      </c>
      <c r="B34" s="796" t="s">
        <v>442</v>
      </c>
      <c r="C34" s="796" t="s">
        <v>443</v>
      </c>
      <c r="D34" s="795">
        <v>4809.07</v>
      </c>
      <c r="E34" s="795" t="s">
        <v>365</v>
      </c>
    </row>
    <row r="35" spans="1:5" ht="31.5" x14ac:dyDescent="0.2">
      <c r="A35" s="793" t="s">
        <v>444</v>
      </c>
      <c r="B35" s="794" t="s">
        <v>445</v>
      </c>
      <c r="C35" s="794" t="s">
        <v>446</v>
      </c>
      <c r="D35" s="793">
        <v>7144.01</v>
      </c>
      <c r="E35" s="793"/>
    </row>
    <row r="36" spans="1:5" ht="31.5" x14ac:dyDescent="0.2">
      <c r="A36" s="793" t="s">
        <v>447</v>
      </c>
      <c r="B36" s="794" t="s">
        <v>448</v>
      </c>
      <c r="C36" s="794" t="s">
        <v>449</v>
      </c>
      <c r="D36" s="793">
        <v>3848.58</v>
      </c>
      <c r="E36" s="793"/>
    </row>
    <row r="37" spans="1:5" ht="31.5" x14ac:dyDescent="0.2">
      <c r="A37" s="793" t="s">
        <v>450</v>
      </c>
      <c r="B37" s="794" t="s">
        <v>451</v>
      </c>
      <c r="C37" s="794" t="s">
        <v>452</v>
      </c>
      <c r="D37" s="793">
        <v>1688.97</v>
      </c>
      <c r="E37" s="793"/>
    </row>
    <row r="38" spans="1:5" ht="31.5" x14ac:dyDescent="0.2">
      <c r="A38" s="793" t="s">
        <v>453</v>
      </c>
      <c r="B38" s="794" t="s">
        <v>454</v>
      </c>
      <c r="C38" s="794" t="s">
        <v>455</v>
      </c>
      <c r="D38" s="793">
        <v>1576.08</v>
      </c>
      <c r="E38" s="793"/>
    </row>
    <row r="39" spans="1:5" ht="31.5" x14ac:dyDescent="0.2">
      <c r="A39" s="795" t="s">
        <v>456</v>
      </c>
      <c r="B39" s="796" t="s">
        <v>457</v>
      </c>
      <c r="C39" s="796" t="s">
        <v>458</v>
      </c>
      <c r="D39" s="795">
        <v>2714.81</v>
      </c>
      <c r="E39" s="795" t="s">
        <v>365</v>
      </c>
    </row>
    <row r="40" spans="1:5" ht="31.5" x14ac:dyDescent="0.2">
      <c r="A40" s="793" t="s">
        <v>459</v>
      </c>
      <c r="B40" s="794" t="s">
        <v>460</v>
      </c>
      <c r="C40" s="794" t="s">
        <v>461</v>
      </c>
      <c r="D40" s="793">
        <v>2382.7600000000002</v>
      </c>
      <c r="E40" s="793"/>
    </row>
    <row r="41" spans="1:5" ht="31.5" x14ac:dyDescent="0.2">
      <c r="A41" s="793" t="s">
        <v>462</v>
      </c>
      <c r="B41" s="794" t="s">
        <v>463</v>
      </c>
      <c r="C41" s="794" t="s">
        <v>464</v>
      </c>
      <c r="D41" s="793">
        <v>2848.38</v>
      </c>
      <c r="E41" s="793"/>
    </row>
    <row r="42" spans="1:5" ht="31.5" x14ac:dyDescent="0.2">
      <c r="A42" s="793" t="s">
        <v>465</v>
      </c>
      <c r="B42" s="794" t="s">
        <v>466</v>
      </c>
      <c r="C42" s="794" t="s">
        <v>467</v>
      </c>
      <c r="D42" s="793">
        <v>1800.22</v>
      </c>
      <c r="E42" s="793"/>
    </row>
    <row r="43" spans="1:5" ht="31.5" x14ac:dyDescent="0.2">
      <c r="A43" s="793" t="s">
        <v>468</v>
      </c>
      <c r="B43" s="794" t="s">
        <v>469</v>
      </c>
      <c r="C43" s="794" t="s">
        <v>470</v>
      </c>
      <c r="D43" s="793">
        <v>2377.09</v>
      </c>
      <c r="E43" s="793"/>
    </row>
    <row r="44" spans="1:5" ht="31.5" x14ac:dyDescent="0.2">
      <c r="A44" s="799" t="s">
        <v>471</v>
      </c>
      <c r="B44" s="800" t="s">
        <v>472</v>
      </c>
      <c r="C44" s="800" t="s">
        <v>473</v>
      </c>
      <c r="D44" s="799" t="s">
        <v>474</v>
      </c>
      <c r="E44" s="799" t="s">
        <v>475</v>
      </c>
    </row>
    <row r="45" spans="1:5" ht="15.75" x14ac:dyDescent="0.2">
      <c r="A45" s="799" t="s">
        <v>476</v>
      </c>
      <c r="B45" s="800" t="s">
        <v>477</v>
      </c>
      <c r="C45" s="800" t="s">
        <v>478</v>
      </c>
      <c r="D45" s="799" t="s">
        <v>474</v>
      </c>
      <c r="E45" s="799" t="s">
        <v>475</v>
      </c>
    </row>
    <row r="46" spans="1:5" ht="15.75" x14ac:dyDescent="0.2">
      <c r="A46" s="793" t="s">
        <v>479</v>
      </c>
      <c r="B46" s="794" t="s">
        <v>480</v>
      </c>
      <c r="C46" s="794" t="s">
        <v>481</v>
      </c>
      <c r="D46" s="793">
        <v>289.83999999999997</v>
      </c>
      <c r="E46" s="793"/>
    </row>
    <row r="47" spans="1:5" ht="15.75" x14ac:dyDescent="0.2">
      <c r="A47" s="793" t="s">
        <v>482</v>
      </c>
      <c r="B47" s="794" t="s">
        <v>483</v>
      </c>
      <c r="C47" s="794" t="s">
        <v>484</v>
      </c>
      <c r="D47" s="793">
        <v>176.46</v>
      </c>
      <c r="E47" s="793"/>
    </row>
    <row r="48" spans="1:5" ht="15.75" x14ac:dyDescent="0.2">
      <c r="A48" s="799" t="s">
        <v>485</v>
      </c>
      <c r="B48" s="800" t="s">
        <v>486</v>
      </c>
      <c r="C48" s="800" t="s">
        <v>487</v>
      </c>
      <c r="D48" s="799" t="s">
        <v>474</v>
      </c>
      <c r="E48" s="799" t="s">
        <v>475</v>
      </c>
    </row>
    <row r="49" spans="1:5" ht="31.5" x14ac:dyDescent="0.2">
      <c r="A49" s="793" t="s">
        <v>488</v>
      </c>
      <c r="B49" s="794" t="s">
        <v>489</v>
      </c>
      <c r="C49" s="794" t="s">
        <v>490</v>
      </c>
      <c r="D49" s="793">
        <v>640.38</v>
      </c>
      <c r="E49" s="793"/>
    </row>
    <row r="50" spans="1:5" ht="15.75" x14ac:dyDescent="0.2">
      <c r="A50" s="802"/>
    </row>
    <row r="51" spans="1:5" ht="15" x14ac:dyDescent="0.2">
      <c r="A51" s="801" t="s">
        <v>491</v>
      </c>
    </row>
  </sheetData>
  <mergeCells count="1">
    <mergeCell ref="A1:E1"/>
  </mergeCells>
  <printOptions horizontalCentered="1"/>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6</vt:i4>
      </vt:variant>
    </vt:vector>
  </HeadingPairs>
  <TitlesOfParts>
    <vt:vector size="10" baseType="lpstr">
      <vt:lpstr>10 programa</vt:lpstr>
      <vt:lpstr>Lyginamasis variantas</vt:lpstr>
      <vt:lpstr>Aiškinamoji lentelė</vt:lpstr>
      <vt:lpstr>Renovuotos įstaigos</vt:lpstr>
      <vt:lpstr>'10 programa'!Print_Area</vt:lpstr>
      <vt:lpstr>'Aiškinamoji lentelė'!Print_Area</vt:lpstr>
      <vt:lpstr>'Lyginamasis variantas'!Print_Area</vt:lpstr>
      <vt:lpstr>'10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G.Uzkuriene</dc:creator>
  <cp:lastModifiedBy>Asta Česnauskienė</cp:lastModifiedBy>
  <cp:lastPrinted>2022-02-14T18:57:44Z</cp:lastPrinted>
  <dcterms:created xsi:type="dcterms:W3CDTF">2006-05-12T05:50:12Z</dcterms:created>
  <dcterms:modified xsi:type="dcterms:W3CDTF">2022-02-15T06:52:21Z</dcterms:modified>
</cp:coreProperties>
</file>