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2-2024 SVP\SPRENDIMAS\pakeitimai po tarybos\"/>
    </mc:Choice>
  </mc:AlternateContent>
  <bookViews>
    <workbookView xWindow="-120" yWindow="-120" windowWidth="23160" windowHeight="9120"/>
  </bookViews>
  <sheets>
    <sheet name="12 programa" sheetId="12" r:id="rId1"/>
    <sheet name="Aiškinamoji lentelė" sheetId="14" state="hidden" r:id="rId2"/>
  </sheets>
  <definedNames>
    <definedName name="_xlnm.Print_Area" localSheetId="0">'12 programa'!$A$1:$M$258</definedName>
    <definedName name="_xlnm.Print_Area" localSheetId="1">'Aiškinamoji lentelė'!$A$1:$Q$279</definedName>
    <definedName name="_xlnm.Print_Titles" localSheetId="0">'12 programa'!$8:$10</definedName>
    <definedName name="_xlnm.Print_Titles" localSheetId="1">'Aiškinamoji lentelė'!$7:$9</definedName>
  </definedNames>
  <calcPr calcId="162913"/>
</workbook>
</file>

<file path=xl/calcChain.xml><?xml version="1.0" encoding="utf-8"?>
<calcChain xmlns="http://schemas.openxmlformats.org/spreadsheetml/2006/main">
  <c r="G230" i="12" l="1"/>
  <c r="G227" i="12"/>
  <c r="G212" i="12"/>
  <c r="G200" i="12"/>
  <c r="G181" i="12"/>
  <c r="G170" i="12"/>
  <c r="G164" i="12"/>
  <c r="G156" i="12"/>
  <c r="G140" i="12"/>
  <c r="G134" i="12"/>
  <c r="G50" i="12"/>
  <c r="I212" i="12" l="1"/>
  <c r="H212" i="12"/>
  <c r="R204" i="12"/>
  <c r="Q204" i="12"/>
  <c r="P204" i="12"/>
  <c r="R203" i="12"/>
  <c r="Q203" i="12"/>
  <c r="P203" i="12"/>
  <c r="I181" i="12"/>
  <c r="H181" i="12"/>
  <c r="I164" i="12"/>
  <c r="H164" i="12"/>
  <c r="I170" i="12"/>
  <c r="H170" i="12"/>
  <c r="G243" i="12" l="1"/>
  <c r="I16" i="12"/>
  <c r="H16" i="12"/>
  <c r="G16" i="12"/>
  <c r="G18" i="12"/>
  <c r="I18" i="12"/>
  <c r="H18" i="12"/>
  <c r="G15" i="12"/>
  <c r="G43" i="12" l="1"/>
  <c r="I43" i="12"/>
  <c r="H43" i="12"/>
  <c r="I227" i="12" l="1"/>
  <c r="H227" i="12"/>
  <c r="R216" i="12"/>
  <c r="Q216" i="12"/>
  <c r="P216" i="12"/>
  <c r="I200" i="12"/>
  <c r="H200" i="12"/>
  <c r="P191" i="12"/>
  <c r="P190" i="12"/>
  <c r="R189" i="12"/>
  <c r="R193" i="12" s="1"/>
  <c r="Q189" i="12"/>
  <c r="Q193" i="12" s="1"/>
  <c r="P189" i="12"/>
  <c r="R159" i="12"/>
  <c r="Q159" i="12"/>
  <c r="P159" i="12"/>
  <c r="R158" i="12"/>
  <c r="Q158" i="12"/>
  <c r="P158" i="12"/>
  <c r="I156" i="12"/>
  <c r="H156" i="12"/>
  <c r="R142" i="12"/>
  <c r="Q142" i="12"/>
  <c r="P142" i="12"/>
  <c r="R141" i="12"/>
  <c r="Q141" i="12"/>
  <c r="P141" i="12"/>
  <c r="I140" i="12"/>
  <c r="H140" i="12"/>
  <c r="I134" i="12"/>
  <c r="H134" i="12"/>
  <c r="P69" i="12"/>
  <c r="P68" i="12"/>
  <c r="R67" i="12"/>
  <c r="Q67" i="12"/>
  <c r="P67" i="12"/>
  <c r="R66" i="12"/>
  <c r="Q66" i="12"/>
  <c r="P66" i="12"/>
  <c r="R65" i="12"/>
  <c r="Q65" i="12"/>
  <c r="P65" i="12"/>
  <c r="P64" i="12"/>
  <c r="R63" i="12"/>
  <c r="Q63" i="12"/>
  <c r="P63" i="12"/>
  <c r="R62" i="12"/>
  <c r="Q62" i="12"/>
  <c r="P62" i="12"/>
  <c r="P61" i="12"/>
  <c r="R60" i="12"/>
  <c r="Q60" i="12"/>
  <c r="P60" i="12"/>
  <c r="I53" i="12"/>
  <c r="H53" i="12"/>
  <c r="G53" i="12"/>
  <c r="P160" i="12" l="1"/>
  <c r="P192" i="12"/>
  <c r="P193" i="12" s="1"/>
  <c r="P143" i="12"/>
  <c r="P144" i="12" s="1"/>
  <c r="Q143" i="12"/>
  <c r="Q144" i="12" s="1"/>
  <c r="R143" i="12"/>
  <c r="R144" i="12" s="1"/>
  <c r="L272" i="14"/>
  <c r="K272" i="14"/>
  <c r="J272" i="14"/>
  <c r="I272" i="14"/>
  <c r="L271" i="14"/>
  <c r="L269" i="14" s="1"/>
  <c r="K271" i="14"/>
  <c r="J271" i="14"/>
  <c r="J269" i="14" s="1"/>
  <c r="L270" i="14"/>
  <c r="K270" i="14"/>
  <c r="J270" i="14"/>
  <c r="I270" i="14"/>
  <c r="K269" i="14"/>
  <c r="L268" i="14"/>
  <c r="K268" i="14"/>
  <c r="J268" i="14"/>
  <c r="I268" i="14"/>
  <c r="L267" i="14"/>
  <c r="K267" i="14"/>
  <c r="J267" i="14"/>
  <c r="I267" i="14"/>
  <c r="L266" i="14"/>
  <c r="K266" i="14"/>
  <c r="J266" i="14"/>
  <c r="I266" i="14"/>
  <c r="L265" i="14"/>
  <c r="K265" i="14"/>
  <c r="J265" i="14"/>
  <c r="I265" i="14"/>
  <c r="L264" i="14"/>
  <c r="K264" i="14"/>
  <c r="J264" i="14"/>
  <c r="L263" i="14"/>
  <c r="K263" i="14"/>
  <c r="J263" i="14"/>
  <c r="L262" i="14"/>
  <c r="K262" i="14"/>
  <c r="J262" i="14"/>
  <c r="L261" i="14"/>
  <c r="K261" i="14"/>
  <c r="J261" i="14"/>
  <c r="I261" i="14"/>
  <c r="L260" i="14"/>
  <c r="K260" i="14"/>
  <c r="J260" i="14"/>
  <c r="L259" i="14"/>
  <c r="K259" i="14"/>
  <c r="J259" i="14"/>
  <c r="L258" i="14"/>
  <c r="K258" i="14"/>
  <c r="J258" i="14"/>
  <c r="L257" i="14"/>
  <c r="K257" i="14"/>
  <c r="J257" i="14"/>
  <c r="L246" i="14"/>
  <c r="K246" i="14"/>
  <c r="J246" i="14"/>
  <c r="I246" i="14"/>
  <c r="L243" i="14"/>
  <c r="K243" i="14"/>
  <c r="J243" i="14"/>
  <c r="I243" i="14"/>
  <c r="L227" i="14"/>
  <c r="K227" i="14"/>
  <c r="J227" i="14"/>
  <c r="I227" i="14"/>
  <c r="L224" i="14"/>
  <c r="K224" i="14"/>
  <c r="J224" i="14"/>
  <c r="I224" i="14"/>
  <c r="L218" i="14"/>
  <c r="L228" i="14" s="1"/>
  <c r="K218" i="14"/>
  <c r="K228" i="14" s="1"/>
  <c r="J218" i="14"/>
  <c r="J228" i="14" s="1"/>
  <c r="I214" i="14"/>
  <c r="I259" i="14" s="1"/>
  <c r="L210" i="14"/>
  <c r="L211" i="14" s="1"/>
  <c r="K210" i="14"/>
  <c r="K211" i="14" s="1"/>
  <c r="J210" i="14"/>
  <c r="J211" i="14" s="1"/>
  <c r="I201" i="14"/>
  <c r="I196" i="14"/>
  <c r="I195" i="14"/>
  <c r="I194" i="14"/>
  <c r="L190" i="14"/>
  <c r="K190" i="14"/>
  <c r="J190" i="14"/>
  <c r="I190" i="14"/>
  <c r="L184" i="14"/>
  <c r="K184" i="14"/>
  <c r="J184" i="14"/>
  <c r="I184" i="14"/>
  <c r="L179" i="14"/>
  <c r="K179" i="14"/>
  <c r="J179" i="14"/>
  <c r="I179" i="14"/>
  <c r="L177" i="14"/>
  <c r="K177" i="14"/>
  <c r="J177" i="14"/>
  <c r="I174" i="14"/>
  <c r="I173" i="14"/>
  <c r="I177" i="14" s="1"/>
  <c r="L170" i="14"/>
  <c r="K170" i="14"/>
  <c r="J170" i="14"/>
  <c r="I170" i="14"/>
  <c r="L162" i="14"/>
  <c r="K162" i="14"/>
  <c r="J162" i="14"/>
  <c r="I160" i="14"/>
  <c r="I159" i="14"/>
  <c r="I155" i="14"/>
  <c r="I153" i="14"/>
  <c r="I152" i="14"/>
  <c r="I150" i="14"/>
  <c r="L146" i="14"/>
  <c r="K146" i="14"/>
  <c r="J146" i="14"/>
  <c r="I144" i="14"/>
  <c r="I143" i="14"/>
  <c r="L141" i="14"/>
  <c r="K141" i="14"/>
  <c r="J141" i="14"/>
  <c r="I130" i="14"/>
  <c r="I125" i="14"/>
  <c r="I121" i="14"/>
  <c r="I118" i="14"/>
  <c r="I116" i="14"/>
  <c r="I109" i="14"/>
  <c r="I101" i="14"/>
  <c r="I98" i="14"/>
  <c r="I97" i="14"/>
  <c r="I94" i="14"/>
  <c r="I88" i="14"/>
  <c r="I85" i="14"/>
  <c r="I80" i="14"/>
  <c r="I79" i="14"/>
  <c r="I73" i="14"/>
  <c r="L67" i="14"/>
  <c r="K67" i="14"/>
  <c r="J67" i="14"/>
  <c r="I67" i="14"/>
  <c r="L65" i="14"/>
  <c r="K65" i="14"/>
  <c r="J65" i="14"/>
  <c r="I65" i="14"/>
  <c r="L63" i="14"/>
  <c r="K63" i="14"/>
  <c r="J63" i="14"/>
  <c r="I60" i="14"/>
  <c r="I63" i="14" s="1"/>
  <c r="L59" i="14"/>
  <c r="K59" i="14"/>
  <c r="J59" i="14"/>
  <c r="I58" i="14"/>
  <c r="I59" i="14" s="1"/>
  <c r="I57" i="14"/>
  <c r="L56" i="14"/>
  <c r="K56" i="14"/>
  <c r="J56" i="14"/>
  <c r="I55" i="14"/>
  <c r="I56" i="14" s="1"/>
  <c r="L54" i="14"/>
  <c r="K54" i="14"/>
  <c r="J54" i="14"/>
  <c r="I53" i="14"/>
  <c r="L49" i="14"/>
  <c r="K49" i="14"/>
  <c r="J49" i="14"/>
  <c r="I45" i="14"/>
  <c r="I49" i="14" s="1"/>
  <c r="L44" i="14"/>
  <c r="K44" i="14"/>
  <c r="J44" i="14"/>
  <c r="I40" i="14"/>
  <c r="I44" i="14" s="1"/>
  <c r="L39" i="14"/>
  <c r="K39" i="14"/>
  <c r="J39" i="14"/>
  <c r="I39" i="14"/>
  <c r="L36" i="14"/>
  <c r="K36" i="14"/>
  <c r="J36" i="14"/>
  <c r="I35" i="14"/>
  <c r="I36" i="14" s="1"/>
  <c r="L34" i="14"/>
  <c r="K34" i="14"/>
  <c r="J34" i="14"/>
  <c r="I33" i="14"/>
  <c r="I34" i="14" s="1"/>
  <c r="L32" i="14"/>
  <c r="K32" i="14"/>
  <c r="J32" i="14"/>
  <c r="I25" i="14"/>
  <c r="I32" i="14" s="1"/>
  <c r="L24" i="14"/>
  <c r="K24" i="14"/>
  <c r="J24" i="14"/>
  <c r="I23" i="14"/>
  <c r="I21" i="14"/>
  <c r="I19" i="14"/>
  <c r="I16" i="14"/>
  <c r="I15" i="14"/>
  <c r="I14" i="14"/>
  <c r="I260" i="14" l="1"/>
  <c r="I264" i="14"/>
  <c r="I271" i="14"/>
  <c r="I146" i="14"/>
  <c r="L256" i="14"/>
  <c r="L255" i="14" s="1"/>
  <c r="L273" i="14" s="1"/>
  <c r="J256" i="14"/>
  <c r="J255" i="14" s="1"/>
  <c r="J273" i="14" s="1"/>
  <c r="I269" i="14"/>
  <c r="I162" i="14"/>
  <c r="I210" i="14"/>
  <c r="I211" i="14" s="1"/>
  <c r="I262" i="14"/>
  <c r="J191" i="14"/>
  <c r="L52" i="14"/>
  <c r="L191" i="14"/>
  <c r="L68" i="14"/>
  <c r="J52" i="14"/>
  <c r="I257" i="14"/>
  <c r="I258" i="14"/>
  <c r="I263" i="14"/>
  <c r="K52" i="14"/>
  <c r="K68" i="14" s="1"/>
  <c r="I141" i="14"/>
  <c r="I191" i="14" s="1"/>
  <c r="K191" i="14"/>
  <c r="K256" i="14"/>
  <c r="K255" i="14" s="1"/>
  <c r="K273" i="14" s="1"/>
  <c r="L247" i="14"/>
  <c r="J68" i="14"/>
  <c r="J247" i="14"/>
  <c r="K247" i="14"/>
  <c r="I54" i="14"/>
  <c r="I24" i="14"/>
  <c r="I52" i="14" s="1"/>
  <c r="I218" i="14"/>
  <c r="I228" i="14" s="1"/>
  <c r="I247" i="14" s="1"/>
  <c r="L248" i="14" l="1"/>
  <c r="L249" i="14" s="1"/>
  <c r="L275" i="14" s="1"/>
  <c r="I256" i="14"/>
  <c r="I255" i="14" s="1"/>
  <c r="I273" i="14" s="1"/>
  <c r="I68" i="14"/>
  <c r="I248" i="14" s="1"/>
  <c r="I249" i="14" s="1"/>
  <c r="K248" i="14"/>
  <c r="K249" i="14" s="1"/>
  <c r="J248" i="14"/>
  <c r="J249" i="14" s="1"/>
  <c r="I57" i="12" l="1"/>
  <c r="H57" i="12"/>
  <c r="G57" i="12"/>
  <c r="I55" i="12"/>
  <c r="H55" i="12"/>
  <c r="G55" i="12"/>
  <c r="I255" i="12" l="1"/>
  <c r="I254" i="12"/>
  <c r="I253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H255" i="12"/>
  <c r="H254" i="12"/>
  <c r="H253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G255" i="12"/>
  <c r="G254" i="12"/>
  <c r="G253" i="12"/>
  <c r="G251" i="12"/>
  <c r="G250" i="12"/>
  <c r="G249" i="12"/>
  <c r="G248" i="12"/>
  <c r="G247" i="12"/>
  <c r="G246" i="12"/>
  <c r="G245" i="12"/>
  <c r="G244" i="12"/>
  <c r="G242" i="12"/>
  <c r="G241" i="12"/>
  <c r="G240" i="12"/>
  <c r="H230" i="12"/>
  <c r="I230" i="12"/>
  <c r="G201" i="12"/>
  <c r="H201" i="12"/>
  <c r="I201" i="12"/>
  <c r="G231" i="12" l="1"/>
  <c r="I231" i="12"/>
  <c r="H231" i="12"/>
  <c r="I252" i="12"/>
  <c r="I239" i="12"/>
  <c r="I238" i="12" s="1"/>
  <c r="H252" i="12"/>
  <c r="G252" i="12"/>
  <c r="H239" i="12"/>
  <c r="H238" i="12" s="1"/>
  <c r="G239" i="12"/>
  <c r="G238" i="12" s="1"/>
  <c r="G177" i="12"/>
  <c r="H177" i="12"/>
  <c r="I177" i="12"/>
  <c r="G172" i="12"/>
  <c r="H172" i="12"/>
  <c r="I172" i="12"/>
  <c r="H50" i="12"/>
  <c r="I50" i="12"/>
  <c r="G47" i="12"/>
  <c r="H47" i="12"/>
  <c r="I47" i="12"/>
  <c r="G45" i="12"/>
  <c r="H45" i="12"/>
  <c r="I45" i="12"/>
  <c r="G182" i="12" l="1"/>
  <c r="H182" i="12"/>
  <c r="I182" i="12"/>
  <c r="I256" i="12"/>
  <c r="H256" i="12"/>
  <c r="G256" i="12"/>
  <c r="G58" i="12" l="1"/>
  <c r="G232" i="12" s="1"/>
  <c r="G233" i="12" s="1"/>
  <c r="H58" i="12"/>
  <c r="I58" i="12"/>
  <c r="I232" i="12" s="1"/>
  <c r="I233" i="12" s="1"/>
  <c r="H232" i="12"/>
  <c r="H233" i="12" s="1"/>
  <c r="I258" i="12" l="1"/>
</calcChain>
</file>

<file path=xl/comments1.xml><?xml version="1.0" encoding="utf-8"?>
<comments xmlns="http://schemas.openxmlformats.org/spreadsheetml/2006/main">
  <authors>
    <author>Asta Česnauskienė</author>
    <author>Snieguole Kacerauskaite</author>
  </authors>
  <commentList>
    <comment ref="E2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186"/>
          </rPr>
          <t>P-2.4.1.9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6.3.3. Budinčių globėjų skaičius per metus 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E5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P-2.4.1.1.
</t>
        </r>
      </text>
    </comment>
    <comment ref="D60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koeficientai dėl MMA ir BD bei dėl pasikeitusių koeficientų pagal stažus, planavimo vidurkiais, dėl darbo užmokesčio padidėjimo socialinių paslaugų srities darbuotojams nuo 2021-07-01.
</t>
        </r>
      </text>
    </comment>
    <comment ref="E7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75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82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E8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J88" authorId="0" shapeId="0">
      <text>
        <r>
          <rPr>
            <sz val="9"/>
            <color indexed="81"/>
            <rFont val="Tahoma"/>
            <family val="2"/>
            <charset val="186"/>
          </rPr>
          <t xml:space="preserve">kompiuteriams
</t>
        </r>
      </text>
    </comment>
    <comment ref="E11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D122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mitybai dėl padidėjusių mitybos įkainių, mažėjančios valstybės dotacijos vaikų globos namams.
</t>
        </r>
      </text>
    </comment>
    <comment ref="E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E13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143" authorId="0" shapeId="0">
      <text>
        <r>
          <rPr>
            <sz val="9"/>
            <color indexed="81"/>
            <rFont val="Tahoma"/>
            <family val="2"/>
            <charset val="186"/>
          </rPr>
          <t>P-2.4.1.3</t>
        </r>
      </text>
    </comment>
    <comment ref="E14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145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146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E14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D149" authorId="1" shapeId="0">
      <text>
        <r>
          <rPr>
            <sz val="9"/>
            <color indexed="81"/>
            <rFont val="Tahoma"/>
            <family val="2"/>
            <charset val="186"/>
          </rPr>
          <t xml:space="preserve">Nuo 2022-01-01 150 paslaugų gavėjų planuojama teikti paslaugas pagal jau pilnai vykdomą sutartį, taip pat yra sudaryta nauja  finansavimo sutartis 50-čiai  paslaugų gavėjų, kurių finansavimas prasidės jau 2021 m. gruodį ir kelsis į 2022 m. Nuo 2022-01-01 paslaugas teiks akredituotos įstaigos, su kuriomis bus sudaromos finansavimo sutartys. 
 </t>
        </r>
      </text>
    </comment>
    <comment ref="E14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E150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</t>
        </r>
      </text>
    </comment>
    <comment ref="E15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E15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E160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6.3.8. Socialinių paslaugų, kurias teikia NVO, dalis bendroje savivaldybės socialinių paslaugų struktūroje, vnt.</t>
        </r>
      </text>
    </comment>
    <comment ref="E16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P-2.4.2.3.
</t>
        </r>
      </text>
    </comment>
    <comment ref="E19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E194" authorId="0" shapeId="0">
      <text>
        <r>
          <rPr>
            <sz val="9"/>
            <color indexed="81"/>
            <rFont val="Tahoma"/>
            <family val="2"/>
            <charset val="186"/>
          </rPr>
          <t>P-2.4.1.2</t>
        </r>
      </text>
    </comment>
    <comment ref="E19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P-2.4.1.3.
</t>
        </r>
      </text>
    </comment>
    <comment ref="E19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P-2.4.1.5.
</t>
        </r>
      </text>
    </comment>
    <comment ref="D207" authorId="1" shapeId="0">
      <text>
        <r>
          <rPr>
            <sz val="9"/>
            <color indexed="81"/>
            <rFont val="Tahoma"/>
            <family val="2"/>
            <charset val="186"/>
          </rPr>
          <t xml:space="preserve">Planuojama pastatyti 60 butų
</t>
        </r>
      </text>
    </comment>
    <comment ref="E20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P-2.4.1.7.
</t>
        </r>
      </text>
    </comment>
    <comment ref="E209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E21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
</t>
        </r>
      </text>
    </comment>
    <comment ref="E216" authorId="0" shapeId="0">
      <text>
        <r>
          <rPr>
            <sz val="9"/>
            <color indexed="81"/>
            <rFont val="Tahoma"/>
            <family val="2"/>
            <charset val="186"/>
          </rPr>
          <t>P-2.4.1.7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</authors>
  <commentList>
    <comment ref="F2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P-2.4.1.9
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186"/>
          </rPr>
          <t>P-2.4.1.9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F44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6.3.3. Budinčių globėjų skaičius per metus (2020 m. - 398)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F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P-2.4.1.1.
</t>
        </r>
      </text>
    </comment>
    <comment ref="E70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koeficientai dėl MMA ir BD bei dėl pasikeitusių koeficientų pagal stažus, planavimo vidurkiais, dėl darbo užmokesčio padidėjimo socialinių paslaugų srities darbuotojams nuo 2021-07-01.
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F78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80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87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
6.3.2. Dienos socialinės globos paslaugas namuose gaunančių asmenų skaičius per metus </t>
        </r>
      </text>
    </comment>
    <comment ref="F8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P-2.4.1.3
</t>
        </r>
      </text>
    </comment>
    <comment ref="M93" authorId="0" shapeId="0">
      <text>
        <r>
          <rPr>
            <sz val="9"/>
            <color indexed="81"/>
            <rFont val="Tahoma"/>
            <family val="2"/>
            <charset val="186"/>
          </rPr>
          <t xml:space="preserve">kompiuteriams
</t>
        </r>
      </text>
    </comment>
    <comment ref="J115" authorId="1" shapeId="0">
      <text>
        <r>
          <rPr>
            <sz val="9"/>
            <color indexed="81"/>
            <rFont val="Tahoma"/>
            <family val="2"/>
            <charset val="186"/>
          </rPr>
          <t>Didėja dėl:
1) planuojamos pirkti fizinės apsaugos Nakvynės namuose;
2) planuojamų išeitinių dėl planuojamo įstaigos veiklos optimizavimo.</t>
        </r>
      </text>
    </comment>
    <comment ref="F12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E129" authorId="1" shapeId="0">
      <text>
        <r>
          <rPr>
            <sz val="9"/>
            <color indexed="81"/>
            <rFont val="Tahoma"/>
            <family val="2"/>
            <charset val="186"/>
          </rPr>
          <t xml:space="preserve">Didėja mitybai dėl padidėjusių mitybos įkainių, mažėjančios valstybės dotacijos vaikų globos namams.
</t>
        </r>
      </text>
    </comment>
    <comment ref="F13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P-2.4.1.2
</t>
        </r>
      </text>
    </comment>
    <comment ref="F14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F149" authorId="0" shapeId="0">
      <text>
        <r>
          <rPr>
            <sz val="9"/>
            <color indexed="81"/>
            <rFont val="Tahoma"/>
            <family val="2"/>
            <charset val="186"/>
          </rPr>
          <t>P-2.4.1.3</t>
        </r>
      </text>
    </comment>
    <comment ref="F15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
</t>
        </r>
      </text>
    </comment>
    <comment ref="F151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152" authorId="1" shapeId="0">
      <text>
        <r>
          <rPr>
            <sz val="9"/>
            <color indexed="81"/>
            <rFont val="Tahoma"/>
            <family val="2"/>
            <charset val="186"/>
          </rPr>
          <t>6.3. Socialinių paslaugų plėtra</t>
        </r>
      </text>
    </comment>
    <comment ref="F15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E155" authorId="1" shapeId="0">
      <text>
        <r>
          <rPr>
            <sz val="9"/>
            <color indexed="81"/>
            <rFont val="Tahoma"/>
            <family val="2"/>
            <charset val="186"/>
          </rPr>
          <t xml:space="preserve">Nuo 2022-01-01 150 paslaugų gavėjų planuojama teikti paslaugas pagal jau pilnai vykdomą sutartį, taip pat yra sudaryta nauja  finansavimo sutartis 50-čiai  paslaugų gavėjų, kurių finansavimas prasidės jau 2021 m. gruodį ir kelsis į 2022 m. Nuo 2022-01-01 paslaugas teiks akredituotos įstaigos, su kuriomis bus sudaromos finansavimo sutartys. 
 </t>
        </r>
      </text>
    </comment>
    <comment ref="F15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F156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6.3.1. Pagalbos į namus paslaugas gaunančių asmenų skaičius per metus </t>
        </r>
      </text>
    </comment>
    <comment ref="F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P-2.4.1.1
</t>
        </r>
      </text>
    </comment>
    <comment ref="F1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F165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6.3.8. Socialinių paslaugų, kurias teikia NVO, dalis bendroje savivaldybės socialinių paslaugų struktūroje, vnt.</t>
        </r>
      </text>
    </comment>
    <comment ref="F17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P-2.4.2.3.
</t>
        </r>
      </text>
    </comment>
    <comment ref="F19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P-2.4.1.4
</t>
        </r>
      </text>
    </comment>
    <comment ref="F202" authorId="0" shapeId="0">
      <text>
        <r>
          <rPr>
            <sz val="9"/>
            <color indexed="81"/>
            <rFont val="Tahoma"/>
            <family val="2"/>
            <charset val="186"/>
          </rPr>
          <t>P-2.4.1.2</t>
        </r>
      </text>
    </comment>
    <comment ref="F20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P-2.4.1.3.
</t>
        </r>
      </text>
    </comment>
    <comment ref="F20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P-2.4.1.5.
</t>
        </r>
      </text>
    </comment>
    <comment ref="E214" authorId="1" shapeId="0">
      <text>
        <r>
          <rPr>
            <sz val="9"/>
            <color indexed="81"/>
            <rFont val="Tahoma"/>
            <family val="2"/>
            <charset val="186"/>
          </rPr>
          <t xml:space="preserve">Planuojama pastatyti 60 butų
</t>
        </r>
      </text>
    </comment>
    <comment ref="F21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P-2.4.1.7.
</t>
        </r>
      </text>
    </comment>
    <comment ref="F216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F221" authorId="1" shapeId="0">
      <text>
        <r>
          <rPr>
            <b/>
            <sz val="9"/>
            <color indexed="81"/>
            <rFont val="Tahoma"/>
            <family val="2"/>
            <charset val="186"/>
          </rPr>
          <t>6.3. Socialinių paslaugų plėtra</t>
        </r>
        <r>
          <rPr>
            <sz val="9"/>
            <color indexed="81"/>
            <rFont val="Tahoma"/>
            <family val="2"/>
            <charset val="186"/>
          </rPr>
          <t xml:space="preserve">
6.3.9. Įsigyta ar pastatyta socialinio būsto butų,  vnt. </t>
        </r>
      </text>
    </comment>
    <comment ref="F22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P-2.4.1.7
</t>
        </r>
      </text>
    </comment>
    <comment ref="F232" authorId="0" shapeId="0">
      <text>
        <r>
          <rPr>
            <sz val="9"/>
            <color indexed="81"/>
            <rFont val="Tahoma"/>
            <family val="2"/>
            <charset val="186"/>
          </rPr>
          <t>P-2.4.1.7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<sst xmlns="http://schemas.openxmlformats.org/spreadsheetml/2006/main" count="1311" uniqueCount="316">
  <si>
    <t>SOCIALINĖS ATSKIRTIES MAŽINIMO PROGRAMOS (NR. 12)</t>
  </si>
  <si>
    <t xml:space="preserve"> TIKSLŲ, UŽDAVINIŲ, PRIEMONIŲ, PRIEMONIŲ IŠLAIDŲ IR PRODUKTO KRITERIJŲ SUVESTINĖ</t>
  </si>
  <si>
    <t>tūkst. Eur</t>
  </si>
  <si>
    <t>Uždavinio kodas</t>
  </si>
  <si>
    <t>Priemonės kodas</t>
  </si>
  <si>
    <t>Pavadinimas</t>
  </si>
  <si>
    <t>Finansavimo šaltinis</t>
  </si>
  <si>
    <t>Produkto kriterijaus</t>
  </si>
  <si>
    <t>03 Strateginis tikslas. Užtikrinti gyventojams aukštą švietimo, kultūros, socialinių, sporto ir sveikatos apsaugos paslaugų kokybę ir prieinamumą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</si>
  <si>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</si>
  <si>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</si>
  <si>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</si>
  <si>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</si>
  <si>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Socialinių paslaugų ir kitos socialinės paramos teikimas</t>
  </si>
  <si>
    <t>SB(VB)</t>
  </si>
  <si>
    <t xml:space="preserve">Piniginės socialinės paramos nepasiturinčioms šeimoms ir vieniems gyvenantiems asmenims bei paramos mirties atveju teikimas, išmokant pašalpas ir kompensacijas </t>
  </si>
  <si>
    <t>SB</t>
  </si>
  <si>
    <t xml:space="preserve">Vidutinis išmokamų socialinių pašalpų skaičius per mėn. </t>
  </si>
  <si>
    <t>Vidutinis išmokamų kompensacijų skaičius per mėn.</t>
  </si>
  <si>
    <t xml:space="preserve">Vidutinis išmokamų kompensacijų kreditams ir kredito palūkanoms skaičius per mėn. </t>
  </si>
  <si>
    <t>Iš viso:</t>
  </si>
  <si>
    <t>Socialinės globos paslaugų teikimas asmenims su sunkia negalia</t>
  </si>
  <si>
    <t>Pagalbos socialinės rizikos šeimoms teikimas</t>
  </si>
  <si>
    <t>Darbuotojų, dirbančių su socialinės rizikos šeimomis, skaičius</t>
  </si>
  <si>
    <t>Mokinių nemokamo maitinimo ir aprūpinimo mokinio reikmenimis organizavimas</t>
  </si>
  <si>
    <t>Nemokamą maitinimą gaunančių bei aprūpinamų mokinio reikmenimis mokinių skaičius</t>
  </si>
  <si>
    <t>Mokinių iš mažas pajamas gaunančių šeimų nemokamo maitinimo gamybos išlaidų padengimas</t>
  </si>
  <si>
    <t>Iš viso priemonei: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</si>
  <si>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</si>
  <si>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</si>
  <si>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</si>
  <si>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</si>
  <si>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</si>
  <si>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</si>
  <si>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05</t>
  </si>
  <si>
    <t>Iš viso uždaviniui:</t>
  </si>
  <si>
    <t xml:space="preserve">Teikti visuomenės poreikius atitinkančias socialines paslaugas įvairioms gyventojų grupėms </t>
  </si>
  <si>
    <t>Socialinių paslaugų teikimas socialinėse įstaigose:</t>
  </si>
  <si>
    <t>SB(SP)</t>
  </si>
  <si>
    <t>Kt</t>
  </si>
  <si>
    <t>BĮ Klaipėdos miesto šeimos ir vaiko gerovės centre, iš jų:</t>
  </si>
  <si>
    <t>BĮ Klaipėdos vaikų globos namuose „Rytas“</t>
  </si>
  <si>
    <t>Dienos socialinės globos, trumpalaikės socialinės globos ir socialinės priežiūros paslaugų teikimo organizavimas miesto gyventojams ne savivaldybės institucijose:</t>
  </si>
  <si>
    <t>Psichosocialinės pagalbos teikimas šeimoms, auginančioms vaiką su negalia ir patiriančioms krizes</t>
  </si>
  <si>
    <t>Socialinių projektų dalinis finansavimas:</t>
  </si>
  <si>
    <t xml:space="preserve">Nevyriausybinių organizacijų socialinių projektų </t>
  </si>
  <si>
    <t xml:space="preserve">Socialinės reabilitacijos paslaugų neįgaliesiems bendruomenėje projektų </t>
  </si>
  <si>
    <t>Būsto pritaikymas neįgaliesiems</t>
  </si>
  <si>
    <t>06</t>
  </si>
  <si>
    <t>07</t>
  </si>
  <si>
    <t>ES</t>
  </si>
  <si>
    <t>Teikiamų socialinių paslaugų infrastruktūros tobulinimas siekiant atitikti keliamus reikalavimus:</t>
  </si>
  <si>
    <t>I</t>
  </si>
  <si>
    <t xml:space="preserve">Užtikrinti Klaipėdos miesto socialinio būsto fondo plėtrą ir valstybės politikos, padedančios apsirūpinti būstu, įgyvendinimą </t>
  </si>
  <si>
    <t>Socialinio būsto fondo plėtra:</t>
  </si>
  <si>
    <t>Įgyvendintas projektas, proc.</t>
  </si>
  <si>
    <t>Savivaldybės gyvenamųjų patalpų  tinkamos fizinės būklės užtikrinimas ir nuomos administravimas:</t>
  </si>
  <si>
    <t xml:space="preserve">Savivaldybės gyvenamųjų patalpų techninės būklės vertinimas ir remontas </t>
  </si>
  <si>
    <t xml:space="preserve">Apmokėjimas savivaldybei tenkančia dalimi už daugiabučių namų bendrosios  nuosavybės objektų atnaujinimą ir renovaciją bei lėšų kaupimą </t>
  </si>
  <si>
    <t>Rezervo naudojimas nenumatytiems darbams apmokėti ir avarinėms situacijoms likviduoti</t>
  </si>
  <si>
    <t>Savivaldybės gyvenamųjų patalpų nuomos administravimas</t>
  </si>
  <si>
    <t xml:space="preserve">Surinkta  nuomos mokesčio  proc. nuo priskaičiuoto </t>
  </si>
  <si>
    <t>Savininkams grąžintų nuomotų patalpų vertės įskaičiavimas į nuompinigius</t>
  </si>
  <si>
    <t>Apmokėjimas už daugiabučių namų bendrųjų objektų administravimą ir nuolatinę techninę priežiūrą</t>
  </si>
  <si>
    <t>Užtikrintas privalomojo gyvenamųjų namų naudojimo ir priežiūros reikalavimų įgyvendinimas, proc.</t>
  </si>
  <si>
    <t xml:space="preserve">Politinių kalinių ir tremtinių bei jų šeimų narių sugrįžimo į Lietuvą programos įgyvendinimas: 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</si>
  <si>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</si>
  <si>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</si>
  <si>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</si>
  <si>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</si>
  <si>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</si>
  <si>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</si>
  <si>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</si>
  <si>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</si>
  <si>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</si>
  <si>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KITI ŠALTINIAI, IŠ VISO:</t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</si>
  <si>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</si>
  <si>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IŠ VISO:</t>
  </si>
  <si>
    <t>Vietų skaičius įstaigoje</t>
  </si>
  <si>
    <t>SB(SPL)</t>
  </si>
  <si>
    <t>08</t>
  </si>
  <si>
    <t>Dienos socialinės globos paslaugų teikimas asmenims su psichine negalia dienos socialinės globos centre</t>
  </si>
  <si>
    <t>Dienos socialinės globos paslaugų teikimas vaikams su negalia dienos socialinės globos centre</t>
  </si>
  <si>
    <t>Pagalbos į namus paslaugos teikimas senyvo amžiaus asmenims ir suaugusiems asmenims su negalia</t>
  </si>
  <si>
    <t>Vidutiniškai per mėn. išmokamų laidojimo pašalpų skaičius</t>
  </si>
  <si>
    <t>Vidutinis išmokamų kompensacijų nepriklausomybės gynėjams skaičius per mėn.</t>
  </si>
  <si>
    <t>Būsto nuomos ar išperkamosios būsto nuomos mokesčių dalies kompensaciją gavusių asmenų skaičius</t>
  </si>
  <si>
    <t>Nemokamą maitinimą gaunančių mokinių skaičius</t>
  </si>
  <si>
    <t>Senyvo amžiaus asmenų bei asmenų su negalia, apgyvendintų globos institucijose per metus, skaičius</t>
  </si>
  <si>
    <t>Įsigyta keltuvų, skirtų neįgaliems asmenims su ryškiu judėjimo sutrikimu, skaičius</t>
  </si>
  <si>
    <t>Savivaldybės butų, kuriuose pašalintos avarijų grėsmės ar padariniai, skaičius</t>
  </si>
  <si>
    <t>Nemokamo maitinimo organizavimas labdaros valgykloje Klaipėdos mieste gyvenantiems asmenims, nepajėgiantiems maitintis savo namuose</t>
  </si>
  <si>
    <t>Socialinės srities renginių organizavimas</t>
  </si>
  <si>
    <t>Paslaugų gavėjų skaičius</t>
  </si>
  <si>
    <t>Projekto „Kompleksinės paslaugos šeimai Klaipėdos mieste“ įgyvendinimas</t>
  </si>
  <si>
    <t xml:space="preserve"> </t>
  </si>
  <si>
    <t xml:space="preserve"> - smurto artimoje aplinkoje prevencijos priemonių įgyvendinimas</t>
  </si>
  <si>
    <t xml:space="preserve">Šîldoma įstaigų, skaičius 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</si>
  <si>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</si>
  <si>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Asmenų, kuriems teikiamos integracijos paslaugos, skaičius</t>
  </si>
  <si>
    <t>Prižiūrima eksploatuojamų keltuvų, vnt.</t>
  </si>
  <si>
    <t>Asmenų su sunkia negalia, kuriems teikiamos socialinės globos paslaugos, skaičius</t>
  </si>
  <si>
    <t>Paslaugas gavusių asmenų skaičius</t>
  </si>
  <si>
    <t>Savivaldybės socialinio būsto fondo gyvenamųjų namų statyba žemės sklypuose Irklų g. 1 ir Rambyno g. 14A</t>
  </si>
  <si>
    <t>BĮ Neįgaliųjų centre „Klaipėdos lakštutė“</t>
  </si>
  <si>
    <t>BĮ Klaipėdos miesto nakvynės namuose</t>
  </si>
  <si>
    <t>BĮ Klaipėdos socialinių paslaugų centre „Danė“</t>
  </si>
  <si>
    <t>Atlikta rekonstravimo darbų, proc.</t>
  </si>
  <si>
    <t xml:space="preserve">Butų pirkimas politiniams kaliniams ir tremtiniams bei jų šeimų nariams </t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</si>
  <si>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</si>
  <si>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</si>
  <si>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</si>
  <si>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>SB(ESA)</t>
  </si>
  <si>
    <t>Materialinės paramos Klaipėdos miesto savivaldybės gyventojams, atsidūrusiems sunkioje materialinėje padėtyje, teikimas</t>
  </si>
  <si>
    <t>Vidutinis materialinės paramos išmokų Klaipėdos miesto gyventojams, atsidūrusiems sunkioje materialinėje padėtyje, skaičius per mėn.</t>
  </si>
  <si>
    <r>
      <t>Priemonių, mažinančių administracinę naštą juridiniams ir fiziniams asmenims, taikymas</t>
    </r>
    <r>
      <rPr>
        <sz val="10"/>
        <rFont val="Times New Roman"/>
        <family val="1"/>
        <charset val="186"/>
      </rPr>
      <t>, projekto „Paslaugų organizavimo ir asmenų aptarnavimo kokybės gerinimas teikiant socialinę paramą Klaipėdos miesto savivaldybėje“ įgyvendinimas</t>
    </r>
  </si>
  <si>
    <t>SB(ESL)</t>
  </si>
  <si>
    <t>Atlikta rangos darbų, proc.</t>
  </si>
  <si>
    <t>Vidutinis paramos gavėjo ir (ar) bendrai su juo gyvenančių asmenų skaičius per mėnesį</t>
  </si>
  <si>
    <t>Suteikta paramos rūbais, avalyne, kt., asmenų skaičius</t>
  </si>
  <si>
    <t xml:space="preserve">Dienos socialinės globos paslaugos įstaigoje gavėjų skaičius </t>
  </si>
  <si>
    <t xml:space="preserve">Vietų skaičius trumpalaikės soc. globos paslaugai gauti </t>
  </si>
  <si>
    <t>Planinis vaikų skaičius</t>
  </si>
  <si>
    <t>Dienos socialinę globą per mėn. gaunančių vaikų su negalia skaičius dienos socialinės globos centre</t>
  </si>
  <si>
    <t xml:space="preserve">Pagalbos į namus paslaugos gavėjų skaičius per mėnesį </t>
  </si>
  <si>
    <t>Vidutiniškai per dieną nemokamą maitinimą gaunančių asmenų skaičius</t>
  </si>
  <si>
    <t xml:space="preserve">Vidutinis šeimų, auginančių vaiką su negalia ir patiriančių krizes, skaičius per mėn. </t>
  </si>
  <si>
    <t>Laikiniesiems darbams įdarbintų bedarbių skaičius per metus</t>
  </si>
  <si>
    <t>Darbo rinkos politikos priemonių, skirtų socialinę atskirtį patiriantiems asmenims, vykdymas</t>
  </si>
  <si>
    <t xml:space="preserve">Parengta vadybos kokybės sistemos ar metodo įgyvendinimo / įdiegimo įstaigose dokumentacija, vnt. </t>
  </si>
  <si>
    <t>Sutrumpėjęs nuomininkų pasirinktos valstybės garantijos įvykdymo terminas, mėnesiai</t>
  </si>
  <si>
    <r>
      <t xml:space="preserve">Savivaldybės biudžeto apyvartos lėšos ES finansinės paramos programų laikinam lėšų stygiui dengti  </t>
    </r>
    <r>
      <rPr>
        <b/>
        <sz val="10"/>
        <rFont val="Times New Roman"/>
        <family val="1"/>
        <charset val="186"/>
      </rPr>
      <t>SB(ESA)</t>
    </r>
  </si>
  <si>
    <t>Vaikų, gaunančių ilgalaikės globos paslaugas, skaičius</t>
  </si>
  <si>
    <t>Nupirkta butų, vnt.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</si>
  <si>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</si>
  <si>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r>
      <t xml:space="preserve">Projekto  </t>
    </r>
    <r>
      <rPr>
        <b/>
        <sz val="10"/>
        <rFont val="Times New Roman"/>
        <family val="1"/>
      </rPr>
      <t>„Integrali pagalba į namus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</si>
  <si>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t>Pritaikyta būstų vaikams su sunkia negalia, vaikų skaičius</t>
  </si>
  <si>
    <t>SB'</t>
  </si>
  <si>
    <t xml:space="preserve">Budinčio globotojo veiklos organizavimas </t>
  </si>
  <si>
    <t>Suremontuotų butų skaičius</t>
  </si>
  <si>
    <t>Suorganizuota renginių, skaičius</t>
  </si>
  <si>
    <t>SB(F)</t>
  </si>
  <si>
    <r>
      <t>Savivaldybės biudžeto lėšos, gautos už parduotus savivaldybės būstus</t>
    </r>
    <r>
      <rPr>
        <b/>
        <sz val="10"/>
        <rFont val="Times New Roman"/>
        <family val="1"/>
        <charset val="186"/>
      </rPr>
      <t xml:space="preserve"> SB(F)</t>
    </r>
  </si>
  <si>
    <t>Įveiklintas globos centras</t>
  </si>
  <si>
    <t>Sukurta papildomų darbo vietų</t>
  </si>
  <si>
    <t>SB(FL)</t>
  </si>
  <si>
    <t xml:space="preserve">Vidutinis prižiūrimų vaikų skaičius per mėnesį </t>
  </si>
  <si>
    <t>Išmokų gavėjų skaičius</t>
  </si>
  <si>
    <t>Suteikta transporto paslaugų, asmenų skaičius</t>
  </si>
  <si>
    <t>BĮ Klaipėdos miesto socialinės paramos centre, iš jų:</t>
  </si>
  <si>
    <t xml:space="preserve"> - kovos su prekyba žmonėmis prevencinių priemonių  įgyvendinimas;</t>
  </si>
  <si>
    <t>Suteikta į namus paslaugų / socialinės globos asmens namuose paslaugų, asmenų skaičius</t>
  </si>
  <si>
    <t>Išduota techninės pagalbos priemonių, vnt./asmenų skaičius</t>
  </si>
  <si>
    <t>Organizuota tėvystės įgūdžių / globėjų (rūpintojų) mokymų skaičius</t>
  </si>
  <si>
    <t>Asmenų, pradėjusių gyventi savarankiškai, skaičius</t>
  </si>
  <si>
    <r>
      <t>Valstybės biudžeto tikslinės dotacijos lėšų likutis</t>
    </r>
    <r>
      <rPr>
        <b/>
        <sz val="10"/>
        <rFont val="Times New Roman"/>
        <family val="1"/>
        <charset val="186"/>
      </rPr>
      <t xml:space="preserve"> SB(VBL)</t>
    </r>
  </si>
  <si>
    <r>
      <t>Europos Sąjungos finansinės paramos lėšų likučio metų pradžioje lėšos</t>
    </r>
    <r>
      <rPr>
        <b/>
        <sz val="10"/>
        <rFont val="Times New Roman"/>
        <family val="1"/>
        <charset val="186"/>
      </rPr>
      <t xml:space="preserve"> SB(ESL)</t>
    </r>
  </si>
  <si>
    <t>Savivaldybės biudžetas, iš jo:</t>
  </si>
  <si>
    <t>SB(VBL)</t>
  </si>
  <si>
    <t>Papriemonės kodas</t>
  </si>
  <si>
    <t>Iš dalies finansuotų projektų skaičius (reabilitacijai)</t>
  </si>
  <si>
    <t>Asmenų su sunkia negalia, kuriems teikiamos socialinės globos paslaugos, skaičius  (perkamos paslaugos)</t>
  </si>
  <si>
    <t>Asmenų su sunkia negalia, kuriems teikiamos socialinės globos paslaugos, skaičius  (Socialinės paramos centras)</t>
  </si>
  <si>
    <t>Asmenų su sunkia negalia, kuriems teikiamos socialinės globos paslaugos, skaičius  (Globos namai)</t>
  </si>
  <si>
    <t>Asmenų su sunkia negalia, kuriems teikiamos socialinės globos paslaugos, skaičius  (Sutrikusio vystymosi kūdikių namai)</t>
  </si>
  <si>
    <t>2/3</t>
  </si>
  <si>
    <t>300/60</t>
  </si>
  <si>
    <t>P1</t>
  </si>
  <si>
    <t xml:space="preserve">Klaipėdos vaikų globos namų „Smiltelė“ patalpų ir infrastruktūros pritaikymas vaikų dienos centro veiklai </t>
  </si>
  <si>
    <t xml:space="preserve">Budinčių globėjų skaičius per metus </t>
  </si>
  <si>
    <t>1/40</t>
  </si>
  <si>
    <t>Vidutiniškai per mėn. paslaugas gaunančių socialinę riziką patiriančių vaikų skaičius</t>
  </si>
  <si>
    <t>Socialinės paramos skyrius</t>
  </si>
  <si>
    <t xml:space="preserve">Projektų skyrius </t>
  </si>
  <si>
    <t>Projektų skyrius</t>
  </si>
  <si>
    <t>Pastatytas daugiabutis gyv. namas Rambyno g. 14A/butų skaičius</t>
  </si>
  <si>
    <t xml:space="preserve">  </t>
  </si>
  <si>
    <r>
      <t xml:space="preserve">Kiti finansavimo šaltiniai </t>
    </r>
    <r>
      <rPr>
        <b/>
        <sz val="10"/>
        <rFont val="Times New Roman"/>
        <family val="1"/>
        <charset val="186"/>
      </rPr>
      <t xml:space="preserve">Kt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</t>
    </r>
  </si>
  <si>
    <t>Plėtoti socialinių paslaugų infrastruktūrą, įrengiant  naujus ir modernizuojant esamus socialines paslaugas teikiančių įstaigų pastatus, užtikrinti įstaigų ūkinį aptarnavimą</t>
  </si>
  <si>
    <t>Tvarkoma paviršinių (lietaus) nuotekų, įstaigų skaičius</t>
  </si>
  <si>
    <t>Tvarkomas centralizuotas vandentiekis ir kanalizacija, įstaigų skaičius</t>
  </si>
  <si>
    <r>
      <t xml:space="preserve">Pajamų įmokų likutis </t>
    </r>
    <r>
      <rPr>
        <b/>
        <sz val="10"/>
        <rFont val="Times New Roman"/>
        <family val="1"/>
        <charset val="186"/>
      </rPr>
      <t>SB(SPL)</t>
    </r>
  </si>
  <si>
    <t>Turto valdymo skyrius</t>
  </si>
  <si>
    <t>Statybos ir infrastruktūros plėtros skyrius</t>
  </si>
  <si>
    <t>Įsigyta kompiuterių, vnt.</t>
  </si>
  <si>
    <t xml:space="preserve">Papildomai nupirkta paslaugų vaikams iš socialinės rizikos šeimų, vaikų skaičius </t>
  </si>
  <si>
    <t>Nutolusių klientų aptarnavimo centrų (KAC) steigimo analizės parengimas</t>
  </si>
  <si>
    <t>Vyr. patarėjas D. Petrolevičius</t>
  </si>
  <si>
    <t>Parengta analizė, vnt.</t>
  </si>
  <si>
    <t>1000/ 800</t>
  </si>
  <si>
    <t>Socialinio būsto skyrius</t>
  </si>
  <si>
    <t>Parengta piliečių chartija, vnt.</t>
  </si>
  <si>
    <t>Įsigyta įranga, baldai, proc.</t>
  </si>
  <si>
    <t xml:space="preserve">Vaikų dienos centruose socialinių įgūdžių ir palaikymo paslaugas gaunančių vaikų skaičius </t>
  </si>
  <si>
    <t>Grupinio gyvenimo namų steigimo neįgaliems jaunuoliams, išeinantiems iš vaikų globos namų, inicijavimas</t>
  </si>
  <si>
    <t xml:space="preserve">Dienos socialinę globą per mėn. gaunančių asmenų  su psichine negalia dienos socialinės globos centre skaičius </t>
  </si>
  <si>
    <t xml:space="preserve">Statinių administravimo  skyrius  </t>
  </si>
  <si>
    <t>Dienos globos asmens namuose teikimas asmenims su negalia</t>
  </si>
  <si>
    <t>Paslaugos gavėjų skaičius per mėnesį</t>
  </si>
  <si>
    <r>
      <rPr>
        <sz val="10"/>
        <rFont val="Times New Roman"/>
        <family val="1"/>
        <charset val="186"/>
      </rPr>
      <t xml:space="preserve">Statinių administravimo 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skyrius  </t>
    </r>
  </si>
  <si>
    <r>
      <t xml:space="preserve">Laikino apgyvendinimo namų infrastruktūros modernizavimas </t>
    </r>
    <r>
      <rPr>
        <sz val="10"/>
        <rFont val="Times New Roman"/>
        <family val="1"/>
      </rPr>
      <t xml:space="preserve">(Šilutės pl. 8, nakvynės namai) </t>
    </r>
  </si>
  <si>
    <t>Atlikta aplinkos sutvarkymo darbų, proc.</t>
  </si>
  <si>
    <t xml:space="preserve"> Projektų skyrius</t>
  </si>
  <si>
    <r>
      <t>Projekto „</t>
    </r>
    <r>
      <rPr>
        <b/>
        <sz val="10"/>
        <rFont val="Times New Roman"/>
        <family val="1"/>
        <charset val="186"/>
      </rPr>
      <t>Bendruomeninių vaikų globos namų steigimas Klaipėdos mieste“</t>
    </r>
    <r>
      <rPr>
        <sz val="10"/>
        <rFont val="Times New Roman"/>
        <family val="1"/>
        <charset val="186"/>
      </rPr>
      <t xml:space="preserve"> įgyvendinimas (Kalvos g. 4)</t>
    </r>
  </si>
  <si>
    <t>Nakvynės namų (Dubysos g. 39) sanitarinių mazgų remontas</t>
  </si>
  <si>
    <r>
      <t xml:space="preserve">Savivaldybei piniginei socialinei paramai finansuoti skirtos lėšos </t>
    </r>
    <r>
      <rPr>
        <b/>
        <sz val="10"/>
        <rFont val="Times New Roman"/>
        <family val="1"/>
        <charset val="186"/>
      </rPr>
      <t>SB(S)</t>
    </r>
  </si>
  <si>
    <t>SB(S)</t>
  </si>
  <si>
    <t>Akredituotos vaikų dienos socialinės priežiūros organizavimas</t>
  </si>
  <si>
    <t>Įstaigų skaičius</t>
  </si>
  <si>
    <t>Integravimo į darbo rinką projektų veiklose dalyvaujančių asmenų skaičius per metus</t>
  </si>
  <si>
    <t xml:space="preserve">Įrengta naujų vietų senyvo amžiaus asmenų globos namuose, vnt. </t>
  </si>
  <si>
    <t xml:space="preserve">Klaipėdos miesto savivaldybės socialinės atskirties mažinimo programos (Nr. 12) aprašymo </t>
  </si>
  <si>
    <t>priedas</t>
  </si>
  <si>
    <t>SB(VB)'</t>
  </si>
  <si>
    <t>SB(S)'</t>
  </si>
  <si>
    <t>SB(SP)'</t>
  </si>
  <si>
    <t>SB(SPL)'</t>
  </si>
  <si>
    <t>Kt'</t>
  </si>
  <si>
    <t>LRVB'</t>
  </si>
  <si>
    <t>ES'</t>
  </si>
  <si>
    <t>SB(ESA)'</t>
  </si>
  <si>
    <t>SB(ES)'</t>
  </si>
  <si>
    <t>BĮ Klaipėdos miesto globos namuose</t>
  </si>
  <si>
    <t>SB(L)'</t>
  </si>
  <si>
    <t>SB(ESL)'</t>
  </si>
  <si>
    <t>SB(F)'</t>
  </si>
  <si>
    <t>SB(FL)'</t>
  </si>
  <si>
    <t>Asmenų su sunkia negalia, kuriems teikiamos socialinės globos paslaugos, skaičius  („Klaipėdos lakštutė“)</t>
  </si>
  <si>
    <t>Asmenų su sunkia negalia, kuriems teikiamos socialinės globos paslaugos, skaičius  („Danė“)</t>
  </si>
  <si>
    <t xml:space="preserve">Suteikta socialinių įgūdžių ugdymo ir palaikymo paslaugų socialinę riziką patiriančiose šeimose (kartų) </t>
  </si>
  <si>
    <t>Socialinių įgūdžių ugdymo, palaikymo ir (ar) atkūrimo paslaugų teikimas vaikų dienos centre</t>
  </si>
  <si>
    <t>Savivaldybės socialinio būsto fondo gyvenamųjų namų statyba žemės sklype Akmenų g. 1B</t>
  </si>
  <si>
    <t>Atlikta analizė</t>
  </si>
  <si>
    <t>Socialinės apsaugos skyrius</t>
  </si>
  <si>
    <t>Socialinės paramos skyrius –  priemonės vykdymas,</t>
  </si>
  <si>
    <t>Planavimo ir analizės skyrius –  programos sąmatų tvirtinimas</t>
  </si>
  <si>
    <t xml:space="preserve"> - projekto „Vaikų gerovės ir saugumo didinimo, paslaugų šeimai, globėjams (rūpintojams) kokybės didinimo bei prieinamumo plėtra“ įgyvendinimas;</t>
  </si>
  <si>
    <t>Paramos teikimas labiausiai skurstantiems asmenims, įgyvendinant projektą „Parama maisto produktais ir higienos prekėmis II“ Nr. EPSF-2020-V-07-01</t>
  </si>
  <si>
    <t>NVO projektų, gaunančių dalinį finansavimą iš savivaldybės biudžeto, skaičius</t>
  </si>
  <si>
    <t>planas</t>
  </si>
  <si>
    <t>iki 20</t>
  </si>
  <si>
    <t>Socialinės globos paslaugų teikimas ne savivaldybės institucijose:</t>
  </si>
  <si>
    <t xml:space="preserve">Socialinės globos paslaugų teikimas vaikams </t>
  </si>
  <si>
    <t xml:space="preserve">Socialinės globos paslaugų teikimas senyvo amžiaus asmenims ir asmenims su negalia </t>
  </si>
  <si>
    <t>Vaikų, apgyvendintų globos institucijose per metus, skaičius</t>
  </si>
  <si>
    <t>Pritaikyta butų neįgaliesiems (suaugusiesiems), skaičius</t>
  </si>
  <si>
    <t>Nacionalinės užsieniečių integracijos programos įgyvendinimas</t>
  </si>
  <si>
    <t>2021–2024 M. KLAIPĖDOS MIESTO SAVIVALDYBĖS</t>
  </si>
  <si>
    <t>Veiklos plano tikslo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</si>
  <si>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</si>
  <si>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</si>
  <si>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</si>
  <si>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</si>
  <si>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</si>
  <si>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2021-ieji metai**</t>
  </si>
  <si>
    <t>2022-ieji metai</t>
  </si>
  <si>
    <t>2023-ieji metai</t>
  </si>
  <si>
    <t>2024-ieji metai</t>
  </si>
  <si>
    <t>Asignavimai 2021-iesiems metams</t>
  </si>
  <si>
    <t>Asmeninės pagalbos teikimo organizavimas</t>
  </si>
  <si>
    <t>Asmenų, kuriems suteikta asmeninė pagalba, skaičius</t>
  </si>
  <si>
    <t>Darbuotojų, kuriems išmokėtas padidintas darbo užmokestis, skaičius</t>
  </si>
  <si>
    <t>76</t>
  </si>
  <si>
    <t>Profesinės sąjungos narių, kuriems išmokėtos skirtos lėšos, skaičius</t>
  </si>
  <si>
    <t>T</t>
  </si>
  <si>
    <t>P</t>
  </si>
  <si>
    <t>Parengtas techninis projektas, vnt.</t>
  </si>
  <si>
    <t>300/65</t>
  </si>
  <si>
    <t>Įsigyta funkcinė slaugos lova, vnt.</t>
  </si>
  <si>
    <t>Įsigytas projektorius, vnt.</t>
  </si>
  <si>
    <t>Įsigyta vejapjovė, vnt.</t>
  </si>
  <si>
    <t>Įsigyti kondicionieriai, vnt.</t>
  </si>
  <si>
    <t>Įsigytos licencijos, vnt.</t>
  </si>
  <si>
    <t>Vidutinis pagalbos į namus paslaugos gavėjų skaičius per mėn.</t>
  </si>
  <si>
    <t>Vidutinis suteiktų socialinių įgūdžių ugdymo ir palaikymo paslaugų socialinę riziką patiriančiose šeimose skaičius per mėn.</t>
  </si>
  <si>
    <t>2/7</t>
  </si>
  <si>
    <t>N</t>
  </si>
  <si>
    <t>Asmenų, po laikino apgyvendinimo paslaugų nutraukimo, pradėjusių gyventi savarankiškai, skaičius vidutiniškai per mėn.</t>
  </si>
  <si>
    <t>Suaugusių asmenų su negalia ir sulaukusių pilnametystės asmenų (iki 24 m.), kuriems buvo teikta socialinė globa (rūpyba) apgyvendinimas apsaugotame būste ar savarankiško gyvenimo namuose, skaičius</t>
  </si>
  <si>
    <t>Įdiegta paslaugų užsakymų tvarkymo (nagrinėjimo ir apdorojimo) procesų robotizavimo sistema, vnt.</t>
  </si>
  <si>
    <t>Socialinių būstų pirkimas</t>
  </si>
  <si>
    <t>P1  T</t>
  </si>
  <si>
    <t>Vidutinis psichosocialinės pagalbos paslaugų gavėjų skaičius per mėn.</t>
  </si>
  <si>
    <t>Atlikti sporto salės patalpų remonto darbai, proc.</t>
  </si>
  <si>
    <t>09</t>
  </si>
  <si>
    <t>Vidutinis dienos socialinės globos paslaugos asmens namuose gavėjų skaičius per mėn.</t>
  </si>
  <si>
    <t>Atlikta remonto darbų, proc.</t>
  </si>
  <si>
    <t>Komunalinių paslaugų įsigijimas:</t>
  </si>
  <si>
    <t xml:space="preserve"> - šildymo, vandens, nuotekų</t>
  </si>
  <si>
    <t xml:space="preserve"> - elektros energijos</t>
  </si>
  <si>
    <t>Įstaigų, kurioms elektros energija įsigyjama centralizuotai, skaičius</t>
  </si>
  <si>
    <t xml:space="preserve">Vietų skaičius intensyvios krizių įveikimo pagalbos paslaugai gauti </t>
  </si>
  <si>
    <t xml:space="preserve"> P      P1   I</t>
  </si>
  <si>
    <t>P   T</t>
  </si>
  <si>
    <t>* Pagal Klaipėdos miesto savivaldybės tarybos sprendimus: 2021-02-25 Nr. T2-24, 2021-04-29 Nr. T2-90, 2021-06-22 Nr. T2-157, 2021-09-30 Nr. T2-192, 2021-11-25 Nr. T2-247.</t>
  </si>
  <si>
    <t>Socialinių reklamų skaičius</t>
  </si>
  <si>
    <t>Padalinių, kuriuose taikoma fizinės apsaugos paslauga, skaičius</t>
  </si>
  <si>
    <t xml:space="preserve">Laikino apnakvindinimo namų steigimas (Dubysos g.) </t>
  </si>
  <si>
    <t>Grąžintos lėšos pagal CPVA ataskaitą, proc.</t>
  </si>
  <si>
    <t xml:space="preserve">Senyvo amžiaus asmenų globos paslaugų plėtra rekonstruojant pastatą, esantį Melnragės gyvenamajame rajone, Vaivos g. 23 </t>
  </si>
  <si>
    <t>5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</si>
  <si>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</si>
  <si>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</si>
  <si>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r>
      <t>Savivaldybės biudžeto lėšų, gautų už parduotus savivaldybės būstus,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likutis </t>
    </r>
    <r>
      <rPr>
        <b/>
        <sz val="10"/>
        <rFont val="Times New Roman"/>
        <family val="1"/>
        <charset val="186"/>
      </rPr>
      <t>SB(FL)</t>
    </r>
  </si>
  <si>
    <t>Įdiegta bendra klientų konsultavimo telefonu ir internetu sistema, žinių bazė, vnt.</t>
  </si>
  <si>
    <t>Darbuotojai, dalyvavę stiprinant kompetencijas, skaičius</t>
  </si>
  <si>
    <t>Daugiabučių namų, kurių atnaujinimo darbai vykdomi, skaičius</t>
  </si>
  <si>
    <t xml:space="preserve"> - Respublikinės šventės „Vaikai yra vaikai“ organizavimas;</t>
  </si>
  <si>
    <t>Aiškinamojo rašto 3 priedas</t>
  </si>
  <si>
    <t>2022–2024 M. KLAIPĖDOS MIESTO SAVIVALDYBĖS</t>
  </si>
  <si>
    <t>Iš viso</t>
  </si>
  <si>
    <t>SB(ES</t>
  </si>
  <si>
    <t>Apmokėtas kreditorinis įsiskolinimas, proc.</t>
  </si>
  <si>
    <t xml:space="preserve">Apmokėtas kreditorinis įsiskolinimas, proc. </t>
  </si>
  <si>
    <t>* N – nauja priemonė; T – tęstinė priemonė; I – investicijų projektas</t>
  </si>
  <si>
    <t>SAVIVALDYBĖS LĖŠOS, 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</si>
</sst>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34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charset val="186"/>
      <scheme val="minor"/>
    </font>
    <font>
      <sz val="8"/>
      <name val="Times New Roman"/>
      <family val="1"/>
    </font>
    <font>
      <i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z val="10"/>
      <color theme="0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trike/>
      <sz val="10"/>
      <name val="Times New Roman"/>
      <family val="1"/>
    </font>
    <font>
      <sz val="11"/>
      <name val="Times New Roman"/>
      <family val="1"/>
      <charset val="186"/>
    </font>
    <font>
      <sz val="10"/>
      <color theme="0"/>
      <name val="Times New Roman"/>
      <family val="1"/>
    </font>
    <font>
      <sz val="10"/>
      <color theme="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theme="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FF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7" fillId="0" borderId="0" applyBorder="0" applyProtection="0"/>
  </cellStyleXfs>
  <cellXfs count="1716">
    <xf numFmtId="0" fontId="0" fillId="0" borderId="0" xfId="0"/>
    <xf numFmtId="3" fontId="4" fillId="0" borderId="0" xfId="0" applyNumberFormat="1" applyFont="1" applyAlignment="1">
      <alignment vertical="top"/>
    </xf>
    <xf numFmtId="3" fontId="4" fillId="0" borderId="0" xfId="0" applyNumberFormat="1" applyFont="1" applyBorder="1" applyAlignment="1">
      <alignment vertical="top"/>
    </xf>
    <xf numFmtId="3" fontId="3" fillId="2" borderId="33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3" fontId="3" fillId="2" borderId="14" xfId="0" applyNumberFormat="1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center" vertical="top"/>
    </xf>
    <xf numFmtId="164" fontId="3" fillId="5" borderId="41" xfId="0" applyNumberFormat="1" applyFont="1" applyFill="1" applyBorder="1" applyAlignment="1">
      <alignment horizontal="center" vertical="top"/>
    </xf>
    <xf numFmtId="3" fontId="4" fillId="3" borderId="41" xfId="0" applyNumberFormat="1" applyFont="1" applyFill="1" applyBorder="1" applyAlignment="1">
      <alignment horizontal="center" vertical="top" wrapText="1"/>
    </xf>
    <xf numFmtId="164" fontId="3" fillId="5" borderId="54" xfId="0" applyNumberFormat="1" applyFont="1" applyFill="1" applyBorder="1" applyAlignment="1">
      <alignment horizontal="center" vertical="top"/>
    </xf>
    <xf numFmtId="3" fontId="3" fillId="2" borderId="2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vertical="top" wrapText="1"/>
    </xf>
    <xf numFmtId="49" fontId="4" fillId="0" borderId="59" xfId="0" applyNumberFormat="1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/>
    </xf>
    <xf numFmtId="3" fontId="3" fillId="2" borderId="62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vertical="center" wrapText="1"/>
    </xf>
    <xf numFmtId="3" fontId="1" fillId="4" borderId="0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vertical="top" wrapText="1"/>
    </xf>
    <xf numFmtId="3" fontId="4" fillId="0" borderId="61" xfId="0" applyNumberFormat="1" applyFont="1" applyFill="1" applyBorder="1" applyAlignment="1">
      <alignment vertical="top" wrapText="1"/>
    </xf>
    <xf numFmtId="3" fontId="4" fillId="3" borderId="4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Alignment="1">
      <alignment vertical="top"/>
    </xf>
    <xf numFmtId="0" fontId="13" fillId="0" borderId="0" xfId="0" applyFont="1" applyAlignment="1">
      <alignment horizontal="center"/>
    </xf>
    <xf numFmtId="164" fontId="6" fillId="4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3" fontId="1" fillId="2" borderId="14" xfId="0" applyNumberFormat="1" applyFont="1" applyFill="1" applyBorder="1" applyAlignment="1">
      <alignment horizontal="center" vertical="top"/>
    </xf>
    <xf numFmtId="49" fontId="1" fillId="4" borderId="14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top"/>
    </xf>
    <xf numFmtId="3" fontId="1" fillId="3" borderId="16" xfId="0" applyNumberFormat="1" applyFont="1" applyFill="1" applyBorder="1" applyAlignment="1">
      <alignment vertical="top" wrapText="1"/>
    </xf>
    <xf numFmtId="3" fontId="4" fillId="4" borderId="36" xfId="0" applyNumberFormat="1" applyFont="1" applyFill="1" applyBorder="1" applyAlignment="1">
      <alignment vertical="top" wrapText="1"/>
    </xf>
    <xf numFmtId="3" fontId="4" fillId="4" borderId="36" xfId="0" applyNumberFormat="1" applyFont="1" applyFill="1" applyBorder="1" applyAlignment="1">
      <alignment horizontal="center" vertical="top" wrapText="1"/>
    </xf>
    <xf numFmtId="3" fontId="4" fillId="0" borderId="36" xfId="0" applyNumberFormat="1" applyFont="1" applyFill="1" applyBorder="1" applyAlignment="1">
      <alignment horizontal="center" vertical="top" wrapText="1"/>
    </xf>
    <xf numFmtId="49" fontId="3" fillId="4" borderId="14" xfId="0" applyNumberFormat="1" applyFont="1" applyFill="1" applyBorder="1" applyAlignment="1">
      <alignment horizontal="center" vertical="top"/>
    </xf>
    <xf numFmtId="49" fontId="3" fillId="4" borderId="23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64" fontId="1" fillId="3" borderId="0" xfId="0" applyNumberFormat="1" applyFont="1" applyFill="1" applyBorder="1" applyAlignment="1">
      <alignment horizontal="center" vertical="top"/>
    </xf>
    <xf numFmtId="3" fontId="4" fillId="3" borderId="29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3" fontId="3" fillId="5" borderId="54" xfId="0" applyNumberFormat="1" applyFont="1" applyFill="1" applyBorder="1" applyAlignment="1">
      <alignment horizontal="center" vertical="top"/>
    </xf>
    <xf numFmtId="3" fontId="4" fillId="4" borderId="41" xfId="0" applyNumberFormat="1" applyFont="1" applyFill="1" applyBorder="1" applyAlignment="1">
      <alignment horizontal="center" vertical="top" wrapText="1"/>
    </xf>
    <xf numFmtId="3" fontId="3" fillId="5" borderId="41" xfId="0" applyNumberFormat="1" applyFont="1" applyFill="1" applyBorder="1" applyAlignment="1">
      <alignment horizontal="center" vertical="top" wrapText="1"/>
    </xf>
    <xf numFmtId="3" fontId="4" fillId="3" borderId="36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/>
    </xf>
    <xf numFmtId="3" fontId="4" fillId="3" borderId="30" xfId="0" applyNumberFormat="1" applyFont="1" applyFill="1" applyBorder="1" applyAlignment="1">
      <alignment horizontal="center" vertical="top" wrapText="1"/>
    </xf>
    <xf numFmtId="3" fontId="4" fillId="3" borderId="36" xfId="0" applyNumberFormat="1" applyFont="1" applyFill="1" applyBorder="1" applyAlignment="1">
      <alignment horizontal="center" vertical="top"/>
    </xf>
    <xf numFmtId="164" fontId="6" fillId="3" borderId="0" xfId="0" applyNumberFormat="1" applyFont="1" applyFill="1" applyBorder="1" applyAlignment="1">
      <alignment horizontal="center" vertical="top"/>
    </xf>
    <xf numFmtId="3" fontId="3" fillId="7" borderId="32" xfId="0" applyNumberFormat="1" applyFont="1" applyFill="1" applyBorder="1" applyAlignment="1">
      <alignment horizontal="center" vertical="top"/>
    </xf>
    <xf numFmtId="3" fontId="3" fillId="7" borderId="8" xfId="0" applyNumberFormat="1" applyFont="1" applyFill="1" applyBorder="1" applyAlignment="1">
      <alignment horizontal="center" vertical="top"/>
    </xf>
    <xf numFmtId="3" fontId="3" fillId="7" borderId="40" xfId="0" applyNumberFormat="1" applyFont="1" applyFill="1" applyBorder="1" applyAlignment="1">
      <alignment horizontal="center" vertical="top"/>
    </xf>
    <xf numFmtId="3" fontId="3" fillId="7" borderId="61" xfId="0" applyNumberFormat="1" applyFont="1" applyFill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 wrapText="1"/>
    </xf>
    <xf numFmtId="3" fontId="1" fillId="7" borderId="38" xfId="0" applyNumberFormat="1" applyFont="1" applyFill="1" applyBorder="1" applyAlignment="1">
      <alignment horizontal="center" vertical="top"/>
    </xf>
    <xf numFmtId="3" fontId="3" fillId="7" borderId="23" xfId="0" applyNumberFormat="1" applyFont="1" applyFill="1" applyBorder="1" applyAlignment="1">
      <alignment horizontal="center" vertical="top"/>
    </xf>
    <xf numFmtId="3" fontId="3" fillId="8" borderId="32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horizontal="center" vertical="top"/>
    </xf>
    <xf numFmtId="3" fontId="4" fillId="0" borderId="40" xfId="0" applyNumberFormat="1" applyFont="1" applyFill="1" applyBorder="1" applyAlignment="1">
      <alignment vertical="top" wrapText="1"/>
    </xf>
    <xf numFmtId="49" fontId="6" fillId="4" borderId="14" xfId="0" applyNumberFormat="1" applyFont="1" applyFill="1" applyBorder="1" applyAlignment="1">
      <alignment horizontal="center" vertical="top" wrapText="1"/>
    </xf>
    <xf numFmtId="3" fontId="4" fillId="4" borderId="27" xfId="0" applyNumberFormat="1" applyFont="1" applyFill="1" applyBorder="1" applyAlignment="1">
      <alignment horizontal="center" vertical="top" wrapText="1"/>
    </xf>
    <xf numFmtId="3" fontId="1" fillId="3" borderId="29" xfId="0" applyNumberFormat="1" applyFont="1" applyFill="1" applyBorder="1" applyAlignment="1">
      <alignment horizontal="center" vertical="top"/>
    </xf>
    <xf numFmtId="3" fontId="4" fillId="3" borderId="29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horizontal="center" vertical="top"/>
    </xf>
    <xf numFmtId="3" fontId="1" fillId="3" borderId="30" xfId="0" applyNumberFormat="1" applyFont="1" applyFill="1" applyBorder="1" applyAlignment="1">
      <alignment horizontal="center" vertical="top"/>
    </xf>
    <xf numFmtId="0" fontId="18" fillId="0" borderId="0" xfId="0" applyFont="1" applyAlignment="1">
      <alignment horizontal="center"/>
    </xf>
    <xf numFmtId="3" fontId="1" fillId="0" borderId="40" xfId="0" applyNumberFormat="1" applyFont="1" applyBorder="1" applyAlignment="1">
      <alignment horizontal="center" vertical="top" wrapText="1"/>
    </xf>
    <xf numFmtId="3" fontId="1" fillId="3" borderId="41" xfId="0" applyNumberFormat="1" applyFont="1" applyFill="1" applyBorder="1" applyAlignment="1">
      <alignment horizontal="center" vertical="top"/>
    </xf>
    <xf numFmtId="3" fontId="4" fillId="0" borderId="36" xfId="0" applyNumberFormat="1" applyFont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 wrapText="1"/>
    </xf>
    <xf numFmtId="3" fontId="6" fillId="5" borderId="54" xfId="0" applyNumberFormat="1" applyFont="1" applyFill="1" applyBorder="1" applyAlignment="1">
      <alignment horizontal="center" vertical="top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center" vertical="top" wrapText="1"/>
    </xf>
    <xf numFmtId="3" fontId="3" fillId="5" borderId="54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vertical="top" wrapText="1"/>
    </xf>
    <xf numFmtId="165" fontId="3" fillId="5" borderId="5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0" fontId="4" fillId="3" borderId="40" xfId="0" applyFont="1" applyFill="1" applyBorder="1" applyAlignment="1">
      <alignment horizontal="center" vertical="top"/>
    </xf>
    <xf numFmtId="3" fontId="3" fillId="9" borderId="23" xfId="0" applyNumberFormat="1" applyFont="1" applyFill="1" applyBorder="1" applyAlignment="1">
      <alignment horizontal="center" vertical="top"/>
    </xf>
    <xf numFmtId="3" fontId="3" fillId="7" borderId="11" xfId="0" applyNumberFormat="1" applyFont="1" applyFill="1" applyBorder="1" applyAlignment="1">
      <alignment horizontal="center" vertical="top" wrapText="1"/>
    </xf>
    <xf numFmtId="164" fontId="6" fillId="8" borderId="69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vertical="top"/>
    </xf>
    <xf numFmtId="3" fontId="4" fillId="3" borderId="29" xfId="0" applyNumberFormat="1" applyFont="1" applyFill="1" applyBorder="1" applyAlignment="1">
      <alignment horizontal="center" vertical="top" wrapText="1"/>
    </xf>
    <xf numFmtId="164" fontId="6" fillId="5" borderId="45" xfId="0" applyNumberFormat="1" applyFont="1" applyFill="1" applyBorder="1" applyAlignment="1">
      <alignment horizontal="center" vertical="top" wrapText="1"/>
    </xf>
    <xf numFmtId="164" fontId="1" fillId="3" borderId="16" xfId="0" applyNumberFormat="1" applyFont="1" applyFill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164" fontId="1" fillId="5" borderId="45" xfId="0" applyNumberFormat="1" applyFont="1" applyFill="1" applyBorder="1" applyAlignment="1">
      <alignment horizontal="center" vertical="top" wrapText="1"/>
    </xf>
    <xf numFmtId="164" fontId="1" fillId="0" borderId="47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3" fillId="5" borderId="57" xfId="0" applyNumberFormat="1" applyFont="1" applyFill="1" applyBorder="1" applyAlignment="1">
      <alignment horizontal="center" vertical="top"/>
    </xf>
    <xf numFmtId="164" fontId="1" fillId="3" borderId="45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center" vertical="top" wrapText="1"/>
    </xf>
    <xf numFmtId="49" fontId="4" fillId="4" borderId="53" xfId="0" applyNumberFormat="1" applyFont="1" applyFill="1" applyBorder="1" applyAlignment="1">
      <alignment horizontal="center" vertical="top"/>
    </xf>
    <xf numFmtId="49" fontId="4" fillId="4" borderId="59" xfId="0" applyNumberFormat="1" applyFont="1" applyFill="1" applyBorder="1" applyAlignment="1">
      <alignment horizontal="center" vertical="top"/>
    </xf>
    <xf numFmtId="49" fontId="4" fillId="4" borderId="52" xfId="0" applyNumberFormat="1" applyFont="1" applyFill="1" applyBorder="1" applyAlignment="1">
      <alignment horizontal="center" vertical="top"/>
    </xf>
    <xf numFmtId="49" fontId="4" fillId="4" borderId="44" xfId="0" applyNumberFormat="1" applyFont="1" applyFill="1" applyBorder="1" applyAlignment="1">
      <alignment horizontal="center" vertical="top"/>
    </xf>
    <xf numFmtId="49" fontId="4" fillId="4" borderId="46" xfId="0" applyNumberFormat="1" applyFont="1" applyFill="1" applyBorder="1" applyAlignment="1">
      <alignment horizontal="center" vertical="top"/>
    </xf>
    <xf numFmtId="3" fontId="4" fillId="0" borderId="25" xfId="0" applyNumberFormat="1" applyFont="1" applyFill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Border="1" applyAlignment="1">
      <alignment horizontal="center" vertical="top" wrapText="1"/>
    </xf>
    <xf numFmtId="164" fontId="6" fillId="5" borderId="69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0" fontId="4" fillId="3" borderId="41" xfId="0" applyFont="1" applyFill="1" applyBorder="1" applyAlignment="1">
      <alignment horizontal="center" vertical="top"/>
    </xf>
    <xf numFmtId="49" fontId="1" fillId="4" borderId="5" xfId="0" applyNumberFormat="1" applyFont="1" applyFill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3" fontId="1" fillId="3" borderId="50" xfId="0" applyNumberFormat="1" applyFont="1" applyFill="1" applyBorder="1" applyAlignment="1">
      <alignment horizontal="center" vertical="top"/>
    </xf>
    <xf numFmtId="3" fontId="1" fillId="0" borderId="16" xfId="0" applyNumberFormat="1" applyFont="1" applyBorder="1" applyAlignment="1">
      <alignment horizontal="center" vertical="top"/>
    </xf>
    <xf numFmtId="3" fontId="6" fillId="3" borderId="63" xfId="0" applyNumberFormat="1" applyFont="1" applyFill="1" applyBorder="1" applyAlignment="1">
      <alignment horizontal="center" vertical="top"/>
    </xf>
    <xf numFmtId="3" fontId="4" fillId="0" borderId="41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 wrapText="1"/>
    </xf>
    <xf numFmtId="3" fontId="1" fillId="3" borderId="41" xfId="0" applyNumberFormat="1" applyFont="1" applyFill="1" applyBorder="1" applyAlignment="1">
      <alignment horizontal="center" vertical="top" wrapText="1"/>
    </xf>
    <xf numFmtId="3" fontId="1" fillId="3" borderId="18" xfId="0" applyNumberFormat="1" applyFont="1" applyFill="1" applyBorder="1" applyAlignment="1">
      <alignment horizontal="center" vertical="top" wrapText="1"/>
    </xf>
    <xf numFmtId="3" fontId="1" fillId="3" borderId="50" xfId="0" applyNumberFormat="1" applyFont="1" applyFill="1" applyBorder="1" applyAlignment="1">
      <alignment horizontal="center" vertical="top" wrapText="1"/>
    </xf>
    <xf numFmtId="3" fontId="4" fillId="3" borderId="48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center" vertical="top" wrapText="1"/>
    </xf>
    <xf numFmtId="3" fontId="4" fillId="4" borderId="48" xfId="0" applyNumberFormat="1" applyFont="1" applyFill="1" applyBorder="1" applyAlignment="1">
      <alignment horizontal="left" vertical="top" wrapText="1"/>
    </xf>
    <xf numFmtId="3" fontId="6" fillId="3" borderId="14" xfId="0" applyNumberFormat="1" applyFont="1" applyFill="1" applyBorder="1" applyAlignment="1">
      <alignment horizontal="center" vertical="top"/>
    </xf>
    <xf numFmtId="0" fontId="4" fillId="3" borderId="29" xfId="0" applyFont="1" applyFill="1" applyBorder="1" applyAlignment="1">
      <alignment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left"/>
    </xf>
    <xf numFmtId="3" fontId="1" fillId="4" borderId="0" xfId="0" applyNumberFormat="1" applyFont="1" applyFill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left" vertical="top" wrapText="1"/>
    </xf>
    <xf numFmtId="3" fontId="4" fillId="0" borderId="45" xfId="0" applyNumberFormat="1" applyFont="1" applyFill="1" applyBorder="1" applyAlignment="1">
      <alignment horizontal="left" vertical="top" wrapText="1"/>
    </xf>
    <xf numFmtId="3" fontId="4" fillId="3" borderId="50" xfId="0" applyNumberFormat="1" applyFont="1" applyFill="1" applyBorder="1" applyAlignment="1">
      <alignment horizontal="center" vertical="top"/>
    </xf>
    <xf numFmtId="0" fontId="1" fillId="3" borderId="50" xfId="0" applyFont="1" applyFill="1" applyBorder="1" applyAlignment="1">
      <alignment vertical="top" wrapText="1"/>
    </xf>
    <xf numFmtId="0" fontId="4" fillId="3" borderId="50" xfId="0" applyFont="1" applyFill="1" applyBorder="1" applyAlignment="1">
      <alignment vertical="top" wrapText="1"/>
    </xf>
    <xf numFmtId="3" fontId="4" fillId="0" borderId="34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4" borderId="41" xfId="0" applyNumberFormat="1" applyFont="1" applyFill="1" applyBorder="1" applyAlignment="1">
      <alignment vertical="top" wrapText="1"/>
    </xf>
    <xf numFmtId="3" fontId="1" fillId="3" borderId="29" xfId="0" applyNumberFormat="1" applyFont="1" applyFill="1" applyBorder="1" applyAlignment="1">
      <alignment vertical="top" wrapText="1"/>
    </xf>
    <xf numFmtId="3" fontId="1" fillId="3" borderId="40" xfId="0" applyNumberFormat="1" applyFont="1" applyFill="1" applyBorder="1" applyAlignment="1">
      <alignment vertical="top" wrapText="1"/>
    </xf>
    <xf numFmtId="3" fontId="1" fillId="3" borderId="61" xfId="0" applyNumberFormat="1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164" fontId="13" fillId="0" borderId="0" xfId="0" applyNumberFormat="1" applyFont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center" vertical="top"/>
    </xf>
    <xf numFmtId="3" fontId="4" fillId="0" borderId="30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/>
    </xf>
    <xf numFmtId="3" fontId="3" fillId="5" borderId="18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 wrapText="1"/>
    </xf>
    <xf numFmtId="3" fontId="4" fillId="3" borderId="41" xfId="0" applyNumberFormat="1" applyFont="1" applyFill="1" applyBorder="1" applyAlignment="1">
      <alignment vertical="top" wrapText="1"/>
    </xf>
    <xf numFmtId="0" fontId="1" fillId="3" borderId="41" xfId="0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vertical="top" wrapText="1"/>
    </xf>
    <xf numFmtId="3" fontId="4" fillId="3" borderId="41" xfId="0" applyNumberFormat="1" applyFont="1" applyFill="1" applyBorder="1" applyAlignment="1">
      <alignment horizontal="center" vertical="top"/>
    </xf>
    <xf numFmtId="164" fontId="1" fillId="3" borderId="18" xfId="0" applyNumberFormat="1" applyFont="1" applyFill="1" applyBorder="1" applyAlignment="1">
      <alignment horizontal="center" vertical="top"/>
    </xf>
    <xf numFmtId="164" fontId="4" fillId="3" borderId="18" xfId="0" applyNumberFormat="1" applyFont="1" applyFill="1" applyBorder="1" applyAlignment="1">
      <alignment horizontal="center" vertical="top" wrapText="1"/>
    </xf>
    <xf numFmtId="164" fontId="3" fillId="5" borderId="56" xfId="0" applyNumberFormat="1" applyFont="1" applyFill="1" applyBorder="1" applyAlignment="1">
      <alignment horizontal="center" vertical="top"/>
    </xf>
    <xf numFmtId="164" fontId="3" fillId="5" borderId="31" xfId="0" applyNumberFormat="1" applyFont="1" applyFill="1" applyBorder="1" applyAlignment="1">
      <alignment horizontal="center" vertical="top"/>
    </xf>
    <xf numFmtId="164" fontId="1" fillId="3" borderId="6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164" fontId="1" fillId="3" borderId="4" xfId="0" applyNumberFormat="1" applyFont="1" applyFill="1" applyBorder="1" applyAlignment="1">
      <alignment horizontal="center" vertical="top"/>
    </xf>
    <xf numFmtId="164" fontId="1" fillId="3" borderId="43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top"/>
    </xf>
    <xf numFmtId="164" fontId="3" fillId="5" borderId="43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3" borderId="43" xfId="0" applyNumberFormat="1" applyFont="1" applyFill="1" applyBorder="1" applyAlignment="1">
      <alignment horizontal="center" vertical="top"/>
    </xf>
    <xf numFmtId="164" fontId="3" fillId="5" borderId="21" xfId="0" applyNumberFormat="1" applyFont="1" applyFill="1" applyBorder="1" applyAlignment="1">
      <alignment horizontal="center" vertical="top"/>
    </xf>
    <xf numFmtId="164" fontId="6" fillId="5" borderId="56" xfId="0" applyNumberFormat="1" applyFont="1" applyFill="1" applyBorder="1" applyAlignment="1">
      <alignment horizontal="center" vertical="top"/>
    </xf>
    <xf numFmtId="164" fontId="1" fillId="3" borderId="19" xfId="0" applyNumberFormat="1" applyFont="1" applyFill="1" applyBorder="1" applyAlignment="1">
      <alignment horizontal="center" vertical="top" wrapText="1"/>
    </xf>
    <xf numFmtId="164" fontId="3" fillId="5" borderId="15" xfId="0" applyNumberFormat="1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164" fontId="6" fillId="5" borderId="54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center" vertical="top"/>
    </xf>
    <xf numFmtId="164" fontId="1" fillId="3" borderId="12" xfId="0" applyNumberFormat="1" applyFont="1" applyFill="1" applyBorder="1" applyAlignment="1">
      <alignment horizontal="center" vertical="top" wrapText="1"/>
    </xf>
    <xf numFmtId="165" fontId="1" fillId="3" borderId="43" xfId="0" applyNumberFormat="1" applyFont="1" applyFill="1" applyBorder="1" applyAlignment="1">
      <alignment horizontal="center" vertical="top" wrapText="1"/>
    </xf>
    <xf numFmtId="164" fontId="6" fillId="5" borderId="21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 wrapText="1"/>
    </xf>
    <xf numFmtId="164" fontId="4" fillId="3" borderId="43" xfId="0" applyNumberFormat="1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top"/>
    </xf>
    <xf numFmtId="164" fontId="3" fillId="5" borderId="13" xfId="0" applyNumberFormat="1" applyFont="1" applyFill="1" applyBorder="1" applyAlignment="1">
      <alignment horizontal="center" vertical="top"/>
    </xf>
    <xf numFmtId="164" fontId="3" fillId="2" borderId="33" xfId="0" applyNumberFormat="1" applyFont="1" applyFill="1" applyBorder="1" applyAlignment="1">
      <alignment horizontal="center" vertical="top"/>
    </xf>
    <xf numFmtId="0" fontId="1" fillId="3" borderId="48" xfId="0" applyFont="1" applyFill="1" applyBorder="1" applyAlignment="1">
      <alignment horizontal="center" vertical="top" wrapText="1"/>
    </xf>
    <xf numFmtId="0" fontId="1" fillId="3" borderId="72" xfId="0" applyFont="1" applyFill="1" applyBorder="1" applyAlignment="1">
      <alignment horizontal="center" vertical="top" wrapText="1"/>
    </xf>
    <xf numFmtId="164" fontId="1" fillId="3" borderId="31" xfId="0" applyNumberFormat="1" applyFont="1" applyFill="1" applyBorder="1" applyAlignment="1">
      <alignment horizontal="center" vertical="top"/>
    </xf>
    <xf numFmtId="164" fontId="4" fillId="3" borderId="34" xfId="0" applyNumberFormat="1" applyFont="1" applyFill="1" applyBorder="1" applyAlignment="1">
      <alignment horizontal="center" vertical="top" wrapText="1"/>
    </xf>
    <xf numFmtId="164" fontId="3" fillId="7" borderId="10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/>
    </xf>
    <xf numFmtId="164" fontId="3" fillId="7" borderId="8" xfId="0" applyNumberFormat="1" applyFont="1" applyFill="1" applyBorder="1" applyAlignment="1">
      <alignment horizontal="center" vertical="top"/>
    </xf>
    <xf numFmtId="164" fontId="3" fillId="8" borderId="61" xfId="0" applyNumberFormat="1" applyFont="1" applyFill="1" applyBorder="1" applyAlignment="1">
      <alignment horizontal="center" vertical="top" wrapText="1"/>
    </xf>
    <xf numFmtId="165" fontId="3" fillId="5" borderId="21" xfId="0" applyNumberFormat="1" applyFont="1" applyFill="1" applyBorder="1" applyAlignment="1">
      <alignment horizontal="center" vertical="top" wrapText="1"/>
    </xf>
    <xf numFmtId="164" fontId="4" fillId="4" borderId="4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/>
    </xf>
    <xf numFmtId="164" fontId="6" fillId="2" borderId="33" xfId="0" applyNumberFormat="1" applyFont="1" applyFill="1" applyBorder="1" applyAlignment="1">
      <alignment horizontal="center" vertical="top"/>
    </xf>
    <xf numFmtId="164" fontId="3" fillId="7" borderId="33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 wrapText="1"/>
    </xf>
    <xf numFmtId="164" fontId="1" fillId="3" borderId="13" xfId="0" applyNumberFormat="1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12" xfId="0" applyNumberFormat="1" applyFont="1" applyFill="1" applyBorder="1" applyAlignment="1">
      <alignment horizontal="center" vertical="top" wrapText="1"/>
    </xf>
    <xf numFmtId="3" fontId="4" fillId="4" borderId="4" xfId="0" applyNumberFormat="1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horizontal="center" vertical="top" wrapText="1"/>
    </xf>
    <xf numFmtId="49" fontId="1" fillId="3" borderId="31" xfId="0" applyNumberFormat="1" applyFont="1" applyFill="1" applyBorder="1" applyAlignment="1">
      <alignment horizontal="center" vertical="top" wrapText="1"/>
    </xf>
    <xf numFmtId="3" fontId="4" fillId="3" borderId="72" xfId="0" applyNumberFormat="1" applyFont="1" applyFill="1" applyBorder="1" applyAlignment="1">
      <alignment horizontal="center" vertical="top" wrapText="1"/>
    </xf>
    <xf numFmtId="1" fontId="1" fillId="3" borderId="43" xfId="0" applyNumberFormat="1" applyFont="1" applyFill="1" applyBorder="1" applyAlignment="1">
      <alignment horizontal="center" vertical="top" wrapText="1"/>
    </xf>
    <xf numFmtId="165" fontId="1" fillId="3" borderId="12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3" fontId="1" fillId="3" borderId="12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49" fontId="4" fillId="3" borderId="49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1" fontId="1" fillId="3" borderId="41" xfId="0" applyNumberFormat="1" applyFont="1" applyFill="1" applyBorder="1" applyAlignment="1">
      <alignment horizontal="center" vertical="top" wrapText="1"/>
    </xf>
    <xf numFmtId="49" fontId="1" fillId="3" borderId="41" xfId="0" applyNumberFormat="1" applyFont="1" applyFill="1" applyBorder="1" applyAlignment="1">
      <alignment horizontal="center" vertical="top" wrapText="1"/>
    </xf>
    <xf numFmtId="165" fontId="1" fillId="3" borderId="29" xfId="0" applyNumberFormat="1" applyFont="1" applyFill="1" applyBorder="1" applyAlignment="1">
      <alignment horizontal="center" vertical="top" wrapText="1"/>
    </xf>
    <xf numFmtId="49" fontId="4" fillId="3" borderId="48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48" xfId="0" applyNumberFormat="1" applyFont="1" applyBorder="1" applyAlignment="1">
      <alignment horizontal="center" vertical="top" wrapText="1"/>
    </xf>
    <xf numFmtId="164" fontId="1" fillId="0" borderId="49" xfId="0" applyNumberFormat="1" applyFont="1" applyBorder="1" applyAlignment="1">
      <alignment horizontal="center" vertical="top" wrapText="1"/>
    </xf>
    <xf numFmtId="164" fontId="1" fillId="0" borderId="72" xfId="0" applyNumberFormat="1" applyFont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" borderId="41" xfId="0" applyFont="1" applyFill="1" applyBorder="1" applyAlignment="1">
      <alignment vertical="top" wrapText="1"/>
    </xf>
    <xf numFmtId="0" fontId="4" fillId="3" borderId="39" xfId="0" applyFont="1" applyFill="1" applyBorder="1" applyAlignment="1">
      <alignment vertical="top" wrapText="1"/>
    </xf>
    <xf numFmtId="0" fontId="4" fillId="3" borderId="49" xfId="0" applyFont="1" applyFill="1" applyBorder="1" applyAlignment="1">
      <alignment horizontal="center" vertical="top" wrapText="1"/>
    </xf>
    <xf numFmtId="3" fontId="1" fillId="3" borderId="30" xfId="0" applyNumberFormat="1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vertical="top" wrapText="1"/>
    </xf>
    <xf numFmtId="164" fontId="1" fillId="3" borderId="40" xfId="0" applyNumberFormat="1" applyFont="1" applyFill="1" applyBorder="1" applyAlignment="1">
      <alignment horizontal="center" vertical="top" wrapText="1"/>
    </xf>
    <xf numFmtId="164" fontId="1" fillId="3" borderId="15" xfId="0" applyNumberFormat="1" applyFont="1" applyFill="1" applyBorder="1" applyAlignment="1">
      <alignment horizontal="center" vertical="top" wrapText="1"/>
    </xf>
    <xf numFmtId="165" fontId="3" fillId="5" borderId="56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 wrapText="1"/>
    </xf>
    <xf numFmtId="164" fontId="6" fillId="5" borderId="29" xfId="0" applyNumberFormat="1" applyFont="1" applyFill="1" applyBorder="1" applyAlignment="1">
      <alignment horizontal="center" vertical="top" wrapText="1"/>
    </xf>
    <xf numFmtId="164" fontId="1" fillId="5" borderId="29" xfId="0" applyNumberFormat="1" applyFont="1" applyFill="1" applyBorder="1" applyAlignment="1">
      <alignment horizontal="center" vertical="top" wrapText="1"/>
    </xf>
    <xf numFmtId="164" fontId="1" fillId="5" borderId="54" xfId="0" applyNumberFormat="1" applyFont="1" applyFill="1" applyBorder="1" applyAlignment="1">
      <alignment horizontal="center" vertical="top" wrapText="1"/>
    </xf>
    <xf numFmtId="164" fontId="6" fillId="8" borderId="8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164" fontId="6" fillId="5" borderId="8" xfId="0" applyNumberFormat="1" applyFont="1" applyFill="1" applyBorder="1" applyAlignment="1">
      <alignment horizontal="center" vertical="top" wrapText="1"/>
    </xf>
    <xf numFmtId="164" fontId="6" fillId="8" borderId="6" xfId="0" applyNumberFormat="1" applyFont="1" applyFill="1" applyBorder="1" applyAlignment="1">
      <alignment horizontal="center" vertical="top" wrapText="1"/>
    </xf>
    <xf numFmtId="164" fontId="6" fillId="5" borderId="19" xfId="0" applyNumberFormat="1" applyFont="1" applyFill="1" applyBorder="1" applyAlignment="1">
      <alignment horizontal="center" vertical="top" wrapText="1"/>
    </xf>
    <xf numFmtId="164" fontId="1" fillId="5" borderId="19" xfId="0" applyNumberFormat="1" applyFont="1" applyFill="1" applyBorder="1" applyAlignment="1">
      <alignment horizontal="center" vertical="top" wrapText="1"/>
    </xf>
    <xf numFmtId="164" fontId="1" fillId="5" borderId="56" xfId="0" applyNumberFormat="1" applyFont="1" applyFill="1" applyBorder="1" applyAlignment="1">
      <alignment horizontal="center" vertical="top" wrapText="1"/>
    </xf>
    <xf numFmtId="164" fontId="6" fillId="8" borderId="10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6" fillId="5" borderId="10" xfId="0" applyNumberFormat="1" applyFont="1" applyFill="1" applyBorder="1" applyAlignment="1">
      <alignment horizontal="center" vertical="top" wrapText="1"/>
    </xf>
    <xf numFmtId="164" fontId="6" fillId="8" borderId="4" xfId="0" applyNumberFormat="1" applyFont="1" applyFill="1" applyBorder="1" applyAlignment="1">
      <alignment horizontal="center" vertical="top" wrapText="1"/>
    </xf>
    <xf numFmtId="164" fontId="6" fillId="5" borderId="12" xfId="0" applyNumberFormat="1" applyFont="1" applyFill="1" applyBorder="1" applyAlignment="1">
      <alignment horizontal="center" vertical="top" wrapText="1"/>
    </xf>
    <xf numFmtId="164" fontId="1" fillId="5" borderId="12" xfId="0" applyNumberFormat="1" applyFont="1" applyFill="1" applyBorder="1" applyAlignment="1">
      <alignment horizontal="center" vertical="top" wrapText="1"/>
    </xf>
    <xf numFmtId="164" fontId="1" fillId="5" borderId="21" xfId="0" applyNumberFormat="1" applyFont="1" applyFill="1" applyBorder="1" applyAlignment="1">
      <alignment horizontal="center" vertical="top" wrapText="1"/>
    </xf>
    <xf numFmtId="164" fontId="6" fillId="8" borderId="3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" fontId="4" fillId="3" borderId="52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 vertical="top" wrapText="1"/>
    </xf>
    <xf numFmtId="3" fontId="1" fillId="3" borderId="40" xfId="0" applyNumberFormat="1" applyFont="1" applyFill="1" applyBorder="1" applyAlignment="1">
      <alignment horizontal="center" vertical="top" wrapText="1"/>
    </xf>
    <xf numFmtId="3" fontId="1" fillId="3" borderId="48" xfId="0" applyNumberFormat="1" applyFont="1" applyFill="1" applyBorder="1" applyAlignment="1">
      <alignment horizontal="center" vertical="top" wrapText="1"/>
    </xf>
    <xf numFmtId="3" fontId="1" fillId="3" borderId="29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/>
    </xf>
    <xf numFmtId="164" fontId="1" fillId="3" borderId="28" xfId="0" applyNumberFormat="1" applyFont="1" applyFill="1" applyBorder="1" applyAlignment="1">
      <alignment horizontal="center" vertical="top"/>
    </xf>
    <xf numFmtId="164" fontId="3" fillId="5" borderId="55" xfId="0" applyNumberFormat="1" applyFont="1" applyFill="1" applyBorder="1" applyAlignment="1">
      <alignment horizontal="center" vertical="top"/>
    </xf>
    <xf numFmtId="164" fontId="6" fillId="5" borderId="55" xfId="0" applyNumberFormat="1" applyFont="1" applyFill="1" applyBorder="1" applyAlignment="1">
      <alignment horizontal="center" vertical="top"/>
    </xf>
    <xf numFmtId="164" fontId="1" fillId="3" borderId="27" xfId="0" applyNumberFormat="1" applyFont="1" applyFill="1" applyBorder="1" applyAlignment="1">
      <alignment horizontal="center" vertical="top"/>
    </xf>
    <xf numFmtId="164" fontId="4" fillId="3" borderId="3" xfId="0" applyNumberFormat="1" applyFont="1" applyFill="1" applyBorder="1" applyAlignment="1">
      <alignment horizontal="center" vertical="top"/>
    </xf>
    <xf numFmtId="164" fontId="4" fillId="3" borderId="28" xfId="0" applyNumberFormat="1" applyFont="1" applyFill="1" applyBorder="1" applyAlignment="1">
      <alignment horizontal="center" vertical="top"/>
    </xf>
    <xf numFmtId="3" fontId="1" fillId="3" borderId="45" xfId="0" applyNumberFormat="1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vertical="top" wrapText="1"/>
    </xf>
    <xf numFmtId="3" fontId="4" fillId="3" borderId="47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1" fillId="3" borderId="39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39" xfId="0" applyNumberFormat="1" applyFont="1" applyFill="1" applyBorder="1" applyAlignment="1">
      <alignment horizontal="center" vertical="top"/>
    </xf>
    <xf numFmtId="3" fontId="4" fillId="0" borderId="45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vertical="top" wrapText="1"/>
    </xf>
    <xf numFmtId="3" fontId="1" fillId="3" borderId="0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horizontal="left" vertical="top" wrapText="1"/>
    </xf>
    <xf numFmtId="3" fontId="1" fillId="3" borderId="30" xfId="0" applyNumberFormat="1" applyFont="1" applyFill="1" applyBorder="1" applyAlignment="1">
      <alignment horizontal="left" vertical="top" wrapText="1"/>
    </xf>
    <xf numFmtId="0" fontId="1" fillId="3" borderId="50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3" fontId="1" fillId="3" borderId="18" xfId="0" applyNumberFormat="1" applyFont="1" applyFill="1" applyBorder="1" applyAlignment="1">
      <alignment vertical="top" wrapText="1"/>
    </xf>
    <xf numFmtId="0" fontId="1" fillId="3" borderId="3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 wrapText="1"/>
    </xf>
    <xf numFmtId="165" fontId="22" fillId="3" borderId="0" xfId="0" applyNumberFormat="1" applyFont="1" applyFill="1" applyBorder="1" applyAlignment="1">
      <alignment horizontal="center" vertical="top"/>
    </xf>
    <xf numFmtId="165" fontId="22" fillId="3" borderId="13" xfId="0" applyNumberFormat="1" applyFont="1" applyFill="1" applyBorder="1" applyAlignment="1">
      <alignment horizontal="center" vertical="top"/>
    </xf>
    <xf numFmtId="165" fontId="22" fillId="3" borderId="53" xfId="0" applyNumberFormat="1" applyFont="1" applyFill="1" applyBorder="1" applyAlignment="1">
      <alignment horizontal="center" vertical="top" wrapText="1"/>
    </xf>
    <xf numFmtId="165" fontId="6" fillId="5" borderId="55" xfId="0" applyNumberFormat="1" applyFont="1" applyFill="1" applyBorder="1" applyAlignment="1">
      <alignment horizontal="center" vertical="top" wrapText="1"/>
    </xf>
    <xf numFmtId="165" fontId="22" fillId="3" borderId="38" xfId="0" applyNumberFormat="1" applyFont="1" applyFill="1" applyBorder="1" applyAlignment="1">
      <alignment horizontal="center" vertical="top"/>
    </xf>
    <xf numFmtId="165" fontId="1" fillId="3" borderId="41" xfId="0" applyNumberFormat="1" applyFont="1" applyFill="1" applyBorder="1" applyAlignment="1">
      <alignment horizontal="center" vertical="top" wrapText="1"/>
    </xf>
    <xf numFmtId="0" fontId="4" fillId="3" borderId="61" xfId="0" applyFont="1" applyFill="1" applyBorder="1" applyAlignment="1">
      <alignment vertical="top" wrapText="1"/>
    </xf>
    <xf numFmtId="3" fontId="4" fillId="4" borderId="13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3" fontId="1" fillId="3" borderId="37" xfId="0" applyNumberFormat="1" applyFont="1" applyFill="1" applyBorder="1" applyAlignment="1">
      <alignment horizontal="center" vertical="top" wrapText="1"/>
    </xf>
    <xf numFmtId="49" fontId="4" fillId="3" borderId="45" xfId="1" applyNumberFormat="1" applyFont="1" applyFill="1" applyBorder="1" applyAlignment="1">
      <alignment horizontal="center" vertical="top" wrapText="1"/>
    </xf>
    <xf numFmtId="164" fontId="4" fillId="3" borderId="49" xfId="0" applyNumberFormat="1" applyFont="1" applyFill="1" applyBorder="1" applyAlignment="1">
      <alignment horizontal="center" vertical="top" wrapText="1"/>
    </xf>
    <xf numFmtId="164" fontId="4" fillId="3" borderId="72" xfId="0" applyNumberFormat="1" applyFont="1" applyFill="1" applyBorder="1" applyAlignment="1">
      <alignment horizontal="center" vertical="top" wrapText="1"/>
    </xf>
    <xf numFmtId="164" fontId="4" fillId="3" borderId="3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/>
    </xf>
    <xf numFmtId="164" fontId="4" fillId="0" borderId="30" xfId="0" applyNumberFormat="1" applyFont="1" applyFill="1" applyBorder="1" applyAlignment="1">
      <alignment horizontal="center" vertical="top"/>
    </xf>
    <xf numFmtId="3" fontId="4" fillId="4" borderId="39" xfId="0" applyNumberFormat="1" applyFont="1" applyFill="1" applyBorder="1" applyAlignment="1">
      <alignment horizontal="center" vertical="top" wrapText="1"/>
    </xf>
    <xf numFmtId="3" fontId="3" fillId="5" borderId="57" xfId="0" applyNumberFormat="1" applyFont="1" applyFill="1" applyBorder="1" applyAlignment="1">
      <alignment horizontal="center" vertical="top"/>
    </xf>
    <xf numFmtId="3" fontId="4" fillId="4" borderId="7" xfId="0" applyNumberFormat="1" applyFont="1" applyFill="1" applyBorder="1" applyAlignment="1">
      <alignment horizontal="center" vertical="top" wrapText="1"/>
    </xf>
    <xf numFmtId="3" fontId="3" fillId="5" borderId="57" xfId="0" applyNumberFormat="1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vertical="top" wrapText="1"/>
    </xf>
    <xf numFmtId="3" fontId="22" fillId="3" borderId="16" xfId="0" applyNumberFormat="1" applyFont="1" applyFill="1" applyBorder="1" applyAlignment="1">
      <alignment horizontal="center" vertical="top"/>
    </xf>
    <xf numFmtId="3" fontId="4" fillId="3" borderId="25" xfId="0" applyNumberFormat="1" applyFont="1" applyFill="1" applyBorder="1" applyAlignment="1">
      <alignment horizontal="center" vertical="top" wrapText="1"/>
    </xf>
    <xf numFmtId="3" fontId="4" fillId="4" borderId="61" xfId="0" applyNumberFormat="1" applyFont="1" applyFill="1" applyBorder="1" applyAlignment="1">
      <alignment horizontal="left" vertical="top" wrapText="1"/>
    </xf>
    <xf numFmtId="3" fontId="4" fillId="3" borderId="50" xfId="0" applyNumberFormat="1" applyFont="1" applyFill="1" applyBorder="1" applyAlignment="1">
      <alignment vertical="top" wrapText="1"/>
    </xf>
    <xf numFmtId="3" fontId="4" fillId="0" borderId="50" xfId="0" applyNumberFormat="1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 wrapText="1"/>
    </xf>
    <xf numFmtId="3" fontId="1" fillId="0" borderId="25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4" fillId="3" borderId="40" xfId="0" applyNumberFormat="1" applyFont="1" applyFill="1" applyBorder="1" applyAlignment="1">
      <alignment horizontal="left" vertical="top" wrapText="1"/>
    </xf>
    <xf numFmtId="3" fontId="3" fillId="2" borderId="22" xfId="0" applyNumberFormat="1" applyFont="1" applyFill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3" fontId="10" fillId="0" borderId="0" xfId="0" applyNumberFormat="1" applyFont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0" fontId="13" fillId="0" borderId="0" xfId="0" applyFont="1" applyAlignment="1"/>
    <xf numFmtId="0" fontId="13" fillId="3" borderId="0" xfId="0" applyFont="1" applyFill="1" applyAlignment="1"/>
    <xf numFmtId="0" fontId="20" fillId="3" borderId="0" xfId="0" applyFont="1" applyFill="1" applyBorder="1" applyAlignment="1"/>
    <xf numFmtId="3" fontId="9" fillId="0" borderId="0" xfId="0" applyNumberFormat="1" applyFont="1" applyAlignment="1">
      <alignment horizontal="left" vertical="top" wrapText="1"/>
    </xf>
    <xf numFmtId="49" fontId="6" fillId="0" borderId="14" xfId="0" applyNumberFormat="1" applyFont="1" applyBorder="1" applyAlignment="1">
      <alignment vertical="top"/>
    </xf>
    <xf numFmtId="49" fontId="6" fillId="0" borderId="23" xfId="0" applyNumberFormat="1" applyFont="1" applyBorder="1" applyAlignment="1">
      <alignment vertical="top"/>
    </xf>
    <xf numFmtId="3" fontId="6" fillId="2" borderId="13" xfId="0" applyNumberFormat="1" applyFont="1" applyFill="1" applyBorder="1" applyAlignment="1">
      <alignment vertical="top"/>
    </xf>
    <xf numFmtId="3" fontId="6" fillId="2" borderId="22" xfId="0" applyNumberFormat="1" applyFont="1" applyFill="1" applyBorder="1" applyAlignment="1">
      <alignment vertical="top"/>
    </xf>
    <xf numFmtId="3" fontId="6" fillId="7" borderId="38" xfId="0" applyNumberFormat="1" applyFont="1" applyFill="1" applyBorder="1" applyAlignment="1">
      <alignment vertical="top"/>
    </xf>
    <xf numFmtId="3" fontId="6" fillId="7" borderId="58" xfId="0" applyNumberFormat="1" applyFont="1" applyFill="1" applyBorder="1" applyAlignment="1">
      <alignment vertical="top"/>
    </xf>
    <xf numFmtId="3" fontId="4" fillId="0" borderId="25" xfId="0" applyNumberFormat="1" applyFont="1" applyBorder="1" applyAlignment="1">
      <alignment vertical="top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3" borderId="48" xfId="0" applyNumberFormat="1" applyFont="1" applyFill="1" applyBorder="1" applyAlignment="1">
      <alignment vertical="top" wrapText="1"/>
    </xf>
    <xf numFmtId="3" fontId="4" fillId="3" borderId="6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center" textRotation="90" wrapText="1"/>
    </xf>
    <xf numFmtId="3" fontId="6" fillId="3" borderId="13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vertical="center" textRotation="90" wrapText="1"/>
    </xf>
    <xf numFmtId="3" fontId="4" fillId="0" borderId="14" xfId="0" applyNumberFormat="1" applyFont="1" applyFill="1" applyBorder="1" applyAlignment="1">
      <alignment horizontal="center" vertical="top" textRotation="180" wrapText="1"/>
    </xf>
    <xf numFmtId="3" fontId="1" fillId="0" borderId="23" xfId="0" applyNumberFormat="1" applyFont="1" applyFill="1" applyBorder="1" applyAlignment="1">
      <alignment vertical="center" textRotation="90" wrapText="1"/>
    </xf>
    <xf numFmtId="3" fontId="4" fillId="3" borderId="5" xfId="0" applyNumberFormat="1" applyFont="1" applyFill="1" applyBorder="1" applyAlignment="1">
      <alignment horizontal="center" vertical="center" textRotation="90" wrapText="1"/>
    </xf>
    <xf numFmtId="3" fontId="4" fillId="3" borderId="22" xfId="0" applyNumberFormat="1" applyFont="1" applyFill="1" applyBorder="1" applyAlignment="1">
      <alignment horizontal="center" vertical="center" textRotation="90" wrapText="1"/>
    </xf>
    <xf numFmtId="3" fontId="4" fillId="3" borderId="13" xfId="0" applyNumberFormat="1" applyFont="1" applyFill="1" applyBorder="1" applyAlignment="1">
      <alignment vertical="center" textRotation="90" wrapText="1"/>
    </xf>
    <xf numFmtId="3" fontId="2" fillId="0" borderId="23" xfId="0" applyNumberFormat="1" applyFont="1" applyBorder="1" applyAlignment="1">
      <alignment horizontal="center" vertical="top" wrapText="1"/>
    </xf>
    <xf numFmtId="3" fontId="6" fillId="4" borderId="26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top" textRotation="180" wrapText="1"/>
    </xf>
    <xf numFmtId="3" fontId="6" fillId="0" borderId="36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horizontal="center" vertical="top" textRotation="90"/>
    </xf>
    <xf numFmtId="3" fontId="4" fillId="0" borderId="13" xfId="0" applyNumberFormat="1" applyFont="1" applyBorder="1" applyAlignment="1">
      <alignment vertical="center" textRotation="90"/>
    </xf>
    <xf numFmtId="3" fontId="4" fillId="0" borderId="13" xfId="0" applyNumberFormat="1" applyFont="1" applyBorder="1" applyAlignment="1">
      <alignment horizontal="center" vertical="top" textRotation="90"/>
    </xf>
    <xf numFmtId="3" fontId="4" fillId="0" borderId="22" xfId="0" applyNumberFormat="1" applyFont="1" applyBorder="1" applyAlignment="1">
      <alignment horizontal="center" vertical="top" textRotation="90"/>
    </xf>
    <xf numFmtId="164" fontId="1" fillId="3" borderId="44" xfId="0" applyNumberFormat="1" applyFont="1" applyFill="1" applyBorder="1" applyAlignment="1">
      <alignment horizontal="center" vertical="top"/>
    </xf>
    <xf numFmtId="164" fontId="1" fillId="3" borderId="46" xfId="0" applyNumberFormat="1" applyFont="1" applyFill="1" applyBorder="1" applyAlignment="1">
      <alignment horizontal="center" vertical="top"/>
    </xf>
    <xf numFmtId="164" fontId="1" fillId="3" borderId="53" xfId="0" applyNumberFormat="1" applyFont="1" applyFill="1" applyBorder="1" applyAlignment="1">
      <alignment horizontal="center" vertical="top"/>
    </xf>
    <xf numFmtId="164" fontId="1" fillId="0" borderId="52" xfId="0" applyNumberFormat="1" applyFont="1" applyFill="1" applyBorder="1" applyAlignment="1">
      <alignment horizontal="center" vertical="top"/>
    </xf>
    <xf numFmtId="164" fontId="1" fillId="3" borderId="52" xfId="0" applyNumberFormat="1" applyFont="1" applyFill="1" applyBorder="1" applyAlignment="1">
      <alignment horizontal="center" vertical="top"/>
    </xf>
    <xf numFmtId="164" fontId="4" fillId="3" borderId="44" xfId="0" applyNumberFormat="1" applyFont="1" applyFill="1" applyBorder="1" applyAlignment="1">
      <alignment horizontal="center" vertical="top"/>
    </xf>
    <xf numFmtId="164" fontId="4" fillId="3" borderId="46" xfId="0" applyNumberFormat="1" applyFont="1" applyFill="1" applyBorder="1" applyAlignment="1">
      <alignment horizontal="center" vertical="top" wrapText="1"/>
    </xf>
    <xf numFmtId="164" fontId="1" fillId="3" borderId="44" xfId="0" applyNumberFormat="1" applyFont="1" applyFill="1" applyBorder="1" applyAlignment="1">
      <alignment horizontal="center" vertical="top" wrapText="1"/>
    </xf>
    <xf numFmtId="165" fontId="6" fillId="2" borderId="74" xfId="0" applyNumberFormat="1" applyFont="1" applyFill="1" applyBorder="1" applyAlignment="1">
      <alignment horizontal="center" vertical="top"/>
    </xf>
    <xf numFmtId="164" fontId="1" fillId="4" borderId="60" xfId="0" applyNumberFormat="1" applyFont="1" applyFill="1" applyBorder="1" applyAlignment="1">
      <alignment horizontal="center" vertical="top"/>
    </xf>
    <xf numFmtId="165" fontId="1" fillId="3" borderId="52" xfId="0" applyNumberFormat="1" applyFont="1" applyFill="1" applyBorder="1" applyAlignment="1">
      <alignment horizontal="center" vertical="top"/>
    </xf>
    <xf numFmtId="165" fontId="1" fillId="3" borderId="44" xfId="0" applyNumberFormat="1" applyFont="1" applyFill="1" applyBorder="1" applyAlignment="1">
      <alignment horizontal="center" vertical="top"/>
    </xf>
    <xf numFmtId="165" fontId="1" fillId="3" borderId="44" xfId="0" applyNumberFormat="1" applyFont="1" applyFill="1" applyBorder="1" applyAlignment="1">
      <alignment horizontal="center" vertical="top" wrapText="1"/>
    </xf>
    <xf numFmtId="165" fontId="1" fillId="3" borderId="53" xfId="0" applyNumberFormat="1" applyFont="1" applyFill="1" applyBorder="1" applyAlignment="1">
      <alignment horizontal="center" vertical="top" wrapText="1"/>
    </xf>
    <xf numFmtId="164" fontId="1" fillId="4" borderId="60" xfId="0" applyNumberFormat="1" applyFont="1" applyFill="1" applyBorder="1" applyAlignment="1">
      <alignment horizontal="center" vertical="top" wrapText="1"/>
    </xf>
    <xf numFmtId="164" fontId="4" fillId="4" borderId="52" xfId="0" applyNumberFormat="1" applyFont="1" applyFill="1" applyBorder="1" applyAlignment="1">
      <alignment horizontal="center" vertical="top" wrapText="1"/>
    </xf>
    <xf numFmtId="164" fontId="1" fillId="3" borderId="46" xfId="0" applyNumberFormat="1" applyFont="1" applyFill="1" applyBorder="1" applyAlignment="1">
      <alignment horizontal="center" vertical="top" wrapText="1"/>
    </xf>
    <xf numFmtId="164" fontId="1" fillId="0" borderId="44" xfId="0" applyNumberFormat="1" applyFont="1" applyBorder="1" applyAlignment="1">
      <alignment horizontal="center" vertical="top" wrapText="1"/>
    </xf>
    <xf numFmtId="164" fontId="1" fillId="0" borderId="52" xfId="0" applyNumberFormat="1" applyFont="1" applyBorder="1" applyAlignment="1">
      <alignment horizontal="center" vertical="top" wrapText="1"/>
    </xf>
    <xf numFmtId="164" fontId="1" fillId="3" borderId="53" xfId="0" applyNumberFormat="1" applyFont="1" applyFill="1" applyBorder="1" applyAlignment="1">
      <alignment horizontal="center" vertical="top" wrapText="1"/>
    </xf>
    <xf numFmtId="165" fontId="1" fillId="3" borderId="46" xfId="0" applyNumberFormat="1" applyFont="1" applyFill="1" applyBorder="1" applyAlignment="1">
      <alignment horizontal="center" vertical="top" wrapText="1"/>
    </xf>
    <xf numFmtId="164" fontId="4" fillId="0" borderId="60" xfId="0" applyNumberFormat="1" applyFont="1" applyBorder="1" applyAlignment="1">
      <alignment horizontal="center" vertical="top" wrapText="1"/>
    </xf>
    <xf numFmtId="164" fontId="4" fillId="3" borderId="60" xfId="0" applyNumberFormat="1" applyFont="1" applyFill="1" applyBorder="1" applyAlignment="1">
      <alignment horizontal="center" vertical="top" wrapText="1"/>
    </xf>
    <xf numFmtId="164" fontId="4" fillId="3" borderId="44" xfId="0" applyNumberFormat="1" applyFont="1" applyFill="1" applyBorder="1" applyAlignment="1">
      <alignment horizontal="center" vertical="top" wrapText="1"/>
    </xf>
    <xf numFmtId="164" fontId="4" fillId="3" borderId="73" xfId="0" applyNumberFormat="1" applyFont="1" applyFill="1" applyBorder="1" applyAlignment="1">
      <alignment horizontal="center" vertical="top" wrapText="1"/>
    </xf>
    <xf numFmtId="164" fontId="4" fillId="4" borderId="60" xfId="0" applyNumberFormat="1" applyFont="1" applyFill="1" applyBorder="1" applyAlignment="1">
      <alignment horizontal="center" vertical="top" wrapText="1"/>
    </xf>
    <xf numFmtId="164" fontId="4" fillId="0" borderId="53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center" vertical="top"/>
    </xf>
    <xf numFmtId="164" fontId="4" fillId="0" borderId="52" xfId="0" applyNumberFormat="1" applyFont="1" applyFill="1" applyBorder="1" applyAlignment="1">
      <alignment horizontal="center" vertical="top"/>
    </xf>
    <xf numFmtId="164" fontId="4" fillId="0" borderId="46" xfId="0" applyNumberFormat="1" applyFont="1" applyFill="1" applyBorder="1" applyAlignment="1">
      <alignment horizontal="center" vertical="top"/>
    </xf>
    <xf numFmtId="3" fontId="4" fillId="3" borderId="60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46" xfId="0" applyNumberFormat="1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3" fontId="4" fillId="0" borderId="53" xfId="0" applyNumberFormat="1" applyFont="1" applyFill="1" applyBorder="1" applyAlignment="1">
      <alignment horizontal="center" vertical="top" wrapText="1"/>
    </xf>
    <xf numFmtId="3" fontId="4" fillId="0" borderId="52" xfId="0" applyNumberFormat="1" applyFont="1" applyFill="1" applyBorder="1" applyAlignment="1">
      <alignment horizontal="center" vertical="top"/>
    </xf>
    <xf numFmtId="3" fontId="4" fillId="3" borderId="53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horizontal="center" vertical="top"/>
    </xf>
    <xf numFmtId="3" fontId="2" fillId="3" borderId="59" xfId="0" applyNumberFormat="1" applyFont="1" applyFill="1" applyBorder="1" applyAlignment="1">
      <alignment horizontal="center" vertical="top" wrapText="1"/>
    </xf>
    <xf numFmtId="3" fontId="4" fillId="3" borderId="59" xfId="0" applyNumberFormat="1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59" xfId="0" applyFont="1" applyFill="1" applyBorder="1" applyAlignment="1">
      <alignment vertical="top" wrapText="1"/>
    </xf>
    <xf numFmtId="0" fontId="4" fillId="3" borderId="59" xfId="0" applyFont="1" applyFill="1" applyBorder="1" applyAlignment="1">
      <alignment horizontal="center" vertical="top" wrapText="1"/>
    </xf>
    <xf numFmtId="3" fontId="1" fillId="3" borderId="60" xfId="0" applyNumberFormat="1" applyFont="1" applyFill="1" applyBorder="1" applyAlignment="1">
      <alignment horizontal="center" vertical="top"/>
    </xf>
    <xf numFmtId="3" fontId="1" fillId="3" borderId="52" xfId="0" applyNumberFormat="1" applyFont="1" applyFill="1" applyBorder="1" applyAlignment="1">
      <alignment horizontal="center" vertical="top"/>
    </xf>
    <xf numFmtId="1" fontId="1" fillId="3" borderId="44" xfId="0" applyNumberFormat="1" applyFont="1" applyFill="1" applyBorder="1" applyAlignment="1">
      <alignment horizontal="center" vertical="top" wrapText="1"/>
    </xf>
    <xf numFmtId="49" fontId="1" fillId="3" borderId="52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3" borderId="46" xfId="0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/>
    </xf>
    <xf numFmtId="3" fontId="4" fillId="3" borderId="52" xfId="0" applyNumberFormat="1" applyFont="1" applyFill="1" applyBorder="1" applyAlignment="1">
      <alignment horizontal="center" vertical="top"/>
    </xf>
    <xf numFmtId="3" fontId="4" fillId="0" borderId="52" xfId="0" applyNumberFormat="1" applyFont="1" applyFill="1" applyBorder="1" applyAlignment="1">
      <alignment horizontal="center" vertical="top" wrapText="1"/>
    </xf>
    <xf numFmtId="0" fontId="18" fillId="3" borderId="53" xfId="0" applyFont="1" applyFill="1" applyBorder="1" applyAlignment="1">
      <alignment horizontal="center" vertical="top" wrapText="1"/>
    </xf>
    <xf numFmtId="0" fontId="1" fillId="3" borderId="53" xfId="0" applyFont="1" applyFill="1" applyBorder="1" applyAlignment="1">
      <alignment horizontal="center" vertical="top" wrapText="1"/>
    </xf>
    <xf numFmtId="0" fontId="4" fillId="3" borderId="53" xfId="0" applyFont="1" applyFill="1" applyBorder="1" applyAlignment="1">
      <alignment horizontal="center" vertical="top" wrapText="1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vertical="top"/>
    </xf>
    <xf numFmtId="3" fontId="4" fillId="4" borderId="60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 wrapText="1"/>
    </xf>
    <xf numFmtId="3" fontId="3" fillId="0" borderId="59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165" fontId="1" fillId="3" borderId="29" xfId="0" applyNumberFormat="1" applyFont="1" applyFill="1" applyBorder="1" applyAlignment="1">
      <alignment horizontal="left" vertical="top" wrapText="1"/>
    </xf>
    <xf numFmtId="1" fontId="1" fillId="3" borderId="46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center" vertical="top"/>
    </xf>
    <xf numFmtId="3" fontId="6" fillId="3" borderId="27" xfId="0" applyNumberFormat="1" applyFont="1" applyFill="1" applyBorder="1" applyAlignment="1">
      <alignment horizontal="right" vertical="top" wrapText="1"/>
    </xf>
    <xf numFmtId="165" fontId="6" fillId="3" borderId="73" xfId="0" applyNumberFormat="1" applyFont="1" applyFill="1" applyBorder="1" applyAlignment="1">
      <alignment horizontal="center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3" fontId="4" fillId="0" borderId="73" xfId="0" applyNumberFormat="1" applyFont="1" applyFill="1" applyBorder="1" applyAlignment="1">
      <alignment horizontal="center" vertical="top"/>
    </xf>
    <xf numFmtId="3" fontId="6" fillId="3" borderId="26" xfId="0" applyNumberFormat="1" applyFont="1" applyFill="1" applyBorder="1" applyAlignment="1">
      <alignment horizontal="left" vertical="top" wrapText="1"/>
    </xf>
    <xf numFmtId="3" fontId="6" fillId="5" borderId="55" xfId="0" applyNumberFormat="1" applyFont="1" applyFill="1" applyBorder="1" applyAlignment="1">
      <alignment horizontal="center" vertical="top"/>
    </xf>
    <xf numFmtId="3" fontId="1" fillId="0" borderId="40" xfId="0" applyNumberFormat="1" applyFont="1" applyFill="1" applyBorder="1" applyAlignment="1">
      <alignment vertical="top" wrapText="1"/>
    </xf>
    <xf numFmtId="3" fontId="1" fillId="0" borderId="61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49" fontId="4" fillId="0" borderId="60" xfId="0" applyNumberFormat="1" applyFont="1" applyFill="1" applyBorder="1" applyAlignment="1">
      <alignment vertical="top"/>
    </xf>
    <xf numFmtId="49" fontId="1" fillId="0" borderId="59" xfId="0" applyNumberFormat="1" applyFont="1" applyBorder="1" applyAlignment="1">
      <alignment vertical="top"/>
    </xf>
    <xf numFmtId="3" fontId="4" fillId="0" borderId="14" xfId="0" applyNumberFormat="1" applyFont="1" applyFill="1" applyBorder="1" applyAlignment="1">
      <alignment vertical="center" textRotation="90" wrapText="1"/>
    </xf>
    <xf numFmtId="3" fontId="3" fillId="3" borderId="30" xfId="0" applyNumberFormat="1" applyFont="1" applyFill="1" applyBorder="1" applyAlignment="1">
      <alignment horizontal="center" vertical="top"/>
    </xf>
    <xf numFmtId="3" fontId="4" fillId="3" borderId="11" xfId="0" applyNumberFormat="1" applyFont="1" applyFill="1" applyBorder="1" applyAlignment="1">
      <alignment vertical="top" wrapText="1"/>
    </xf>
    <xf numFmtId="3" fontId="4" fillId="3" borderId="30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3" fontId="4" fillId="0" borderId="47" xfId="0" applyNumberFormat="1" applyFont="1" applyBorder="1" applyAlignment="1">
      <alignment vertical="top"/>
    </xf>
    <xf numFmtId="3" fontId="4" fillId="0" borderId="47" xfId="0" applyNumberFormat="1" applyFont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4" fillId="0" borderId="4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/>
    </xf>
    <xf numFmtId="3" fontId="1" fillId="3" borderId="40" xfId="0" applyNumberFormat="1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50" xfId="0" applyNumberFormat="1" applyFont="1" applyBorder="1" applyAlignment="1">
      <alignment horizontal="center" vertical="top" wrapText="1"/>
    </xf>
    <xf numFmtId="3" fontId="4" fillId="3" borderId="18" xfId="0" applyNumberFormat="1" applyFont="1" applyFill="1" applyBorder="1" applyAlignment="1">
      <alignment horizontal="center" vertical="top" wrapText="1"/>
    </xf>
    <xf numFmtId="3" fontId="4" fillId="4" borderId="30" xfId="0" applyNumberFormat="1" applyFont="1" applyFill="1" applyBorder="1" applyAlignment="1">
      <alignment horizontal="center" vertical="top" wrapText="1"/>
    </xf>
    <xf numFmtId="3" fontId="4" fillId="3" borderId="50" xfId="0" applyNumberFormat="1" applyFont="1" applyFill="1" applyBorder="1" applyAlignment="1">
      <alignment horizontal="center" vertical="top" wrapText="1"/>
    </xf>
    <xf numFmtId="3" fontId="4" fillId="4" borderId="0" xfId="0" applyNumberFormat="1" applyFont="1" applyFill="1" applyBorder="1" applyAlignment="1">
      <alignment horizontal="center" vertical="top" wrapText="1"/>
    </xf>
    <xf numFmtId="3" fontId="4" fillId="4" borderId="34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center" textRotation="90"/>
    </xf>
    <xf numFmtId="3" fontId="4" fillId="3" borderId="7" xfId="0" applyNumberFormat="1" applyFont="1" applyFill="1" applyBorder="1" applyAlignment="1">
      <alignment horizontal="center" vertical="top" wrapText="1"/>
    </xf>
    <xf numFmtId="3" fontId="4" fillId="3" borderId="45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/>
    </xf>
    <xf numFmtId="3" fontId="4" fillId="3" borderId="16" xfId="0" applyNumberFormat="1" applyFont="1" applyFill="1" applyBorder="1" applyAlignment="1">
      <alignment horizontal="center" vertical="top"/>
    </xf>
    <xf numFmtId="3" fontId="1" fillId="3" borderId="45" xfId="0" applyNumberFormat="1" applyFont="1" applyFill="1" applyBorder="1" applyAlignment="1">
      <alignment horizontal="center" vertical="top" wrapText="1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0" borderId="25" xfId="0" applyNumberFormat="1" applyFont="1" applyFill="1" applyBorder="1" applyAlignment="1">
      <alignment vertical="top" wrapText="1"/>
    </xf>
    <xf numFmtId="3" fontId="4" fillId="0" borderId="25" xfId="0" applyNumberFormat="1" applyFont="1" applyFill="1" applyBorder="1" applyAlignment="1">
      <alignment horizontal="center" vertical="top"/>
    </xf>
    <xf numFmtId="3" fontId="2" fillId="3" borderId="25" xfId="0" applyNumberFormat="1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vertical="top" wrapText="1"/>
    </xf>
    <xf numFmtId="3" fontId="1" fillId="3" borderId="7" xfId="0" applyNumberFormat="1" applyFont="1" applyFill="1" applyBorder="1" applyAlignment="1">
      <alignment horizontal="center" vertical="top"/>
    </xf>
    <xf numFmtId="3" fontId="1" fillId="3" borderId="47" xfId="0" applyNumberFormat="1" applyFont="1" applyFill="1" applyBorder="1" applyAlignment="1">
      <alignment horizontal="center" vertical="top"/>
    </xf>
    <xf numFmtId="1" fontId="1" fillId="3" borderId="39" xfId="0" applyNumberFormat="1" applyFont="1" applyFill="1" applyBorder="1" applyAlignment="1">
      <alignment horizontal="center" vertical="top" wrapText="1"/>
    </xf>
    <xf numFmtId="49" fontId="1" fillId="3" borderId="39" xfId="0" applyNumberFormat="1" applyFont="1" applyFill="1" applyBorder="1" applyAlignment="1">
      <alignment horizontal="center" vertical="top"/>
    </xf>
    <xf numFmtId="49" fontId="1" fillId="3" borderId="47" xfId="0" applyNumberFormat="1" applyFont="1" applyFill="1" applyBorder="1" applyAlignment="1">
      <alignment horizontal="center" vertical="top"/>
    </xf>
    <xf numFmtId="49" fontId="1" fillId="3" borderId="39" xfId="0" applyNumberFormat="1" applyFont="1" applyFill="1" applyBorder="1" applyAlignment="1">
      <alignment horizontal="center" vertical="top" wrapText="1"/>
    </xf>
    <xf numFmtId="1" fontId="1" fillId="3" borderId="45" xfId="0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3" borderId="45" xfId="0" applyFont="1" applyFill="1" applyBorder="1" applyAlignment="1">
      <alignment horizontal="center" vertical="top" wrapText="1"/>
    </xf>
    <xf numFmtId="3" fontId="4" fillId="3" borderId="45" xfId="0" applyNumberFormat="1" applyFont="1" applyFill="1" applyBorder="1" applyAlignment="1">
      <alignment horizontal="center" vertical="top"/>
    </xf>
    <xf numFmtId="49" fontId="4" fillId="3" borderId="47" xfId="0" applyNumberFormat="1" applyFont="1" applyFill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/>
    </xf>
    <xf numFmtId="1" fontId="4" fillId="3" borderId="47" xfId="0" applyNumberFormat="1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0" borderId="25" xfId="0" applyNumberFormat="1" applyFont="1" applyFill="1" applyBorder="1" applyAlignment="1">
      <alignment vertical="top"/>
    </xf>
    <xf numFmtId="3" fontId="1" fillId="4" borderId="4" xfId="0" applyNumberFormat="1" applyFont="1" applyFill="1" applyBorder="1" applyAlignment="1">
      <alignment horizontal="center" vertical="top"/>
    </xf>
    <xf numFmtId="3" fontId="6" fillId="3" borderId="3" xfId="0" applyNumberFormat="1" applyFont="1" applyFill="1" applyBorder="1" applyAlignment="1">
      <alignment horizontal="right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1" fillId="3" borderId="49" xfId="0" applyNumberFormat="1" applyFont="1" applyFill="1" applyBorder="1" applyAlignment="1">
      <alignment horizontal="center" vertical="top" wrapText="1"/>
    </xf>
    <xf numFmtId="164" fontId="4" fillId="3" borderId="37" xfId="0" applyNumberFormat="1" applyFont="1" applyFill="1" applyBorder="1" applyAlignment="1">
      <alignment horizontal="center" vertical="top" wrapText="1"/>
    </xf>
    <xf numFmtId="164" fontId="4" fillId="3" borderId="39" xfId="0" applyNumberFormat="1" applyFont="1" applyFill="1" applyBorder="1" applyAlignment="1">
      <alignment horizontal="center" vertical="top"/>
    </xf>
    <xf numFmtId="164" fontId="4" fillId="3" borderId="45" xfId="0" applyNumberFormat="1" applyFont="1" applyFill="1" applyBorder="1" applyAlignment="1">
      <alignment horizontal="center" vertical="top"/>
    </xf>
    <xf numFmtId="164" fontId="1" fillId="3" borderId="39" xfId="0" applyNumberFormat="1" applyFont="1" applyFill="1" applyBorder="1" applyAlignment="1">
      <alignment horizontal="center" vertical="top" wrapText="1"/>
    </xf>
    <xf numFmtId="165" fontId="3" fillId="5" borderId="57" xfId="0" applyNumberFormat="1" applyFont="1" applyFill="1" applyBorder="1" applyAlignment="1">
      <alignment horizontal="center" vertical="top" wrapText="1"/>
    </xf>
    <xf numFmtId="164" fontId="3" fillId="2" borderId="69" xfId="0" applyNumberFormat="1" applyFont="1" applyFill="1" applyBorder="1" applyAlignment="1">
      <alignment horizontal="center" vertical="top"/>
    </xf>
    <xf numFmtId="3" fontId="4" fillId="4" borderId="3" xfId="0" applyNumberFormat="1" applyFont="1" applyFill="1" applyBorder="1" applyAlignment="1">
      <alignment horizontal="center" vertical="top" wrapText="1"/>
    </xf>
    <xf numFmtId="3" fontId="3" fillId="0" borderId="25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164" fontId="4" fillId="3" borderId="39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4" fillId="0" borderId="47" xfId="0" applyNumberFormat="1" applyFont="1" applyFill="1" applyBorder="1" applyAlignment="1">
      <alignment horizontal="center" vertical="top"/>
    </xf>
    <xf numFmtId="164" fontId="4" fillId="0" borderId="45" xfId="0" applyNumberFormat="1" applyFont="1" applyFill="1" applyBorder="1" applyAlignment="1">
      <alignment horizontal="center" vertical="top"/>
    </xf>
    <xf numFmtId="164" fontId="1" fillId="3" borderId="45" xfId="0" applyNumberFormat="1" applyFont="1" applyFill="1" applyBorder="1" applyAlignment="1">
      <alignment horizontal="center" vertical="top"/>
    </xf>
    <xf numFmtId="164" fontId="3" fillId="5" borderId="39" xfId="0" applyNumberFormat="1" applyFont="1" applyFill="1" applyBorder="1" applyAlignment="1">
      <alignment horizontal="center" vertical="top"/>
    </xf>
    <xf numFmtId="164" fontId="6" fillId="2" borderId="69" xfId="0" applyNumberFormat="1" applyFont="1" applyFill="1" applyBorder="1" applyAlignment="1">
      <alignment horizontal="center" vertical="top"/>
    </xf>
    <xf numFmtId="164" fontId="3" fillId="7" borderId="69" xfId="0" applyNumberFormat="1" applyFont="1" applyFill="1" applyBorder="1" applyAlignment="1">
      <alignment horizontal="center" vertical="top"/>
    </xf>
    <xf numFmtId="164" fontId="3" fillId="8" borderId="25" xfId="0" applyNumberFormat="1" applyFont="1" applyFill="1" applyBorder="1" applyAlignment="1">
      <alignment horizontal="center"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3" fontId="1" fillId="3" borderId="4" xfId="0" applyNumberFormat="1" applyFont="1" applyFill="1" applyBorder="1" applyAlignment="1">
      <alignment horizontal="center" vertical="top" wrapText="1"/>
    </xf>
    <xf numFmtId="3" fontId="4" fillId="4" borderId="43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/>
    </xf>
    <xf numFmtId="164" fontId="1" fillId="3" borderId="39" xfId="0" applyNumberFormat="1" applyFont="1" applyFill="1" applyBorder="1" applyAlignment="1">
      <alignment horizontal="center" vertical="top"/>
    </xf>
    <xf numFmtId="164" fontId="1" fillId="3" borderId="16" xfId="0" applyNumberFormat="1" applyFont="1" applyFill="1" applyBorder="1" applyAlignment="1">
      <alignment horizontal="center" vertical="top"/>
    </xf>
    <xf numFmtId="164" fontId="1" fillId="0" borderId="47" xfId="0" applyNumberFormat="1" applyFont="1" applyFill="1" applyBorder="1" applyAlignment="1">
      <alignment horizontal="center" vertical="top"/>
    </xf>
    <xf numFmtId="164" fontId="1" fillId="3" borderId="47" xfId="0" applyNumberFormat="1" applyFont="1" applyFill="1" applyBorder="1" applyAlignment="1">
      <alignment horizontal="center" vertical="top"/>
    </xf>
    <xf numFmtId="164" fontId="3" fillId="5" borderId="45" xfId="0" applyNumberFormat="1" applyFont="1" applyFill="1" applyBorder="1" applyAlignment="1">
      <alignment horizontal="center" vertical="top"/>
    </xf>
    <xf numFmtId="164" fontId="4" fillId="3" borderId="45" xfId="0" applyNumberFormat="1" applyFont="1" applyFill="1" applyBorder="1" applyAlignment="1">
      <alignment horizontal="center" vertical="top" wrapText="1"/>
    </xf>
    <xf numFmtId="164" fontId="6" fillId="5" borderId="45" xfId="0" applyNumberFormat="1" applyFont="1" applyFill="1" applyBorder="1" applyAlignment="1">
      <alignment horizontal="center" vertical="top"/>
    </xf>
    <xf numFmtId="164" fontId="6" fillId="3" borderId="45" xfId="0" applyNumberFormat="1" applyFont="1" applyFill="1" applyBorder="1" applyAlignment="1">
      <alignment horizontal="center" vertical="top"/>
    </xf>
    <xf numFmtId="164" fontId="6" fillId="3" borderId="39" xfId="0" applyNumberFormat="1" applyFont="1" applyFill="1" applyBorder="1" applyAlignment="1">
      <alignment horizontal="center" vertical="top"/>
    </xf>
    <xf numFmtId="164" fontId="4" fillId="3" borderId="37" xfId="0" applyNumberFormat="1" applyFont="1" applyFill="1" applyBorder="1" applyAlignment="1">
      <alignment horizontal="center" vertical="top"/>
    </xf>
    <xf numFmtId="164" fontId="1" fillId="3" borderId="37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/>
    </xf>
    <xf numFmtId="165" fontId="1" fillId="3" borderId="45" xfId="0" applyNumberFormat="1" applyFont="1" applyFill="1" applyBorder="1" applyAlignment="1">
      <alignment horizontal="center" vertical="top"/>
    </xf>
    <xf numFmtId="165" fontId="1" fillId="3" borderId="47" xfId="0" applyNumberFormat="1" applyFont="1" applyFill="1" applyBorder="1" applyAlignment="1">
      <alignment horizontal="center" vertical="top"/>
    </xf>
    <xf numFmtId="165" fontId="1" fillId="3" borderId="39" xfId="0" applyNumberFormat="1" applyFont="1" applyFill="1" applyBorder="1" applyAlignment="1">
      <alignment horizontal="center" vertical="top"/>
    </xf>
    <xf numFmtId="165" fontId="1" fillId="3" borderId="39" xfId="0" applyNumberFormat="1" applyFont="1" applyFill="1" applyBorder="1" applyAlignment="1">
      <alignment horizontal="center" vertical="top" wrapText="1"/>
    </xf>
    <xf numFmtId="165" fontId="1" fillId="3" borderId="16" xfId="0" applyNumberFormat="1" applyFont="1" applyFill="1" applyBorder="1" applyAlignment="1">
      <alignment horizontal="center" vertical="top" wrapText="1"/>
    </xf>
    <xf numFmtId="164" fontId="15" fillId="3" borderId="39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/>
    </xf>
    <xf numFmtId="165" fontId="6" fillId="5" borderId="57" xfId="0" applyNumberFormat="1" applyFont="1" applyFill="1" applyBorder="1" applyAlignment="1">
      <alignment horizontal="center" vertical="top" wrapText="1"/>
    </xf>
    <xf numFmtId="165" fontId="6" fillId="3" borderId="37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/>
    </xf>
    <xf numFmtId="164" fontId="1" fillId="4" borderId="7" xfId="0" applyNumberFormat="1" applyFont="1" applyFill="1" applyBorder="1" applyAlignment="1">
      <alignment horizontal="center" vertical="top" wrapText="1"/>
    </xf>
    <xf numFmtId="164" fontId="4" fillId="4" borderId="47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5" fontId="1" fillId="0" borderId="7" xfId="0" applyNumberFormat="1" applyFont="1" applyBorder="1" applyAlignment="1">
      <alignment horizontal="center" vertical="top" wrapText="1"/>
    </xf>
    <xf numFmtId="165" fontId="1" fillId="3" borderId="45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3" fillId="5" borderId="16" xfId="0" applyNumberFormat="1" applyFont="1" applyFill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left" vertical="top"/>
    </xf>
    <xf numFmtId="3" fontId="6" fillId="0" borderId="34" xfId="0" applyNumberFormat="1" applyFont="1" applyBorder="1" applyAlignment="1">
      <alignment horizontal="center" vertical="center" textRotation="90" wrapText="1"/>
    </xf>
    <xf numFmtId="3" fontId="6" fillId="0" borderId="69" xfId="0" applyNumberFormat="1" applyFont="1" applyBorder="1" applyAlignment="1">
      <alignment horizontal="center" vertical="center" textRotation="90" wrapText="1"/>
    </xf>
    <xf numFmtId="164" fontId="26" fillId="0" borderId="6" xfId="0" applyNumberFormat="1" applyFont="1" applyBorder="1" applyAlignment="1">
      <alignment horizontal="center" vertical="center" textRotation="90" wrapText="1"/>
    </xf>
    <xf numFmtId="3" fontId="6" fillId="0" borderId="33" xfId="0" applyNumberFormat="1" applyFont="1" applyBorder="1" applyAlignment="1">
      <alignment horizontal="center" vertical="center" textRotation="90" wrapText="1"/>
    </xf>
    <xf numFmtId="49" fontId="1" fillId="3" borderId="41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49" fontId="1" fillId="3" borderId="43" xfId="0" applyNumberFormat="1" applyFont="1" applyFill="1" applyBorder="1" applyAlignment="1">
      <alignment horizontal="center" vertical="top"/>
    </xf>
    <xf numFmtId="49" fontId="1" fillId="3" borderId="12" xfId="0" applyNumberFormat="1" applyFont="1" applyFill="1" applyBorder="1" applyAlignment="1">
      <alignment horizontal="center" vertical="top" wrapText="1"/>
    </xf>
    <xf numFmtId="1" fontId="1" fillId="3" borderId="47" xfId="0" applyNumberFormat="1" applyFont="1" applyFill="1" applyBorder="1" applyAlignment="1">
      <alignment horizontal="center" vertical="top" wrapText="1"/>
    </xf>
    <xf numFmtId="1" fontId="1" fillId="3" borderId="52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49" fontId="4" fillId="3" borderId="72" xfId="0" applyNumberFormat="1" applyFont="1" applyFill="1" applyBorder="1" applyAlignment="1">
      <alignment horizontal="center" vertical="top" wrapText="1"/>
    </xf>
    <xf numFmtId="49" fontId="4" fillId="3" borderId="12" xfId="0" applyNumberFormat="1" applyFont="1" applyFill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4" fillId="4" borderId="37" xfId="0" applyNumberFormat="1" applyFont="1" applyFill="1" applyBorder="1" applyAlignment="1">
      <alignment horizontal="center" vertical="top" wrapText="1"/>
    </xf>
    <xf numFmtId="165" fontId="3" fillId="5" borderId="25" xfId="0" applyNumberFormat="1" applyFont="1" applyFill="1" applyBorder="1" applyAlignment="1">
      <alignment horizontal="center" vertical="top" wrapText="1"/>
    </xf>
    <xf numFmtId="3" fontId="4" fillId="0" borderId="30" xfId="0" applyNumberFormat="1" applyFont="1" applyFill="1" applyBorder="1" applyAlignment="1">
      <alignment horizontal="center" vertical="top" wrapText="1"/>
    </xf>
    <xf numFmtId="3" fontId="4" fillId="0" borderId="50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165" fontId="1" fillId="3" borderId="13" xfId="0" applyNumberFormat="1" applyFont="1" applyFill="1" applyBorder="1" applyAlignment="1">
      <alignment horizontal="center" vertical="top" wrapText="1"/>
    </xf>
    <xf numFmtId="165" fontId="1" fillId="3" borderId="50" xfId="0" applyNumberFormat="1" applyFont="1" applyFill="1" applyBorder="1" applyAlignment="1">
      <alignment horizontal="center" vertical="top" wrapText="1"/>
    </xf>
    <xf numFmtId="165" fontId="1" fillId="3" borderId="49" xfId="0" applyNumberFormat="1" applyFont="1" applyFill="1" applyBorder="1" applyAlignment="1">
      <alignment horizontal="center" vertical="top" wrapText="1"/>
    </xf>
    <xf numFmtId="165" fontId="1" fillId="3" borderId="18" xfId="0" applyNumberFormat="1" applyFont="1" applyFill="1" applyBorder="1" applyAlignment="1">
      <alignment horizontal="center" vertical="top" wrapText="1"/>
    </xf>
    <xf numFmtId="0" fontId="4" fillId="3" borderId="50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1" fillId="3" borderId="50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3" fontId="1" fillId="3" borderId="27" xfId="0" applyNumberFormat="1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3" fontId="4" fillId="4" borderId="22" xfId="0" applyNumberFormat="1" applyFont="1" applyFill="1" applyBorder="1" applyAlignment="1">
      <alignment horizontal="center" vertical="top" wrapText="1"/>
    </xf>
    <xf numFmtId="164" fontId="3" fillId="5" borderId="29" xfId="0" applyNumberFormat="1" applyFont="1" applyFill="1" applyBorder="1" applyAlignment="1">
      <alignment horizontal="center" vertical="top"/>
    </xf>
    <xf numFmtId="164" fontId="3" fillId="5" borderId="19" xfId="0" applyNumberFormat="1" applyFont="1" applyFill="1" applyBorder="1" applyAlignment="1">
      <alignment horizontal="center" vertical="top"/>
    </xf>
    <xf numFmtId="164" fontId="3" fillId="5" borderId="12" xfId="0" applyNumberFormat="1" applyFont="1" applyFill="1" applyBorder="1" applyAlignment="1">
      <alignment horizontal="center" vertical="top"/>
    </xf>
    <xf numFmtId="164" fontId="1" fillId="3" borderId="31" xfId="0" applyNumberFormat="1" applyFont="1" applyFill="1" applyBorder="1" applyAlignment="1">
      <alignment horizontal="center" vertical="top" wrapText="1"/>
    </xf>
    <xf numFmtId="164" fontId="6" fillId="5" borderId="19" xfId="0" applyNumberFormat="1" applyFont="1" applyFill="1" applyBorder="1" applyAlignment="1">
      <alignment horizontal="center" vertical="top"/>
    </xf>
    <xf numFmtId="164" fontId="6" fillId="3" borderId="19" xfId="0" applyNumberFormat="1" applyFont="1" applyFill="1" applyBorder="1" applyAlignment="1">
      <alignment horizontal="center" vertical="top"/>
    </xf>
    <xf numFmtId="164" fontId="6" fillId="3" borderId="31" xfId="0" applyNumberFormat="1" applyFont="1" applyFill="1" applyBorder="1" applyAlignment="1">
      <alignment horizontal="center" vertical="top"/>
    </xf>
    <xf numFmtId="164" fontId="6" fillId="5" borderId="29" xfId="0" applyNumberFormat="1" applyFont="1" applyFill="1" applyBorder="1" applyAlignment="1">
      <alignment horizontal="center" vertical="top"/>
    </xf>
    <xf numFmtId="164" fontId="6" fillId="5" borderId="12" xfId="0" applyNumberFormat="1" applyFont="1" applyFill="1" applyBorder="1" applyAlignment="1">
      <alignment horizontal="center" vertical="top"/>
    </xf>
    <xf numFmtId="164" fontId="4" fillId="3" borderId="19" xfId="0" applyNumberFormat="1" applyFont="1" applyFill="1" applyBorder="1" applyAlignment="1">
      <alignment horizontal="center" vertical="top"/>
    </xf>
    <xf numFmtId="165" fontId="6" fillId="5" borderId="54" xfId="0" applyNumberFormat="1" applyFont="1" applyFill="1" applyBorder="1" applyAlignment="1">
      <alignment horizontal="center" vertical="top" wrapText="1"/>
    </xf>
    <xf numFmtId="165" fontId="6" fillId="5" borderId="56" xfId="0" applyNumberFormat="1" applyFont="1" applyFill="1" applyBorder="1" applyAlignment="1">
      <alignment horizontal="center" vertical="top" wrapText="1"/>
    </xf>
    <xf numFmtId="165" fontId="6" fillId="5" borderId="21" xfId="0" applyNumberFormat="1" applyFont="1" applyFill="1" applyBorder="1" applyAlignment="1">
      <alignment horizontal="center" vertical="top" wrapText="1"/>
    </xf>
    <xf numFmtId="165" fontId="3" fillId="5" borderId="61" xfId="0" applyNumberFormat="1" applyFont="1" applyFill="1" applyBorder="1" applyAlignment="1">
      <alignment horizontal="center" vertical="top" wrapText="1"/>
    </xf>
    <xf numFmtId="165" fontId="3" fillId="5" borderId="24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center" vertical="top"/>
    </xf>
    <xf numFmtId="165" fontId="1" fillId="3" borderId="47" xfId="0" applyNumberFormat="1" applyFont="1" applyFill="1" applyBorder="1" applyAlignment="1">
      <alignment horizontal="center" vertical="top" wrapText="1"/>
    </xf>
    <xf numFmtId="165" fontId="1" fillId="3" borderId="52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top"/>
    </xf>
    <xf numFmtId="3" fontId="1" fillId="3" borderId="40" xfId="0" applyNumberFormat="1" applyFont="1" applyFill="1" applyBorder="1" applyAlignment="1">
      <alignment horizontal="lef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1" fillId="3" borderId="38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center" textRotation="90" wrapText="1"/>
    </xf>
    <xf numFmtId="164" fontId="1" fillId="3" borderId="30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50" xfId="0" applyNumberFormat="1" applyFont="1" applyFill="1" applyBorder="1" applyAlignment="1">
      <alignment horizontal="center" vertical="top"/>
    </xf>
    <xf numFmtId="164" fontId="4" fillId="0" borderId="49" xfId="0" applyNumberFormat="1" applyFont="1" applyFill="1" applyBorder="1" applyAlignment="1">
      <alignment horizontal="center" vertical="top"/>
    </xf>
    <xf numFmtId="164" fontId="4" fillId="3" borderId="30" xfId="0" applyNumberFormat="1" applyFont="1" applyFill="1" applyBorder="1" applyAlignment="1">
      <alignment horizontal="center" vertical="top"/>
    </xf>
    <xf numFmtId="164" fontId="1" fillId="3" borderId="49" xfId="0" applyNumberFormat="1" applyFont="1" applyFill="1" applyBorder="1" applyAlignment="1">
      <alignment horizontal="center" vertical="top"/>
    </xf>
    <xf numFmtId="164" fontId="3" fillId="3" borderId="18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top"/>
    </xf>
    <xf numFmtId="164" fontId="3" fillId="3" borderId="30" xfId="0" applyNumberFormat="1" applyFont="1" applyFill="1" applyBorder="1" applyAlignment="1">
      <alignment horizontal="center" vertical="top"/>
    </xf>
    <xf numFmtId="164" fontId="3" fillId="3" borderId="4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4" fillId="3" borderId="34" xfId="0" applyNumberFormat="1" applyFont="1" applyFill="1" applyBorder="1" applyAlignment="1">
      <alignment horizontal="center" vertical="top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18" xfId="0" applyNumberFormat="1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horizontal="center" vertical="top"/>
    </xf>
    <xf numFmtId="164" fontId="4" fillId="0" borderId="34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  <xf numFmtId="164" fontId="6" fillId="2" borderId="62" xfId="0" applyNumberFormat="1" applyFont="1" applyFill="1" applyBorder="1" applyAlignment="1">
      <alignment horizontal="center" vertical="top"/>
    </xf>
    <xf numFmtId="3" fontId="6" fillId="3" borderId="49" xfId="0" applyNumberFormat="1" applyFont="1" applyFill="1" applyBorder="1" applyAlignment="1">
      <alignment horizontal="center" vertical="center" wrapText="1"/>
    </xf>
    <xf numFmtId="3" fontId="6" fillId="0" borderId="49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vertical="center" textRotation="90" wrapText="1"/>
    </xf>
    <xf numFmtId="3" fontId="14" fillId="0" borderId="49" xfId="0" applyNumberFormat="1" applyFont="1" applyFill="1" applyBorder="1" applyAlignment="1">
      <alignment vertical="center" textRotation="90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165" fontId="1" fillId="3" borderId="0" xfId="0" applyNumberFormat="1" applyFont="1" applyFill="1" applyBorder="1" applyAlignment="1">
      <alignment horizontal="center" vertical="top"/>
    </xf>
    <xf numFmtId="165" fontId="1" fillId="3" borderId="13" xfId="0" applyNumberFormat="1" applyFont="1" applyFill="1" applyBorder="1" applyAlignment="1">
      <alignment horizontal="center" vertical="top"/>
    </xf>
    <xf numFmtId="165" fontId="1" fillId="3" borderId="53" xfId="0" applyNumberFormat="1" applyFont="1" applyFill="1" applyBorder="1" applyAlignment="1">
      <alignment horizontal="center" vertical="top"/>
    </xf>
    <xf numFmtId="165" fontId="1" fillId="3" borderId="30" xfId="0" applyNumberFormat="1" applyFont="1" applyFill="1" applyBorder="1" applyAlignment="1">
      <alignment horizontal="center" vertical="top"/>
    </xf>
    <xf numFmtId="165" fontId="1" fillId="3" borderId="43" xfId="0" applyNumberFormat="1" applyFont="1" applyFill="1" applyBorder="1" applyAlignment="1">
      <alignment horizontal="center" vertical="top"/>
    </xf>
    <xf numFmtId="165" fontId="1" fillId="3" borderId="50" xfId="0" applyNumberFormat="1" applyFont="1" applyFill="1" applyBorder="1" applyAlignment="1">
      <alignment horizontal="center" vertical="top"/>
    </xf>
    <xf numFmtId="165" fontId="1" fillId="3" borderId="49" xfId="0" applyNumberFormat="1" applyFont="1" applyFill="1" applyBorder="1" applyAlignment="1">
      <alignment horizontal="center" vertical="top"/>
    </xf>
    <xf numFmtId="165" fontId="4" fillId="3" borderId="0" xfId="0" applyNumberFormat="1" applyFont="1" applyFill="1" applyBorder="1" applyAlignment="1">
      <alignment horizontal="center" vertical="top"/>
    </xf>
    <xf numFmtId="165" fontId="4" fillId="3" borderId="13" xfId="0" applyNumberFormat="1" applyFont="1" applyFill="1" applyBorder="1" applyAlignment="1">
      <alignment horizontal="center" vertical="top"/>
    </xf>
    <xf numFmtId="165" fontId="4" fillId="3" borderId="50" xfId="0" applyNumberFormat="1" applyFont="1" applyFill="1" applyBorder="1" applyAlignment="1">
      <alignment horizontal="center" vertical="top"/>
    </xf>
    <xf numFmtId="165" fontId="4" fillId="3" borderId="49" xfId="0" applyNumberFormat="1" applyFont="1" applyFill="1" applyBorder="1" applyAlignment="1">
      <alignment horizontal="center" vertical="top"/>
    </xf>
    <xf numFmtId="165" fontId="15" fillId="3" borderId="30" xfId="0" applyNumberFormat="1" applyFont="1" applyFill="1" applyBorder="1" applyAlignment="1">
      <alignment horizontal="center" vertical="top"/>
    </xf>
    <xf numFmtId="165" fontId="15" fillId="3" borderId="43" xfId="0" applyNumberFormat="1" applyFont="1" applyFill="1" applyBorder="1" applyAlignment="1">
      <alignment horizontal="center" vertical="top"/>
    </xf>
    <xf numFmtId="165" fontId="15" fillId="3" borderId="44" xfId="0" applyNumberFormat="1" applyFont="1" applyFill="1" applyBorder="1" applyAlignment="1">
      <alignment horizontal="center" vertical="top" wrapText="1"/>
    </xf>
    <xf numFmtId="165" fontId="4" fillId="3" borderId="53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vertical="top" wrapText="1"/>
    </xf>
    <xf numFmtId="49" fontId="4" fillId="3" borderId="60" xfId="0" applyNumberFormat="1" applyFont="1" applyFill="1" applyBorder="1" applyAlignment="1">
      <alignment horizontal="center" vertical="top"/>
    </xf>
    <xf numFmtId="3" fontId="4" fillId="3" borderId="36" xfId="0" applyNumberFormat="1" applyFont="1" applyFill="1" applyBorder="1" applyAlignment="1">
      <alignment vertical="top" wrapText="1"/>
    </xf>
    <xf numFmtId="164" fontId="1" fillId="3" borderId="7" xfId="0" applyNumberFormat="1" applyFont="1" applyFill="1" applyBorder="1" applyAlignment="1">
      <alignment horizontal="center" vertical="top" wrapText="1"/>
    </xf>
    <xf numFmtId="3" fontId="4" fillId="3" borderId="14" xfId="0" applyNumberFormat="1" applyFont="1" applyFill="1" applyBorder="1" applyAlignment="1">
      <alignment horizontal="center" vertical="top" wrapText="1"/>
    </xf>
    <xf numFmtId="3" fontId="21" fillId="3" borderId="16" xfId="0" applyNumberFormat="1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center"/>
    </xf>
    <xf numFmtId="164" fontId="4" fillId="3" borderId="53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center" vertical="top" wrapText="1"/>
    </xf>
    <xf numFmtId="164" fontId="1" fillId="3" borderId="18" xfId="0" applyNumberFormat="1" applyFont="1" applyFill="1" applyBorder="1" applyAlignment="1">
      <alignment horizontal="center" vertical="top" wrapText="1"/>
    </xf>
    <xf numFmtId="164" fontId="1" fillId="3" borderId="30" xfId="0" applyNumberFormat="1" applyFont="1" applyFill="1" applyBorder="1" applyAlignment="1">
      <alignment horizontal="center" vertical="top" wrapText="1"/>
    </xf>
    <xf numFmtId="164" fontId="1" fillId="3" borderId="43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4" fillId="0" borderId="50" xfId="0" applyNumberFormat="1" applyFont="1" applyBorder="1" applyAlignment="1">
      <alignment horizontal="center" vertical="top" wrapText="1"/>
    </xf>
    <xf numFmtId="164" fontId="4" fillId="0" borderId="49" xfId="0" applyNumberFormat="1" applyFont="1" applyBorder="1" applyAlignment="1">
      <alignment horizontal="center" vertical="top" wrapText="1"/>
    </xf>
    <xf numFmtId="164" fontId="1" fillId="0" borderId="30" xfId="0" applyNumberFormat="1" applyFont="1" applyBorder="1" applyAlignment="1">
      <alignment horizontal="center" vertical="top" wrapText="1"/>
    </xf>
    <xf numFmtId="164" fontId="1" fillId="0" borderId="43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3" borderId="50" xfId="0" applyNumberFormat="1" applyFont="1" applyFill="1" applyBorder="1" applyAlignment="1">
      <alignment horizontal="center" vertical="top" wrapText="1"/>
    </xf>
    <xf numFmtId="164" fontId="1" fillId="3" borderId="49" xfId="0" applyNumberFormat="1" applyFont="1" applyFill="1" applyBorder="1" applyAlignment="1">
      <alignment horizontal="center" vertical="top" wrapText="1"/>
    </xf>
    <xf numFmtId="164" fontId="4" fillId="0" borderId="34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30" xfId="0" applyNumberFormat="1" applyFont="1" applyBorder="1" applyAlignment="1">
      <alignment horizontal="center" vertical="top" wrapText="1"/>
    </xf>
    <xf numFmtId="164" fontId="4" fillId="0" borderId="43" xfId="0" applyNumberFormat="1" applyFont="1" applyBorder="1" applyAlignment="1">
      <alignment horizontal="center" vertical="top" wrapText="1"/>
    </xf>
    <xf numFmtId="164" fontId="4" fillId="3" borderId="53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/>
    </xf>
    <xf numFmtId="164" fontId="1" fillId="3" borderId="5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textRotation="90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3" borderId="14" xfId="0" applyNumberFormat="1" applyFont="1" applyFill="1" applyBorder="1" applyAlignment="1">
      <alignment horizontal="center" vertical="top" wrapText="1"/>
    </xf>
    <xf numFmtId="164" fontId="1" fillId="3" borderId="17" xfId="0" applyNumberFormat="1" applyFont="1" applyFill="1" applyBorder="1" applyAlignment="1">
      <alignment horizontal="center" vertical="top" wrapText="1"/>
    </xf>
    <xf numFmtId="164" fontId="1" fillId="3" borderId="63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49" fontId="4" fillId="0" borderId="47" xfId="0" applyNumberFormat="1" applyFont="1" applyFill="1" applyBorder="1" applyAlignment="1">
      <alignment horizontal="center" vertical="top"/>
    </xf>
    <xf numFmtId="49" fontId="4" fillId="0" borderId="52" xfId="0" applyNumberFormat="1" applyFont="1" applyFill="1" applyBorder="1" applyAlignment="1">
      <alignment horizontal="center" vertical="top"/>
    </xf>
    <xf numFmtId="49" fontId="4" fillId="3" borderId="63" xfId="0" applyNumberFormat="1" applyFont="1" applyFill="1" applyBorder="1" applyAlignment="1">
      <alignment horizontal="center" vertical="top"/>
    </xf>
    <xf numFmtId="3" fontId="3" fillId="3" borderId="43" xfId="0" applyNumberFormat="1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left" vertical="top" wrapText="1"/>
    </xf>
    <xf numFmtId="49" fontId="4" fillId="3" borderId="14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 wrapText="1"/>
    </xf>
    <xf numFmtId="49" fontId="4" fillId="3" borderId="18" xfId="1" applyNumberFormat="1" applyFont="1" applyFill="1" applyBorder="1" applyAlignment="1">
      <alignment horizontal="center" vertical="top" wrapText="1"/>
    </xf>
    <xf numFmtId="49" fontId="4" fillId="3" borderId="12" xfId="1" applyNumberFormat="1" applyFont="1" applyFill="1" applyBorder="1" applyAlignment="1">
      <alignment horizontal="center" vertical="top" wrapText="1"/>
    </xf>
    <xf numFmtId="164" fontId="4" fillId="3" borderId="46" xfId="0" applyNumberFormat="1" applyFont="1" applyFill="1" applyBorder="1" applyAlignment="1">
      <alignment horizontal="center" vertical="top"/>
    </xf>
    <xf numFmtId="49" fontId="4" fillId="3" borderId="30" xfId="1" applyNumberFormat="1" applyFont="1" applyFill="1" applyBorder="1" applyAlignment="1">
      <alignment horizontal="center" vertical="top" wrapText="1"/>
    </xf>
    <xf numFmtId="49" fontId="4" fillId="3" borderId="43" xfId="1" applyNumberFormat="1" applyFont="1" applyFill="1" applyBorder="1" applyAlignment="1">
      <alignment horizontal="center" vertical="top" wrapText="1"/>
    </xf>
    <xf numFmtId="49" fontId="1" fillId="3" borderId="63" xfId="0" applyNumberFormat="1" applyFont="1" applyFill="1" applyBorder="1" applyAlignment="1">
      <alignment horizontal="center" vertical="top"/>
    </xf>
    <xf numFmtId="3" fontId="1" fillId="3" borderId="46" xfId="0" applyNumberFormat="1" applyFont="1" applyFill="1" applyBorder="1" applyAlignment="1">
      <alignment vertical="top" wrapText="1"/>
    </xf>
    <xf numFmtId="49" fontId="1" fillId="3" borderId="14" xfId="0" applyNumberFormat="1" applyFont="1" applyFill="1" applyBorder="1" applyAlignment="1">
      <alignment horizontal="center" vertical="top"/>
    </xf>
    <xf numFmtId="3" fontId="1" fillId="3" borderId="53" xfId="0" applyNumberFormat="1" applyFont="1" applyFill="1" applyBorder="1" applyAlignment="1">
      <alignment vertical="top" wrapText="1"/>
    </xf>
    <xf numFmtId="49" fontId="1" fillId="3" borderId="65" xfId="0" applyNumberFormat="1" applyFont="1" applyFill="1" applyBorder="1" applyAlignment="1">
      <alignment horizontal="center" vertical="top"/>
    </xf>
    <xf numFmtId="164" fontId="1" fillId="3" borderId="47" xfId="0" applyNumberFormat="1" applyFont="1" applyFill="1" applyBorder="1" applyAlignment="1">
      <alignment horizontal="center" vertical="top" wrapText="1"/>
    </xf>
    <xf numFmtId="164" fontId="1" fillId="3" borderId="52" xfId="0" applyNumberFormat="1" applyFont="1" applyFill="1" applyBorder="1" applyAlignment="1">
      <alignment horizontal="center" vertical="top" wrapText="1"/>
    </xf>
    <xf numFmtId="3" fontId="6" fillId="3" borderId="63" xfId="0" applyNumberFormat="1" applyFont="1" applyFill="1" applyBorder="1" applyAlignment="1">
      <alignment horizontal="center" vertical="top" wrapText="1"/>
    </xf>
    <xf numFmtId="49" fontId="1" fillId="3" borderId="53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textRotation="180" wrapText="1"/>
    </xf>
    <xf numFmtId="49" fontId="1" fillId="3" borderId="52" xfId="0" applyNumberFormat="1" applyFont="1" applyFill="1" applyBorder="1" applyAlignment="1">
      <alignment horizontal="center" vertical="top" wrapText="1"/>
    </xf>
    <xf numFmtId="3" fontId="1" fillId="3" borderId="65" xfId="0" applyNumberFormat="1" applyFont="1" applyFill="1" applyBorder="1" applyAlignment="1">
      <alignment horizontal="center" vertical="top" textRotation="180" wrapText="1"/>
    </xf>
    <xf numFmtId="3" fontId="1" fillId="3" borderId="41" xfId="0" applyNumberFormat="1" applyFont="1" applyFill="1" applyBorder="1" applyAlignment="1">
      <alignment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3" fontId="6" fillId="3" borderId="14" xfId="0" applyNumberFormat="1" applyFont="1" applyFill="1" applyBorder="1" applyAlignment="1">
      <alignment horizontal="center" vertical="top" wrapText="1"/>
    </xf>
    <xf numFmtId="3" fontId="25" fillId="3" borderId="43" xfId="0" applyNumberFormat="1" applyFont="1" applyFill="1" applyBorder="1" applyAlignment="1">
      <alignment horizontal="center" vertical="top" wrapText="1"/>
    </xf>
    <xf numFmtId="3" fontId="6" fillId="3" borderId="65" xfId="0" applyNumberFormat="1" applyFont="1" applyFill="1" applyBorder="1" applyAlignment="1">
      <alignment horizontal="center" vertical="top" wrapText="1"/>
    </xf>
    <xf numFmtId="3" fontId="1" fillId="3" borderId="29" xfId="0" applyNumberFormat="1" applyFont="1" applyFill="1" applyBorder="1" applyAlignment="1">
      <alignment horizontal="left" vertical="top" wrapText="1"/>
    </xf>
    <xf numFmtId="3" fontId="6" fillId="3" borderId="17" xfId="0" applyNumberFormat="1" applyFont="1" applyFill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center"/>
    </xf>
    <xf numFmtId="164" fontId="4" fillId="10" borderId="45" xfId="1" applyNumberFormat="1" applyFont="1" applyFill="1" applyBorder="1" applyAlignment="1">
      <alignment horizontal="center" vertical="top"/>
    </xf>
    <xf numFmtId="164" fontId="4" fillId="10" borderId="46" xfId="1" applyNumberFormat="1" applyFont="1" applyFill="1" applyBorder="1" applyAlignment="1">
      <alignment horizontal="center" vertical="top"/>
    </xf>
    <xf numFmtId="164" fontId="4" fillId="10" borderId="47" xfId="1" applyNumberFormat="1" applyFont="1" applyFill="1" applyBorder="1" applyAlignment="1">
      <alignment horizontal="center" vertical="top"/>
    </xf>
    <xf numFmtId="164" fontId="4" fillId="3" borderId="50" xfId="0" applyNumberFormat="1" applyFont="1" applyFill="1" applyBorder="1" applyAlignment="1">
      <alignment horizontal="center" vertical="top" wrapText="1"/>
    </xf>
    <xf numFmtId="164" fontId="4" fillId="10" borderId="52" xfId="1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3" borderId="53" xfId="0" applyNumberFormat="1" applyFont="1" applyFill="1" applyBorder="1" applyAlignment="1">
      <alignment horizontal="center" vertical="top"/>
    </xf>
    <xf numFmtId="164" fontId="4" fillId="10" borderId="19" xfId="1" applyNumberFormat="1" applyFont="1" applyFill="1" applyBorder="1" applyAlignment="1">
      <alignment horizontal="center" vertical="top"/>
    </xf>
    <xf numFmtId="164" fontId="4" fillId="10" borderId="72" xfId="1" applyNumberFormat="1" applyFont="1" applyFill="1" applyBorder="1" applyAlignment="1">
      <alignment horizontal="center" vertical="top"/>
    </xf>
    <xf numFmtId="164" fontId="4" fillId="10" borderId="39" xfId="1" applyNumberFormat="1" applyFont="1" applyFill="1" applyBorder="1" applyAlignment="1">
      <alignment horizontal="center" vertical="top"/>
    </xf>
    <xf numFmtId="164" fontId="4" fillId="10" borderId="31" xfId="1" applyNumberFormat="1" applyFont="1" applyFill="1" applyBorder="1" applyAlignment="1">
      <alignment horizontal="center" vertical="top"/>
    </xf>
    <xf numFmtId="164" fontId="4" fillId="4" borderId="34" xfId="0" applyNumberFormat="1" applyFont="1" applyFill="1" applyBorder="1" applyAlignment="1">
      <alignment horizontal="center" vertical="top" wrapText="1"/>
    </xf>
    <xf numFmtId="3" fontId="3" fillId="3" borderId="47" xfId="0" applyNumberFormat="1" applyFont="1" applyFill="1" applyBorder="1" applyAlignment="1">
      <alignment horizontal="center" vertical="top"/>
    </xf>
    <xf numFmtId="3" fontId="3" fillId="3" borderId="52" xfId="0" applyNumberFormat="1" applyFont="1" applyFill="1" applyBorder="1" applyAlignment="1">
      <alignment horizontal="center" vertical="top"/>
    </xf>
    <xf numFmtId="3" fontId="3" fillId="5" borderId="30" xfId="0" applyNumberFormat="1" applyFont="1" applyFill="1" applyBorder="1" applyAlignment="1">
      <alignment horizontal="center" vertical="top" wrapText="1"/>
    </xf>
    <xf numFmtId="3" fontId="6" fillId="0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4" fillId="0" borderId="4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 wrapText="1"/>
    </xf>
    <xf numFmtId="0" fontId="4" fillId="3" borderId="59" xfId="0" applyFont="1" applyFill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center" vertical="top"/>
    </xf>
    <xf numFmtId="3" fontId="6" fillId="0" borderId="60" xfId="0" applyNumberFormat="1" applyFont="1" applyFill="1" applyBorder="1" applyAlignment="1">
      <alignment horizontal="center" vertical="top" wrapText="1"/>
    </xf>
    <xf numFmtId="3" fontId="6" fillId="5" borderId="40" xfId="0" applyNumberFormat="1" applyFont="1" applyFill="1" applyBorder="1" applyAlignment="1">
      <alignment horizontal="center" vertical="top"/>
    </xf>
    <xf numFmtId="164" fontId="6" fillId="5" borderId="16" xfId="0" applyNumberFormat="1" applyFont="1" applyFill="1" applyBorder="1" applyAlignment="1">
      <alignment horizontal="center" vertical="top"/>
    </xf>
    <xf numFmtId="164" fontId="6" fillId="5" borderId="0" xfId="0" applyNumberFormat="1" applyFont="1" applyFill="1" applyBorder="1" applyAlignment="1">
      <alignment horizontal="center" vertical="top"/>
    </xf>
    <xf numFmtId="164" fontId="6" fillId="5" borderId="13" xfId="0" applyNumberFormat="1" applyFont="1" applyFill="1" applyBorder="1" applyAlignment="1">
      <alignment horizontal="center" vertical="top"/>
    </xf>
    <xf numFmtId="164" fontId="6" fillId="5" borderId="15" xfId="0" applyNumberFormat="1" applyFont="1" applyFill="1" applyBorder="1" applyAlignment="1">
      <alignment horizontal="center" vertical="top"/>
    </xf>
    <xf numFmtId="49" fontId="1" fillId="3" borderId="46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vertical="top" wrapText="1"/>
    </xf>
    <xf numFmtId="3" fontId="4" fillId="0" borderId="72" xfId="0" applyNumberFormat="1" applyFont="1" applyFill="1" applyBorder="1" applyAlignment="1">
      <alignment vertical="top" wrapText="1"/>
    </xf>
    <xf numFmtId="3" fontId="4" fillId="3" borderId="45" xfId="0" applyNumberFormat="1" applyFont="1" applyFill="1" applyBorder="1" applyAlignment="1">
      <alignment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3" borderId="26" xfId="0" applyNumberFormat="1" applyFont="1" applyFill="1" applyBorder="1" applyAlignment="1">
      <alignment horizontal="center" vertical="top" wrapText="1"/>
    </xf>
    <xf numFmtId="3" fontId="4" fillId="3" borderId="3" xfId="0" applyNumberFormat="1" applyFont="1" applyFill="1" applyBorder="1" applyAlignment="1">
      <alignment horizontal="center" vertical="top" wrapText="1"/>
    </xf>
    <xf numFmtId="3" fontId="4" fillId="3" borderId="73" xfId="0" applyNumberFormat="1" applyFont="1" applyFill="1" applyBorder="1" applyAlignment="1">
      <alignment horizontal="center" vertical="top" wrapText="1"/>
    </xf>
    <xf numFmtId="165" fontId="3" fillId="5" borderId="22" xfId="0" applyNumberFormat="1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vertical="top"/>
    </xf>
    <xf numFmtId="3" fontId="4" fillId="3" borderId="24" xfId="0" applyNumberFormat="1" applyFont="1" applyFill="1" applyBorder="1" applyAlignment="1">
      <alignment vertical="top"/>
    </xf>
    <xf numFmtId="164" fontId="4" fillId="3" borderId="50" xfId="0" applyNumberFormat="1" applyFont="1" applyFill="1" applyBorder="1" applyAlignment="1">
      <alignment horizontal="center" vertical="top"/>
    </xf>
    <xf numFmtId="164" fontId="4" fillId="3" borderId="49" xfId="0" applyNumberFormat="1" applyFont="1" applyFill="1" applyBorder="1" applyAlignment="1">
      <alignment horizontal="center" vertical="top"/>
    </xf>
    <xf numFmtId="164" fontId="1" fillId="3" borderId="50" xfId="0" applyNumberFormat="1" applyFont="1" applyFill="1" applyBorder="1" applyAlignment="1">
      <alignment horizontal="center" vertical="top"/>
    </xf>
    <xf numFmtId="164" fontId="4" fillId="3" borderId="48" xfId="0" applyNumberFormat="1" applyFont="1" applyFill="1" applyBorder="1" applyAlignment="1">
      <alignment horizontal="center" vertical="top"/>
    </xf>
    <xf numFmtId="164" fontId="4" fillId="3" borderId="29" xfId="0" applyNumberFormat="1" applyFont="1" applyFill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3" fontId="1" fillId="3" borderId="53" xfId="0" applyNumberFormat="1" applyFont="1" applyFill="1" applyBorder="1" applyAlignment="1">
      <alignment horizontal="center" vertical="top"/>
    </xf>
    <xf numFmtId="3" fontId="24" fillId="3" borderId="43" xfId="0" applyNumberFormat="1" applyFont="1" applyFill="1" applyBorder="1" applyAlignment="1">
      <alignment horizontal="center" vertical="top" wrapText="1"/>
    </xf>
    <xf numFmtId="3" fontId="24" fillId="3" borderId="44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textRotation="180" wrapText="1"/>
    </xf>
    <xf numFmtId="3" fontId="1" fillId="3" borderId="51" xfId="0" applyNumberFormat="1" applyFont="1" applyFill="1" applyBorder="1" applyAlignment="1">
      <alignment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top"/>
    </xf>
    <xf numFmtId="164" fontId="2" fillId="0" borderId="0" xfId="0" applyNumberFormat="1" applyFont="1" applyAlignment="1"/>
    <xf numFmtId="3" fontId="4" fillId="3" borderId="11" xfId="0" applyNumberFormat="1" applyFont="1" applyFill="1" applyBorder="1" applyAlignment="1">
      <alignment horizontal="center" vertical="top" wrapText="1"/>
    </xf>
    <xf numFmtId="3" fontId="3" fillId="5" borderId="61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164" fontId="4" fillId="3" borderId="47" xfId="0" applyNumberFormat="1" applyFont="1" applyFill="1" applyBorder="1" applyAlignment="1">
      <alignment horizontal="center" vertical="top" wrapText="1"/>
    </xf>
    <xf numFmtId="164" fontId="4" fillId="10" borderId="15" xfId="1" applyNumberFormat="1" applyFont="1" applyFill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6" fillId="3" borderId="13" xfId="0" applyNumberFormat="1" applyFont="1" applyFill="1" applyBorder="1" applyAlignment="1">
      <alignment horizontal="center" vertical="top" wrapText="1"/>
    </xf>
    <xf numFmtId="3" fontId="6" fillId="0" borderId="59" xfId="0" applyNumberFormat="1" applyFont="1" applyFill="1" applyBorder="1" applyAlignment="1">
      <alignment horizontal="center" vertical="top" wrapText="1"/>
    </xf>
    <xf numFmtId="3" fontId="6" fillId="3" borderId="66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Border="1" applyAlignment="1">
      <alignment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4" fontId="3" fillId="5" borderId="30" xfId="0" applyNumberFormat="1" applyFont="1" applyFill="1" applyBorder="1" applyAlignment="1">
      <alignment horizontal="center" vertical="top"/>
    </xf>
    <xf numFmtId="164" fontId="1" fillId="3" borderId="48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3" fontId="1" fillId="3" borderId="48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1" fillId="3" borderId="45" xfId="0" applyNumberFormat="1" applyFont="1" applyFill="1" applyBorder="1" applyAlignment="1">
      <alignment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/>
    </xf>
    <xf numFmtId="49" fontId="4" fillId="3" borderId="59" xfId="0" applyNumberFormat="1" applyFont="1" applyFill="1" applyBorder="1" applyAlignment="1">
      <alignment horizontal="center" vertical="top"/>
    </xf>
    <xf numFmtId="3" fontId="4" fillId="3" borderId="58" xfId="0" applyNumberFormat="1" applyFont="1" applyFill="1" applyBorder="1" applyAlignment="1">
      <alignment vertical="top" wrapText="1"/>
    </xf>
    <xf numFmtId="3" fontId="4" fillId="3" borderId="22" xfId="0" applyNumberFormat="1" applyFont="1" applyFill="1" applyBorder="1" applyAlignment="1">
      <alignment vertical="center" textRotation="90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1" fillId="3" borderId="43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3" fontId="24" fillId="0" borderId="0" xfId="0" applyNumberFormat="1" applyFont="1" applyBorder="1" applyAlignment="1">
      <alignment vertical="top"/>
    </xf>
    <xf numFmtId="3" fontId="4" fillId="3" borderId="49" xfId="0" applyNumberFormat="1" applyFont="1" applyFill="1" applyBorder="1" applyAlignment="1">
      <alignment vertical="top" wrapText="1"/>
    </xf>
    <xf numFmtId="3" fontId="4" fillId="3" borderId="52" xfId="0" applyNumberFormat="1" applyFont="1" applyFill="1" applyBorder="1" applyAlignment="1">
      <alignment vertical="top" wrapText="1"/>
    </xf>
    <xf numFmtId="165" fontId="1" fillId="3" borderId="48" xfId="0" applyNumberFormat="1" applyFont="1" applyFill="1" applyBorder="1" applyAlignment="1">
      <alignment horizontal="center" vertical="top" wrapText="1"/>
    </xf>
    <xf numFmtId="0" fontId="13" fillId="3" borderId="40" xfId="0" applyFont="1" applyFill="1" applyBorder="1" applyAlignment="1">
      <alignment horizontal="center" vertical="top" wrapText="1"/>
    </xf>
    <xf numFmtId="3" fontId="1" fillId="3" borderId="61" xfId="0" applyNumberFormat="1" applyFont="1" applyFill="1" applyBorder="1" applyAlignment="1">
      <alignment horizontal="center" vertical="top" wrapText="1"/>
    </xf>
    <xf numFmtId="3" fontId="21" fillId="3" borderId="50" xfId="0" applyNumberFormat="1" applyFont="1" applyFill="1" applyBorder="1" applyAlignment="1">
      <alignment horizontal="center" vertical="top" wrapText="1"/>
    </xf>
    <xf numFmtId="3" fontId="21" fillId="3" borderId="49" xfId="0" applyNumberFormat="1" applyFont="1" applyFill="1" applyBorder="1" applyAlignment="1">
      <alignment horizontal="center" vertical="top" wrapText="1"/>
    </xf>
    <xf numFmtId="3" fontId="21" fillId="3" borderId="52" xfId="0" applyNumberFormat="1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top" wrapText="1"/>
    </xf>
    <xf numFmtId="0" fontId="28" fillId="3" borderId="13" xfId="0" applyFont="1" applyFill="1" applyBorder="1" applyAlignment="1">
      <alignment horizontal="center" vertical="top" wrapText="1"/>
    </xf>
    <xf numFmtId="0" fontId="28" fillId="3" borderId="53" xfId="0" applyFont="1" applyFill="1" applyBorder="1" applyAlignment="1">
      <alignment horizontal="center" vertical="top" wrapText="1"/>
    </xf>
    <xf numFmtId="3" fontId="15" fillId="3" borderId="40" xfId="0" applyNumberFormat="1" applyFont="1" applyFill="1" applyBorder="1" applyAlignment="1">
      <alignment vertical="top" wrapText="1"/>
    </xf>
    <xf numFmtId="3" fontId="3" fillId="3" borderId="6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3" fontId="3" fillId="3" borderId="65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 vertical="top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28" fillId="3" borderId="29" xfId="0" applyNumberFormat="1" applyFont="1" applyFill="1" applyBorder="1" applyAlignment="1">
      <alignment horizontal="center" vertical="top" wrapText="1"/>
    </xf>
    <xf numFmtId="3" fontId="15" fillId="3" borderId="0" xfId="0" applyNumberFormat="1" applyFont="1" applyFill="1" applyBorder="1" applyAlignment="1">
      <alignment horizontal="center" vertical="top"/>
    </xf>
    <xf numFmtId="164" fontId="15" fillId="3" borderId="16" xfId="0" applyNumberFormat="1" applyFont="1" applyFill="1" applyBorder="1" applyAlignment="1">
      <alignment horizontal="center" vertical="top" wrapText="1"/>
    </xf>
    <xf numFmtId="165" fontId="15" fillId="3" borderId="0" xfId="0" applyNumberFormat="1" applyFont="1" applyFill="1" applyBorder="1" applyAlignment="1">
      <alignment horizontal="center" vertical="top"/>
    </xf>
    <xf numFmtId="165" fontId="15" fillId="3" borderId="13" xfId="0" applyNumberFormat="1" applyFont="1" applyFill="1" applyBorder="1" applyAlignment="1">
      <alignment horizontal="center" vertical="top"/>
    </xf>
    <xf numFmtId="165" fontId="15" fillId="3" borderId="53" xfId="0" applyNumberFormat="1" applyFont="1" applyFill="1" applyBorder="1" applyAlignment="1">
      <alignment horizontal="center" vertical="top" wrapText="1"/>
    </xf>
    <xf numFmtId="3" fontId="15" fillId="3" borderId="41" xfId="0" applyNumberFormat="1" applyFont="1" applyFill="1" applyBorder="1" applyAlignment="1">
      <alignment horizontal="center" vertical="top"/>
    </xf>
    <xf numFmtId="3" fontId="4" fillId="3" borderId="38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center" vertical="top"/>
    </xf>
    <xf numFmtId="3" fontId="4" fillId="3" borderId="13" xfId="0" applyNumberFormat="1" applyFont="1" applyFill="1" applyBorder="1" applyAlignment="1">
      <alignment horizontal="center" vertical="top" wrapText="1"/>
    </xf>
    <xf numFmtId="165" fontId="1" fillId="3" borderId="46" xfId="0" applyNumberFormat="1" applyFont="1" applyFill="1" applyBorder="1" applyAlignment="1">
      <alignment horizontal="center" vertical="top"/>
    </xf>
    <xf numFmtId="3" fontId="4" fillId="3" borderId="53" xfId="0" applyNumberFormat="1" applyFont="1" applyFill="1" applyBorder="1" applyAlignment="1">
      <alignment horizontal="center" vertical="top" wrapText="1"/>
    </xf>
    <xf numFmtId="165" fontId="1" fillId="3" borderId="18" xfId="0" applyNumberFormat="1" applyFont="1" applyFill="1" applyBorder="1" applyAlignment="1">
      <alignment horizontal="center" vertical="top"/>
    </xf>
    <xf numFmtId="165" fontId="1" fillId="3" borderId="12" xfId="0" applyNumberFormat="1" applyFont="1" applyFill="1" applyBorder="1" applyAlignment="1">
      <alignment horizontal="center" vertical="top"/>
    </xf>
    <xf numFmtId="3" fontId="4" fillId="0" borderId="43" xfId="0" applyNumberFormat="1" applyFont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0" fontId="4" fillId="3" borderId="44" xfId="0" applyFont="1" applyFill="1" applyBorder="1" applyAlignment="1">
      <alignment horizontal="center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3" borderId="44" xfId="0" applyNumberFormat="1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/>
    </xf>
    <xf numFmtId="164" fontId="1" fillId="0" borderId="30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49" fontId="1" fillId="3" borderId="46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164" fontId="4" fillId="10" borderId="16" xfId="1" applyNumberFormat="1" applyFont="1" applyFill="1" applyBorder="1" applyAlignment="1">
      <alignment horizontal="center" vertical="top"/>
    </xf>
    <xf numFmtId="164" fontId="4" fillId="3" borderId="38" xfId="0" applyNumberFormat="1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4" fontId="4" fillId="10" borderId="47" xfId="1" applyNumberFormat="1" applyFont="1" applyFill="1" applyBorder="1" applyAlignment="1">
      <alignment vertical="top"/>
    </xf>
    <xf numFmtId="164" fontId="4" fillId="3" borderId="51" xfId="0" applyNumberFormat="1" applyFont="1" applyFill="1" applyBorder="1" applyAlignment="1">
      <alignment vertical="top" wrapText="1"/>
    </xf>
    <xf numFmtId="164" fontId="4" fillId="10" borderId="53" xfId="1" applyNumberFormat="1" applyFont="1" applyFill="1" applyBorder="1" applyAlignment="1">
      <alignment vertical="top"/>
    </xf>
    <xf numFmtId="164" fontId="4" fillId="10" borderId="52" xfId="1" applyNumberFormat="1" applyFont="1" applyFill="1" applyBorder="1" applyAlignment="1">
      <alignment vertical="top"/>
    </xf>
    <xf numFmtId="3" fontId="4" fillId="3" borderId="13" xfId="0" applyNumberFormat="1" applyFont="1" applyFill="1" applyBorder="1" applyAlignment="1">
      <alignment vertical="top" wrapText="1"/>
    </xf>
    <xf numFmtId="164" fontId="4" fillId="3" borderId="11" xfId="0" applyNumberFormat="1" applyFont="1" applyFill="1" applyBorder="1" applyAlignment="1">
      <alignment horizontal="center" vertical="top" wrapText="1"/>
    </xf>
    <xf numFmtId="3" fontId="4" fillId="3" borderId="12" xfId="0" applyNumberFormat="1" applyFont="1" applyFill="1" applyBorder="1" applyAlignment="1">
      <alignment vertical="top" wrapText="1"/>
    </xf>
    <xf numFmtId="164" fontId="4" fillId="10" borderId="46" xfId="1" applyNumberFormat="1" applyFont="1" applyFill="1" applyBorder="1" applyAlignment="1">
      <alignment vertical="top"/>
    </xf>
    <xf numFmtId="3" fontId="4" fillId="3" borderId="44" xfId="0" applyNumberFormat="1" applyFont="1" applyFill="1" applyBorder="1" applyAlignment="1">
      <alignment horizontal="center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1" fillId="3" borderId="43" xfId="0" applyNumberFormat="1" applyFont="1" applyFill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center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horizontal="center" vertical="top" wrapText="1"/>
    </xf>
    <xf numFmtId="3" fontId="4" fillId="3" borderId="47" xfId="0" applyNumberFormat="1" applyFont="1" applyFill="1" applyBorder="1" applyAlignment="1">
      <alignment horizontal="center" vertical="top" wrapText="1"/>
    </xf>
    <xf numFmtId="165" fontId="1" fillId="3" borderId="30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center" vertical="center" textRotation="90" wrapText="1"/>
    </xf>
    <xf numFmtId="3" fontId="4" fillId="3" borderId="41" xfId="0" applyNumberFormat="1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horizontal="left" vertical="top" wrapText="1"/>
    </xf>
    <xf numFmtId="3" fontId="4" fillId="3" borderId="48" xfId="0" applyNumberFormat="1" applyFont="1" applyFill="1" applyBorder="1" applyAlignment="1">
      <alignment horizontal="left" vertical="top" wrapText="1"/>
    </xf>
    <xf numFmtId="0" fontId="4" fillId="3" borderId="50" xfId="0" applyFont="1" applyFill="1" applyBorder="1" applyAlignment="1">
      <alignment horizontal="left" vertical="top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3" fontId="4" fillId="3" borderId="39" xfId="0" applyNumberFormat="1" applyFont="1" applyFill="1" applyBorder="1" applyAlignment="1">
      <alignment horizontal="left" vertical="top" wrapText="1"/>
    </xf>
    <xf numFmtId="3" fontId="4" fillId="3" borderId="47" xfId="0" applyNumberFormat="1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3" fontId="1" fillId="3" borderId="39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3" borderId="47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3" fillId="2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/>
    </xf>
    <xf numFmtId="3" fontId="3" fillId="7" borderId="58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3" fontId="1" fillId="3" borderId="48" xfId="0" applyNumberFormat="1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left" vertical="top" wrapText="1"/>
    </xf>
    <xf numFmtId="3" fontId="4" fillId="3" borderId="42" xfId="0" applyNumberFormat="1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3" fontId="4" fillId="0" borderId="40" xfId="0" applyNumberFormat="1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3" fontId="6" fillId="0" borderId="5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0" fontId="4" fillId="3" borderId="59" xfId="0" applyFont="1" applyFill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3" fontId="1" fillId="3" borderId="44" xfId="0" applyNumberFormat="1" applyFont="1" applyFill="1" applyBorder="1" applyAlignment="1">
      <alignment horizontal="center" vertical="top" wrapText="1"/>
    </xf>
    <xf numFmtId="3" fontId="1" fillId="3" borderId="5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3" borderId="40" xfId="0" applyNumberFormat="1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/>
    </xf>
    <xf numFmtId="49" fontId="1" fillId="3" borderId="44" xfId="0" applyNumberFormat="1" applyFont="1" applyFill="1" applyBorder="1" applyAlignment="1">
      <alignment horizontal="center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49" fontId="4" fillId="3" borderId="44" xfId="0" applyNumberFormat="1" applyFont="1" applyFill="1" applyBorder="1" applyAlignment="1">
      <alignment horizontal="center" vertical="top"/>
    </xf>
    <xf numFmtId="49" fontId="4" fillId="3" borderId="53" xfId="0" applyNumberFormat="1" applyFont="1" applyFill="1" applyBorder="1" applyAlignment="1">
      <alignment horizontal="center" vertical="top"/>
    </xf>
    <xf numFmtId="49" fontId="4" fillId="3" borderId="52" xfId="0" applyNumberFormat="1" applyFont="1" applyFill="1" applyBorder="1" applyAlignment="1">
      <alignment horizontal="center" vertical="top"/>
    </xf>
    <xf numFmtId="3" fontId="4" fillId="3" borderId="29" xfId="0" applyNumberFormat="1" applyFont="1" applyFill="1" applyBorder="1" applyAlignment="1">
      <alignment horizontal="left" vertical="top" wrapText="1"/>
    </xf>
    <xf numFmtId="3" fontId="3" fillId="3" borderId="40" xfId="0" applyNumberFormat="1" applyFont="1" applyFill="1" applyBorder="1" applyAlignment="1">
      <alignment horizontal="left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horizontal="center" vertical="top" wrapText="1"/>
    </xf>
    <xf numFmtId="0" fontId="4" fillId="3" borderId="47" xfId="0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left" vertical="top"/>
    </xf>
    <xf numFmtId="164" fontId="4" fillId="3" borderId="47" xfId="0" applyNumberFormat="1" applyFont="1" applyFill="1" applyBorder="1" applyAlignment="1">
      <alignment horizontal="center" vertical="top"/>
    </xf>
    <xf numFmtId="164" fontId="4" fillId="3" borderId="52" xfId="0" applyNumberFormat="1" applyFont="1" applyFill="1" applyBorder="1" applyAlignment="1">
      <alignment horizontal="center" vertical="top"/>
    </xf>
    <xf numFmtId="3" fontId="4" fillId="3" borderId="7" xfId="0" applyNumberFormat="1" applyFont="1" applyFill="1" applyBorder="1" applyAlignment="1">
      <alignment horizontal="center" vertical="top"/>
    </xf>
    <xf numFmtId="3" fontId="4" fillId="3" borderId="47" xfId="0" applyNumberFormat="1" applyFont="1" applyFill="1" applyBorder="1" applyAlignment="1">
      <alignment horizontal="center" vertical="top"/>
    </xf>
    <xf numFmtId="3" fontId="9" fillId="0" borderId="0" xfId="0" applyNumberFormat="1" applyFont="1" applyAlignment="1">
      <alignment horizontal="left" vertical="top" wrapText="1"/>
    </xf>
    <xf numFmtId="3" fontId="4" fillId="0" borderId="50" xfId="0" applyNumberFormat="1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 wrapText="1"/>
    </xf>
    <xf numFmtId="3" fontId="4" fillId="0" borderId="40" xfId="0" applyNumberFormat="1" applyFont="1" applyFill="1" applyBorder="1" applyAlignment="1">
      <alignment horizontal="center" vertical="top" wrapText="1"/>
    </xf>
    <xf numFmtId="3" fontId="4" fillId="3" borderId="0" xfId="0" applyNumberFormat="1" applyFont="1" applyFill="1" applyBorder="1" applyAlignment="1">
      <alignment horizontal="left" vertical="top" wrapText="1"/>
    </xf>
    <xf numFmtId="3" fontId="4" fillId="0" borderId="61" xfId="0" applyNumberFormat="1" applyFont="1" applyBorder="1" applyAlignment="1">
      <alignment horizontal="center" vertical="center" textRotation="90" wrapText="1"/>
    </xf>
    <xf numFmtId="0" fontId="13" fillId="0" borderId="50" xfId="0" applyFont="1" applyBorder="1" applyAlignment="1"/>
    <xf numFmtId="0" fontId="13" fillId="0" borderId="50" xfId="0" applyFont="1" applyBorder="1" applyAlignment="1">
      <alignment horizontal="center" vertical="top"/>
    </xf>
    <xf numFmtId="164" fontId="23" fillId="3" borderId="50" xfId="0" applyNumberFormat="1" applyFont="1" applyFill="1" applyBorder="1" applyAlignment="1">
      <alignment horizontal="center" vertical="top"/>
    </xf>
    <xf numFmtId="3" fontId="4" fillId="3" borderId="40" xfId="0" applyNumberFormat="1" applyFont="1" applyFill="1" applyBorder="1" applyAlignment="1">
      <alignment horizontal="left" vertical="top" wrapText="1"/>
    </xf>
    <xf numFmtId="3" fontId="3" fillId="7" borderId="38" xfId="0" applyNumberFormat="1" applyFont="1" applyFill="1" applyBorder="1" applyAlignment="1">
      <alignment horizontal="center" vertical="top"/>
    </xf>
    <xf numFmtId="3" fontId="4" fillId="3" borderId="51" xfId="0" applyNumberFormat="1" applyFont="1" applyFill="1" applyBorder="1" applyAlignment="1">
      <alignment horizontal="left" vertical="top" wrapText="1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6" fillId="3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6" fillId="0" borderId="63" xfId="0" applyNumberFormat="1" applyFont="1" applyFill="1" applyBorder="1" applyAlignment="1">
      <alignment horizontal="center" vertical="top" wrapText="1"/>
    </xf>
    <xf numFmtId="3" fontId="14" fillId="0" borderId="14" xfId="0" applyNumberFormat="1" applyFont="1" applyFill="1" applyBorder="1" applyAlignment="1">
      <alignment vertical="center" textRotation="90" wrapText="1"/>
    </xf>
    <xf numFmtId="3" fontId="6" fillId="0" borderId="65" xfId="0" applyNumberFormat="1" applyFont="1" applyFill="1" applyBorder="1" applyAlignment="1">
      <alignment horizontal="center" vertical="top" wrapText="1"/>
    </xf>
    <xf numFmtId="3" fontId="6" fillId="3" borderId="14" xfId="0" applyNumberFormat="1" applyFont="1" applyFill="1" applyBorder="1" applyAlignment="1">
      <alignment vertical="top" wrapText="1"/>
    </xf>
    <xf numFmtId="3" fontId="4" fillId="0" borderId="7" xfId="0" applyNumberFormat="1" applyFont="1" applyBorder="1" applyAlignment="1">
      <alignment horizontal="center" vertical="top"/>
    </xf>
    <xf numFmtId="3" fontId="6" fillId="5" borderId="16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center" textRotation="90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4" fillId="3" borderId="65" xfId="0" applyNumberFormat="1" applyFont="1" applyFill="1" applyBorder="1" applyAlignment="1">
      <alignment horizontal="center" vertical="center" textRotation="90" wrapText="1"/>
    </xf>
    <xf numFmtId="3" fontId="4" fillId="3" borderId="23" xfId="0" applyNumberFormat="1" applyFont="1" applyFill="1" applyBorder="1" applyAlignment="1">
      <alignment horizontal="center" vertical="center" textRotation="90" wrapText="1"/>
    </xf>
    <xf numFmtId="3" fontId="4" fillId="3" borderId="14" xfId="0" applyNumberFormat="1" applyFont="1" applyFill="1" applyBorder="1" applyAlignment="1">
      <alignment vertical="center" textRotation="90" wrapText="1"/>
    </xf>
    <xf numFmtId="3" fontId="4" fillId="3" borderId="23" xfId="0" applyNumberFormat="1" applyFont="1" applyFill="1" applyBorder="1" applyAlignment="1">
      <alignment vertical="center" textRotation="90" wrapText="1"/>
    </xf>
    <xf numFmtId="164" fontId="3" fillId="5" borderId="0" xfId="0" applyNumberFormat="1" applyFont="1" applyFill="1" applyBorder="1" applyAlignment="1">
      <alignment horizontal="center" vertical="top"/>
    </xf>
    <xf numFmtId="3" fontId="6" fillId="5" borderId="57" xfId="0" applyNumberFormat="1" applyFont="1" applyFill="1" applyBorder="1" applyAlignment="1">
      <alignment horizontal="center" vertical="top"/>
    </xf>
    <xf numFmtId="0" fontId="4" fillId="3" borderId="39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3" fontId="3" fillId="5" borderId="25" xfId="0" applyNumberFormat="1" applyFont="1" applyFill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 textRotation="90"/>
    </xf>
    <xf numFmtId="3" fontId="4" fillId="4" borderId="7" xfId="0" applyNumberFormat="1" applyFont="1" applyFill="1" applyBorder="1" applyAlignment="1">
      <alignment vertical="top" wrapText="1"/>
    </xf>
    <xf numFmtId="0" fontId="4" fillId="3" borderId="45" xfId="0" applyFont="1" applyFill="1" applyBorder="1" applyAlignment="1">
      <alignment vertical="top" wrapText="1"/>
    </xf>
    <xf numFmtId="3" fontId="4" fillId="4" borderId="25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3" borderId="45" xfId="0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vertical="top" wrapText="1"/>
    </xf>
    <xf numFmtId="3" fontId="1" fillId="0" borderId="34" xfId="0" applyNumberFormat="1" applyFont="1" applyBorder="1" applyAlignment="1">
      <alignment horizontal="center" vertical="top" wrapText="1"/>
    </xf>
    <xf numFmtId="1" fontId="1" fillId="3" borderId="30" xfId="0" applyNumberFormat="1" applyFont="1" applyFill="1" applyBorder="1" applyAlignment="1">
      <alignment horizontal="center" vertical="top" wrapText="1"/>
    </xf>
    <xf numFmtId="49" fontId="1" fillId="3" borderId="30" xfId="0" applyNumberFormat="1" applyFont="1" applyFill="1" applyBorder="1" applyAlignment="1">
      <alignment horizontal="center" vertical="top"/>
    </xf>
    <xf numFmtId="49" fontId="1" fillId="3" borderId="30" xfId="0" applyNumberFormat="1" applyFont="1" applyFill="1" applyBorder="1" applyAlignment="1">
      <alignment horizontal="center" vertical="top" wrapText="1"/>
    </xf>
    <xf numFmtId="49" fontId="4" fillId="3" borderId="50" xfId="0" applyNumberFormat="1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/>
    </xf>
    <xf numFmtId="3" fontId="4" fillId="3" borderId="68" xfId="0" applyNumberFormat="1" applyFont="1" applyFill="1" applyBorder="1" applyAlignment="1">
      <alignment horizontal="center" vertical="top" wrapText="1"/>
    </xf>
    <xf numFmtId="3" fontId="4" fillId="3" borderId="71" xfId="0" applyNumberFormat="1" applyFont="1" applyFill="1" applyBorder="1" applyAlignment="1">
      <alignment vertical="top" wrapText="1"/>
    </xf>
    <xf numFmtId="3" fontId="4" fillId="3" borderId="70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3" borderId="45" xfId="0" applyNumberFormat="1" applyFont="1" applyFill="1" applyBorder="1" applyAlignment="1">
      <alignment horizontal="left" vertical="top" wrapText="1"/>
    </xf>
    <xf numFmtId="0" fontId="1" fillId="3" borderId="47" xfId="0" applyFont="1" applyFill="1" applyBorder="1" applyAlignment="1">
      <alignment vertical="top" wrapText="1"/>
    </xf>
    <xf numFmtId="3" fontId="4" fillId="3" borderId="45" xfId="0" applyNumberFormat="1" applyFont="1" applyFill="1" applyBorder="1" applyAlignment="1">
      <alignment horizontal="left" vertical="top" wrapText="1"/>
    </xf>
    <xf numFmtId="0" fontId="1" fillId="3" borderId="39" xfId="0" applyFont="1" applyFill="1" applyBorder="1" applyAlignment="1">
      <alignment vertical="top" wrapText="1"/>
    </xf>
    <xf numFmtId="3" fontId="1" fillId="3" borderId="25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vertical="top" wrapText="1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47" xfId="0" applyNumberFormat="1" applyFont="1" applyFill="1" applyBorder="1" applyAlignment="1">
      <alignment vertical="top" wrapText="1"/>
    </xf>
    <xf numFmtId="0" fontId="4" fillId="3" borderId="47" xfId="0" applyFont="1" applyFill="1" applyBorder="1" applyAlignment="1">
      <alignment vertical="top" wrapText="1"/>
    </xf>
    <xf numFmtId="3" fontId="4" fillId="0" borderId="25" xfId="0" applyNumberFormat="1" applyFont="1" applyFill="1" applyBorder="1" applyAlignment="1">
      <alignment vertical="top" wrapText="1"/>
    </xf>
    <xf numFmtId="3" fontId="4" fillId="0" borderId="45" xfId="0" applyNumberFormat="1" applyFont="1" applyFill="1" applyBorder="1" applyAlignment="1">
      <alignment vertical="top" wrapText="1"/>
    </xf>
    <xf numFmtId="3" fontId="4" fillId="4" borderId="39" xfId="0" applyNumberFormat="1" applyFont="1" applyFill="1" applyBorder="1" applyAlignment="1">
      <alignment vertical="top" wrapText="1"/>
    </xf>
    <xf numFmtId="3" fontId="4" fillId="4" borderId="39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 wrapText="1"/>
    </xf>
    <xf numFmtId="49" fontId="3" fillId="0" borderId="14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vertical="top"/>
    </xf>
    <xf numFmtId="3" fontId="3" fillId="2" borderId="13" xfId="0" applyNumberFormat="1" applyFont="1" applyFill="1" applyBorder="1" applyAlignment="1">
      <alignment vertical="top"/>
    </xf>
    <xf numFmtId="3" fontId="3" fillId="2" borderId="22" xfId="0" applyNumberFormat="1" applyFont="1" applyFill="1" applyBorder="1" applyAlignment="1">
      <alignment vertical="top"/>
    </xf>
    <xf numFmtId="3" fontId="3" fillId="7" borderId="58" xfId="0" applyNumberFormat="1" applyFont="1" applyFill="1" applyBorder="1" applyAlignment="1">
      <alignment vertical="top"/>
    </xf>
    <xf numFmtId="0" fontId="29" fillId="3" borderId="0" xfId="0" applyFont="1" applyFill="1" applyBorder="1" applyAlignment="1">
      <alignment horizontal="center" vertical="top" wrapText="1"/>
    </xf>
    <xf numFmtId="3" fontId="1" fillId="4" borderId="37" xfId="0" applyNumberFormat="1" applyFont="1" applyFill="1" applyBorder="1" applyAlignment="1">
      <alignment horizontal="center" vertical="top"/>
    </xf>
    <xf numFmtId="165" fontId="1" fillId="4" borderId="27" xfId="0" applyNumberFormat="1" applyFont="1" applyFill="1" applyBorder="1" applyAlignment="1">
      <alignment horizontal="center" vertical="top"/>
    </xf>
    <xf numFmtId="165" fontId="1" fillId="4" borderId="3" xfId="0" applyNumberFormat="1" applyFont="1" applyFill="1" applyBorder="1" applyAlignment="1">
      <alignment horizontal="center" vertical="top"/>
    </xf>
    <xf numFmtId="165" fontId="1" fillId="4" borderId="73" xfId="0" applyNumberFormat="1" applyFont="1" applyFill="1" applyBorder="1" applyAlignment="1">
      <alignment horizontal="center" vertical="top"/>
    </xf>
    <xf numFmtId="3" fontId="30" fillId="0" borderId="0" xfId="0" applyNumberFormat="1" applyFont="1" applyBorder="1" applyAlignment="1">
      <alignment vertical="top"/>
    </xf>
    <xf numFmtId="164" fontId="30" fillId="0" borderId="0" xfId="0" applyNumberFormat="1" applyFont="1" applyBorder="1" applyAlignment="1">
      <alignment vertical="top"/>
    </xf>
    <xf numFmtId="3" fontId="31" fillId="3" borderId="16" xfId="0" applyNumberFormat="1" applyFont="1" applyFill="1" applyBorder="1" applyAlignment="1">
      <alignment horizontal="center" vertical="top" wrapText="1"/>
    </xf>
    <xf numFmtId="165" fontId="31" fillId="3" borderId="0" xfId="0" applyNumberFormat="1" applyFont="1" applyFill="1" applyBorder="1" applyAlignment="1">
      <alignment horizontal="center" vertical="top" wrapText="1"/>
    </xf>
    <xf numFmtId="165" fontId="31" fillId="3" borderId="13" xfId="0" applyNumberFormat="1" applyFont="1" applyFill="1" applyBorder="1" applyAlignment="1">
      <alignment horizontal="center" vertical="top" wrapText="1"/>
    </xf>
    <xf numFmtId="165" fontId="31" fillId="3" borderId="53" xfId="0" applyNumberFormat="1" applyFont="1" applyFill="1" applyBorder="1" applyAlignment="1">
      <alignment horizontal="center" vertical="top" wrapText="1"/>
    </xf>
    <xf numFmtId="3" fontId="31" fillId="3" borderId="47" xfId="0" applyNumberFormat="1" applyFont="1" applyFill="1" applyBorder="1" applyAlignment="1">
      <alignment horizontal="center" vertical="top" wrapText="1"/>
    </xf>
    <xf numFmtId="165" fontId="31" fillId="3" borderId="49" xfId="0" applyNumberFormat="1" applyFont="1" applyFill="1" applyBorder="1" applyAlignment="1">
      <alignment horizontal="center" vertical="top" wrapText="1"/>
    </xf>
    <xf numFmtId="165" fontId="31" fillId="3" borderId="52" xfId="0" applyNumberFormat="1" applyFont="1" applyFill="1" applyBorder="1" applyAlignment="1">
      <alignment horizontal="center" vertical="top" wrapText="1"/>
    </xf>
    <xf numFmtId="165" fontId="31" fillId="3" borderId="0" xfId="0" applyNumberFormat="1" applyFont="1" applyFill="1" applyBorder="1" applyAlignment="1">
      <alignment horizontal="center" vertical="top"/>
    </xf>
    <xf numFmtId="165" fontId="31" fillId="3" borderId="13" xfId="0" applyNumberFormat="1" applyFont="1" applyFill="1" applyBorder="1" applyAlignment="1">
      <alignment horizontal="center" vertical="top"/>
    </xf>
    <xf numFmtId="165" fontId="31" fillId="3" borderId="53" xfId="0" applyNumberFormat="1" applyFont="1" applyFill="1" applyBorder="1" applyAlignment="1">
      <alignment horizontal="center" vertical="top"/>
    </xf>
    <xf numFmtId="3" fontId="1" fillId="3" borderId="49" xfId="0" applyNumberFormat="1" applyFont="1" applyFill="1" applyBorder="1" applyAlignment="1">
      <alignment horizontal="center" vertical="top" wrapText="1"/>
    </xf>
    <xf numFmtId="3" fontId="31" fillId="3" borderId="16" xfId="0" applyNumberFormat="1" applyFont="1" applyFill="1" applyBorder="1" applyAlignment="1">
      <alignment horizontal="center" vertical="top"/>
    </xf>
    <xf numFmtId="165" fontId="31" fillId="3" borderId="38" xfId="0" applyNumberFormat="1" applyFont="1" applyFill="1" applyBorder="1" applyAlignment="1">
      <alignment horizontal="center" vertical="top"/>
    </xf>
    <xf numFmtId="165" fontId="31" fillId="3" borderId="51" xfId="0" applyNumberFormat="1" applyFont="1" applyFill="1" applyBorder="1" applyAlignment="1">
      <alignment horizontal="center" vertical="top" wrapText="1"/>
    </xf>
    <xf numFmtId="165" fontId="31" fillId="3" borderId="38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164" fontId="31" fillId="3" borderId="51" xfId="0" applyNumberFormat="1" applyFont="1" applyFill="1" applyBorder="1" applyAlignment="1">
      <alignment horizontal="center" vertical="top" wrapText="1"/>
    </xf>
    <xf numFmtId="164" fontId="31" fillId="3" borderId="49" xfId="0" applyNumberFormat="1" applyFont="1" applyFill="1" applyBorder="1" applyAlignment="1">
      <alignment horizontal="center" vertical="top" wrapText="1"/>
    </xf>
    <xf numFmtId="3" fontId="31" fillId="3" borderId="0" xfId="0" applyNumberFormat="1" applyFont="1" applyFill="1" applyBorder="1" applyAlignment="1">
      <alignment horizontal="center" vertical="top" wrapText="1"/>
    </xf>
    <xf numFmtId="3" fontId="31" fillId="3" borderId="13" xfId="0" applyNumberFormat="1" applyFont="1" applyFill="1" applyBorder="1" applyAlignment="1">
      <alignment horizontal="center" vertical="top" wrapText="1"/>
    </xf>
    <xf numFmtId="164" fontId="31" fillId="3" borderId="53" xfId="0" applyNumberFormat="1" applyFont="1" applyFill="1" applyBorder="1" applyAlignment="1">
      <alignment horizontal="center" vertical="top" wrapText="1"/>
    </xf>
    <xf numFmtId="3" fontId="1" fillId="3" borderId="58" xfId="0" applyNumberFormat="1" applyFont="1" applyFill="1" applyBorder="1" applyAlignment="1">
      <alignment horizontal="center" vertical="top" wrapText="1"/>
    </xf>
    <xf numFmtId="3" fontId="31" fillId="3" borderId="38" xfId="0" applyNumberFormat="1" applyFont="1" applyFill="1" applyBorder="1" applyAlignment="1">
      <alignment horizontal="center" vertical="top" wrapText="1"/>
    </xf>
    <xf numFmtId="164" fontId="31" fillId="3" borderId="38" xfId="0" applyNumberFormat="1" applyFont="1" applyFill="1" applyBorder="1" applyAlignment="1">
      <alignment horizontal="center" vertical="top" wrapText="1"/>
    </xf>
    <xf numFmtId="164" fontId="31" fillId="3" borderId="13" xfId="0" applyNumberFormat="1" applyFont="1" applyFill="1" applyBorder="1" applyAlignment="1">
      <alignment horizontal="center" vertical="top" wrapText="1"/>
    </xf>
    <xf numFmtId="3" fontId="1" fillId="3" borderId="38" xfId="0" applyNumberFormat="1" applyFont="1" applyFill="1" applyBorder="1" applyAlignment="1">
      <alignment vertical="top" wrapText="1"/>
    </xf>
    <xf numFmtId="165" fontId="1" fillId="3" borderId="73" xfId="0" applyNumberFormat="1" applyFont="1" applyFill="1" applyBorder="1" applyAlignment="1">
      <alignment horizontal="center" vertical="top" wrapText="1"/>
    </xf>
    <xf numFmtId="165" fontId="1" fillId="3" borderId="37" xfId="0" applyNumberFormat="1" applyFont="1" applyFill="1" applyBorder="1" applyAlignment="1">
      <alignment horizontal="center" vertical="top" wrapText="1"/>
    </xf>
    <xf numFmtId="165" fontId="1" fillId="3" borderId="27" xfId="0" applyNumberFormat="1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center" vertical="top" wrapText="1"/>
    </xf>
    <xf numFmtId="164" fontId="31" fillId="3" borderId="0" xfId="0" applyNumberFormat="1" applyFont="1" applyFill="1" applyBorder="1" applyAlignment="1">
      <alignment horizontal="center" vertical="top" wrapText="1"/>
    </xf>
    <xf numFmtId="164" fontId="31" fillId="3" borderId="52" xfId="0" applyNumberFormat="1" applyFont="1" applyFill="1" applyBorder="1" applyAlignment="1">
      <alignment horizontal="center" vertical="top"/>
    </xf>
    <xf numFmtId="164" fontId="31" fillId="3" borderId="53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left" vertical="top" wrapText="1"/>
    </xf>
    <xf numFmtId="3" fontId="1" fillId="3" borderId="34" xfId="0" applyNumberFormat="1" applyFont="1" applyFill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center" vertical="top" wrapText="1"/>
    </xf>
    <xf numFmtId="3" fontId="31" fillId="0" borderId="16" xfId="0" applyNumberFormat="1" applyFont="1" applyBorder="1" applyAlignment="1">
      <alignment horizontal="center" vertical="top" wrapText="1"/>
    </xf>
    <xf numFmtId="164" fontId="31" fillId="0" borderId="0" xfId="0" applyNumberFormat="1" applyFont="1" applyBorder="1" applyAlignment="1">
      <alignment horizontal="center" vertical="top" wrapText="1"/>
    </xf>
    <xf numFmtId="164" fontId="31" fillId="0" borderId="13" xfId="0" applyNumberFormat="1" applyFont="1" applyBorder="1" applyAlignment="1">
      <alignment horizontal="center" vertical="top" wrapText="1"/>
    </xf>
    <xf numFmtId="3" fontId="30" fillId="0" borderId="0" xfId="0" applyNumberFormat="1" applyFont="1" applyAlignment="1">
      <alignment vertical="top"/>
    </xf>
    <xf numFmtId="164" fontId="30" fillId="0" borderId="0" xfId="0" applyNumberFormat="1" applyFont="1" applyAlignment="1">
      <alignment vertical="top"/>
    </xf>
    <xf numFmtId="164" fontId="4" fillId="4" borderId="53" xfId="0" applyNumberFormat="1" applyFont="1" applyFill="1" applyBorder="1" applyAlignment="1">
      <alignment horizontal="center" vertical="top" wrapText="1"/>
    </xf>
    <xf numFmtId="164" fontId="31" fillId="0" borderId="38" xfId="0" applyNumberFormat="1" applyFont="1" applyBorder="1" applyAlignment="1">
      <alignment horizontal="center" vertical="top" wrapText="1"/>
    </xf>
    <xf numFmtId="164" fontId="31" fillId="0" borderId="53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4" fontId="1" fillId="0" borderId="73" xfId="0" applyNumberFormat="1" applyFont="1" applyBorder="1" applyAlignment="1">
      <alignment horizontal="center" vertical="top" wrapText="1"/>
    </xf>
    <xf numFmtId="3" fontId="4" fillId="0" borderId="45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3" fontId="30" fillId="3" borderId="16" xfId="0" applyNumberFormat="1" applyFont="1" applyFill="1" applyBorder="1" applyAlignment="1">
      <alignment horizontal="center" vertical="top" wrapText="1"/>
    </xf>
    <xf numFmtId="164" fontId="30" fillId="3" borderId="13" xfId="0" applyNumberFormat="1" applyFont="1" applyFill="1" applyBorder="1" applyAlignment="1">
      <alignment horizontal="center" vertical="top" wrapText="1"/>
    </xf>
    <xf numFmtId="164" fontId="30" fillId="3" borderId="14" xfId="0" applyNumberFormat="1" applyFont="1" applyFill="1" applyBorder="1" applyAlignment="1">
      <alignment horizontal="center" vertical="top" wrapText="1"/>
    </xf>
    <xf numFmtId="3" fontId="30" fillId="3" borderId="47" xfId="0" applyNumberFormat="1" applyFont="1" applyFill="1" applyBorder="1" applyAlignment="1">
      <alignment horizontal="center" vertical="top" wrapText="1"/>
    </xf>
    <xf numFmtId="164" fontId="30" fillId="3" borderId="53" xfId="0" applyNumberFormat="1" applyFont="1" applyFill="1" applyBorder="1" applyAlignment="1">
      <alignment horizontal="center" vertical="top" wrapText="1"/>
    </xf>
    <xf numFmtId="164" fontId="30" fillId="3" borderId="38" xfId="0" applyNumberFormat="1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4" fillId="3" borderId="73" xfId="0" applyNumberFormat="1" applyFont="1" applyFill="1" applyBorder="1" applyAlignment="1">
      <alignment vertical="top"/>
    </xf>
    <xf numFmtId="164" fontId="4" fillId="3" borderId="53" xfId="0" applyNumberFormat="1" applyFont="1" applyFill="1" applyBorder="1" applyAlignment="1">
      <alignment vertical="top"/>
    </xf>
    <xf numFmtId="164" fontId="4" fillId="3" borderId="51" xfId="0" applyNumberFormat="1" applyFont="1" applyFill="1" applyBorder="1" applyAlignment="1">
      <alignment horizontal="center" vertical="top"/>
    </xf>
    <xf numFmtId="164" fontId="4" fillId="3" borderId="52" xfId="0" applyNumberFormat="1" applyFont="1" applyFill="1" applyBorder="1" applyAlignment="1">
      <alignment horizontal="center" vertical="top" wrapText="1"/>
    </xf>
    <xf numFmtId="165" fontId="3" fillId="5" borderId="55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vertical="top"/>
    </xf>
    <xf numFmtId="3" fontId="6" fillId="4" borderId="40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center" vertical="top" textRotation="180" wrapText="1"/>
    </xf>
    <xf numFmtId="3" fontId="4" fillId="4" borderId="16" xfId="0" applyNumberFormat="1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vertical="top" wrapText="1"/>
    </xf>
    <xf numFmtId="3" fontId="4" fillId="4" borderId="53" xfId="0" applyNumberFormat="1" applyFont="1" applyFill="1" applyBorder="1" applyAlignment="1">
      <alignment horizontal="center" vertical="top" wrapText="1"/>
    </xf>
    <xf numFmtId="3" fontId="4" fillId="4" borderId="45" xfId="0" applyNumberFormat="1" applyFont="1" applyFill="1" applyBorder="1" applyAlignment="1">
      <alignment horizontal="center" vertical="top" wrapText="1"/>
    </xf>
    <xf numFmtId="165" fontId="4" fillId="4" borderId="27" xfId="0" applyNumberFormat="1" applyFont="1" applyFill="1" applyBorder="1" applyAlignment="1">
      <alignment horizontal="center" vertical="top" wrapText="1"/>
    </xf>
    <xf numFmtId="165" fontId="4" fillId="4" borderId="3" xfId="0" applyNumberFormat="1" applyFont="1" applyFill="1" applyBorder="1" applyAlignment="1">
      <alignment horizontal="center" vertical="top" wrapText="1"/>
    </xf>
    <xf numFmtId="165" fontId="4" fillId="3" borderId="73" xfId="0" applyNumberFormat="1" applyFont="1" applyFill="1" applyBorder="1" applyAlignment="1">
      <alignment horizontal="center" vertical="top" wrapText="1"/>
    </xf>
    <xf numFmtId="165" fontId="4" fillId="4" borderId="18" xfId="0" applyNumberFormat="1" applyFont="1" applyFill="1" applyBorder="1" applyAlignment="1">
      <alignment horizontal="center" vertical="top" wrapText="1"/>
    </xf>
    <xf numFmtId="165" fontId="4" fillId="4" borderId="12" xfId="0" applyNumberFormat="1" applyFont="1" applyFill="1" applyBorder="1" applyAlignment="1">
      <alignment horizontal="center" vertical="top" wrapText="1"/>
    </xf>
    <xf numFmtId="165" fontId="4" fillId="3" borderId="46" xfId="0" applyNumberFormat="1" applyFont="1" applyFill="1" applyBorder="1" applyAlignment="1">
      <alignment horizontal="center" vertical="top" wrapText="1"/>
    </xf>
    <xf numFmtId="165" fontId="4" fillId="4" borderId="0" xfId="0" applyNumberFormat="1" applyFont="1" applyFill="1" applyBorder="1" applyAlignment="1">
      <alignment horizontal="center" vertical="top" wrapText="1"/>
    </xf>
    <xf numFmtId="165" fontId="4" fillId="4" borderId="13" xfId="0" applyNumberFormat="1" applyFont="1" applyFill="1" applyBorder="1" applyAlignment="1">
      <alignment horizontal="center" vertical="top" wrapText="1"/>
    </xf>
    <xf numFmtId="165" fontId="4" fillId="3" borderId="53" xfId="0" applyNumberFormat="1" applyFont="1" applyFill="1" applyBorder="1" applyAlignment="1">
      <alignment horizontal="center" vertical="top" wrapText="1"/>
    </xf>
    <xf numFmtId="3" fontId="30" fillId="3" borderId="13" xfId="0" applyNumberFormat="1" applyFont="1" applyFill="1" applyBorder="1" applyAlignment="1">
      <alignment vertical="top" wrapText="1"/>
    </xf>
    <xf numFmtId="164" fontId="30" fillId="10" borderId="53" xfId="1" applyNumberFormat="1" applyFont="1" applyFill="1" applyBorder="1" applyAlignment="1">
      <alignment vertical="top"/>
    </xf>
    <xf numFmtId="165" fontId="30" fillId="3" borderId="0" xfId="0" applyNumberFormat="1" applyFont="1" applyFill="1" applyBorder="1" applyAlignment="1">
      <alignment horizontal="center" vertical="top" wrapText="1"/>
    </xf>
    <xf numFmtId="165" fontId="30" fillId="3" borderId="13" xfId="0" applyNumberFormat="1" applyFont="1" applyFill="1" applyBorder="1" applyAlignment="1">
      <alignment horizontal="center" vertical="top" wrapText="1"/>
    </xf>
    <xf numFmtId="164" fontId="30" fillId="3" borderId="53" xfId="0" applyNumberFormat="1" applyFont="1" applyFill="1" applyBorder="1" applyAlignment="1">
      <alignment horizontal="center" vertical="top"/>
    </xf>
    <xf numFmtId="3" fontId="30" fillId="3" borderId="13" xfId="0" applyNumberFormat="1" applyFont="1" applyFill="1" applyBorder="1" applyAlignment="1">
      <alignment horizontal="center" vertical="top" wrapText="1"/>
    </xf>
    <xf numFmtId="3" fontId="30" fillId="3" borderId="51" xfId="0" applyNumberFormat="1" applyFont="1" applyFill="1" applyBorder="1" applyAlignment="1">
      <alignment horizontal="center" vertical="top" wrapText="1"/>
    </xf>
    <xf numFmtId="3" fontId="30" fillId="3" borderId="38" xfId="0" applyNumberFormat="1" applyFont="1" applyFill="1" applyBorder="1" applyAlignment="1">
      <alignment horizontal="center" vertical="top" wrapText="1"/>
    </xf>
    <xf numFmtId="3" fontId="30" fillId="3" borderId="0" xfId="0" applyNumberFormat="1" applyFont="1" applyFill="1" applyBorder="1" applyAlignment="1">
      <alignment horizontal="center" vertical="top" wrapText="1"/>
    </xf>
    <xf numFmtId="165" fontId="30" fillId="3" borderId="49" xfId="0" applyNumberFormat="1" applyFont="1" applyFill="1" applyBorder="1" applyAlignment="1">
      <alignment horizontal="center" vertical="top" wrapText="1"/>
    </xf>
    <xf numFmtId="165" fontId="30" fillId="3" borderId="52" xfId="0" applyNumberFormat="1" applyFont="1" applyFill="1" applyBorder="1" applyAlignment="1">
      <alignment horizontal="center" vertical="top" wrapText="1"/>
    </xf>
    <xf numFmtId="165" fontId="30" fillId="3" borderId="53" xfId="0" applyNumberFormat="1" applyFont="1" applyFill="1" applyBorder="1" applyAlignment="1">
      <alignment horizontal="center" vertical="top" wrapText="1"/>
    </xf>
    <xf numFmtId="165" fontId="30" fillId="3" borderId="38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3" fontId="32" fillId="0" borderId="0" xfId="0" applyNumberFormat="1" applyFont="1" applyBorder="1" applyAlignment="1"/>
    <xf numFmtId="164" fontId="32" fillId="0" borderId="0" xfId="0" applyNumberFormat="1" applyFont="1" applyAlignment="1"/>
    <xf numFmtId="3" fontId="31" fillId="0" borderId="0" xfId="0" applyNumberFormat="1" applyFont="1" applyBorder="1" applyAlignment="1">
      <alignment vertical="top"/>
    </xf>
    <xf numFmtId="164" fontId="31" fillId="0" borderId="0" xfId="0" applyNumberFormat="1" applyFont="1" applyBorder="1" applyAlignment="1">
      <alignment vertical="top"/>
    </xf>
    <xf numFmtId="3" fontId="32" fillId="0" borderId="0" xfId="0" applyNumberFormat="1" applyFont="1" applyAlignment="1"/>
    <xf numFmtId="3" fontId="30" fillId="0" borderId="16" xfId="0" applyNumberFormat="1" applyFont="1" applyFill="1" applyBorder="1" applyAlignment="1">
      <alignment horizontal="center" vertical="top"/>
    </xf>
    <xf numFmtId="164" fontId="30" fillId="3" borderId="0" xfId="0" applyNumberFormat="1" applyFont="1" applyFill="1" applyBorder="1" applyAlignment="1">
      <alignment horizontal="center" vertical="top"/>
    </xf>
    <xf numFmtId="164" fontId="30" fillId="0" borderId="13" xfId="0" applyNumberFormat="1" applyFont="1" applyFill="1" applyBorder="1" applyAlignment="1">
      <alignment horizontal="center" vertical="top"/>
    </xf>
    <xf numFmtId="164" fontId="30" fillId="0" borderId="53" xfId="0" applyNumberFormat="1" applyFont="1" applyFill="1" applyBorder="1" applyAlignment="1">
      <alignment horizontal="center" vertical="top"/>
    </xf>
    <xf numFmtId="164" fontId="30" fillId="0" borderId="0" xfId="0" applyNumberFormat="1" applyFont="1" applyFill="1" applyBorder="1" applyAlignment="1">
      <alignment horizontal="center" vertical="top"/>
    </xf>
    <xf numFmtId="164" fontId="30" fillId="3" borderId="38" xfId="0" applyNumberFormat="1" applyFont="1" applyFill="1" applyBorder="1" applyAlignment="1">
      <alignment horizontal="center" vertical="top"/>
    </xf>
    <xf numFmtId="3" fontId="1" fillId="3" borderId="42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center" vertical="top" wrapText="1"/>
    </xf>
    <xf numFmtId="3" fontId="1" fillId="3" borderId="37" xfId="0" applyNumberFormat="1" applyFont="1" applyFill="1" applyBorder="1" applyAlignment="1">
      <alignment horizontal="center" vertical="top"/>
    </xf>
    <xf numFmtId="164" fontId="1" fillId="3" borderId="73" xfId="0" applyNumberFormat="1" applyFont="1" applyFill="1" applyBorder="1" applyAlignment="1">
      <alignment horizontal="center" vertical="top"/>
    </xf>
    <xf numFmtId="3" fontId="31" fillId="0" borderId="16" xfId="0" applyNumberFormat="1" applyFont="1" applyFill="1" applyBorder="1" applyAlignment="1">
      <alignment horizontal="center" vertical="top"/>
    </xf>
    <xf numFmtId="164" fontId="31" fillId="3" borderId="0" xfId="0" applyNumberFormat="1" applyFont="1" applyFill="1" applyBorder="1" applyAlignment="1">
      <alignment horizontal="center" vertical="top"/>
    </xf>
    <xf numFmtId="164" fontId="31" fillId="3" borderId="13" xfId="0" applyNumberFormat="1" applyFont="1" applyFill="1" applyBorder="1" applyAlignment="1">
      <alignment horizontal="center" vertical="top"/>
    </xf>
    <xf numFmtId="164" fontId="31" fillId="0" borderId="0" xfId="0" applyNumberFormat="1" applyFont="1" applyFill="1" applyBorder="1" applyAlignment="1">
      <alignment horizontal="center" vertical="top"/>
    </xf>
    <xf numFmtId="164" fontId="31" fillId="0" borderId="13" xfId="0" applyNumberFormat="1" applyFont="1" applyFill="1" applyBorder="1" applyAlignment="1">
      <alignment horizontal="center" vertical="top"/>
    </xf>
    <xf numFmtId="164" fontId="31" fillId="0" borderId="38" xfId="0" applyNumberFormat="1" applyFont="1" applyFill="1" applyBorder="1" applyAlignment="1">
      <alignment horizontal="center" vertical="top"/>
    </xf>
    <xf numFmtId="164" fontId="31" fillId="0" borderId="53" xfId="0" applyNumberFormat="1" applyFont="1" applyFill="1" applyBorder="1" applyAlignment="1">
      <alignment horizontal="center" vertical="top"/>
    </xf>
    <xf numFmtId="164" fontId="31" fillId="3" borderId="38" xfId="0" applyNumberFormat="1" applyFont="1" applyFill="1" applyBorder="1" applyAlignment="1">
      <alignment horizontal="center" vertical="top"/>
    </xf>
    <xf numFmtId="164" fontId="31" fillId="3" borderId="15" xfId="0" applyNumberFormat="1" applyFont="1" applyFill="1" applyBorder="1" applyAlignment="1">
      <alignment horizontal="center" vertical="top" wrapText="1"/>
    </xf>
    <xf numFmtId="3" fontId="33" fillId="3" borderId="47" xfId="0" applyNumberFormat="1" applyFont="1" applyFill="1" applyBorder="1" applyAlignment="1">
      <alignment horizontal="center" vertical="top"/>
    </xf>
    <xf numFmtId="164" fontId="33" fillId="3" borderId="51" xfId="0" applyNumberFormat="1" applyFont="1" applyFill="1" applyBorder="1" applyAlignment="1">
      <alignment horizontal="center" vertical="top"/>
    </xf>
    <xf numFmtId="164" fontId="33" fillId="3" borderId="49" xfId="0" applyNumberFormat="1" applyFont="1" applyFill="1" applyBorder="1" applyAlignment="1">
      <alignment horizontal="center" vertical="top"/>
    </xf>
    <xf numFmtId="164" fontId="33" fillId="3" borderId="52" xfId="0" applyNumberFormat="1" applyFont="1" applyFill="1" applyBorder="1" applyAlignment="1">
      <alignment horizontal="center" vertical="top"/>
    </xf>
    <xf numFmtId="3" fontId="4" fillId="3" borderId="11" xfId="0" applyNumberFormat="1" applyFont="1" applyFill="1" applyBorder="1" applyAlignment="1">
      <alignment horizontal="left" vertical="top" wrapText="1"/>
    </xf>
    <xf numFmtId="3" fontId="6" fillId="3" borderId="52" xfId="0" applyNumberFormat="1" applyFont="1" applyFill="1" applyBorder="1" applyAlignment="1">
      <alignment vertical="top" wrapText="1"/>
    </xf>
    <xf numFmtId="3" fontId="6" fillId="3" borderId="53" xfId="0" applyNumberFormat="1" applyFont="1" applyFill="1" applyBorder="1" applyAlignment="1">
      <alignment horizontal="center" vertical="center" wrapText="1"/>
    </xf>
    <xf numFmtId="3" fontId="6" fillId="3" borderId="52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center" textRotation="90" wrapText="1"/>
    </xf>
    <xf numFmtId="164" fontId="26" fillId="0" borderId="10" xfId="0" applyNumberFormat="1" applyFont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3" fontId="6" fillId="5" borderId="1" xfId="0" applyNumberFormat="1" applyFont="1" applyFill="1" applyBorder="1" applyAlignment="1">
      <alignment horizontal="right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3" fontId="3" fillId="3" borderId="65" xfId="0" applyNumberFormat="1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3" fontId="3" fillId="5" borderId="56" xfId="0" applyNumberFormat="1" applyFont="1" applyFill="1" applyBorder="1" applyAlignment="1">
      <alignment horizontal="right" vertical="top" wrapText="1"/>
    </xf>
    <xf numFmtId="3" fontId="1" fillId="0" borderId="37" xfId="0" applyNumberFormat="1" applyFont="1" applyBorder="1" applyAlignment="1">
      <alignment horizontal="center" vertical="top" wrapText="1"/>
    </xf>
    <xf numFmtId="164" fontId="1" fillId="0" borderId="27" xfId="0" applyNumberFormat="1" applyFont="1" applyBorder="1" applyAlignment="1">
      <alignment horizontal="center" vertical="top" wrapText="1"/>
    </xf>
    <xf numFmtId="164" fontId="1" fillId="4" borderId="73" xfId="0" applyNumberFormat="1" applyFont="1" applyFill="1" applyBorder="1" applyAlignment="1">
      <alignment horizontal="center" vertical="top" wrapText="1"/>
    </xf>
    <xf numFmtId="3" fontId="3" fillId="5" borderId="67" xfId="0" applyNumberFormat="1" applyFont="1" applyFill="1" applyBorder="1" applyAlignment="1">
      <alignment vertical="top" wrapText="1"/>
    </xf>
    <xf numFmtId="3" fontId="6" fillId="0" borderId="40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top" textRotation="90"/>
    </xf>
    <xf numFmtId="3" fontId="6" fillId="3" borderId="61" xfId="0" applyNumberFormat="1" applyFont="1" applyFill="1" applyBorder="1" applyAlignment="1">
      <alignment vertical="top" wrapText="1"/>
    </xf>
    <xf numFmtId="164" fontId="30" fillId="3" borderId="0" xfId="0" applyNumberFormat="1" applyFont="1" applyFill="1" applyBorder="1" applyAlignment="1">
      <alignment horizontal="center" vertical="top" wrapText="1"/>
    </xf>
    <xf numFmtId="165" fontId="1" fillId="3" borderId="42" xfId="0" applyNumberFormat="1" applyFont="1" applyFill="1" applyBorder="1" applyAlignment="1">
      <alignment horizontal="center" vertical="top" wrapText="1"/>
    </xf>
    <xf numFmtId="165" fontId="4" fillId="3" borderId="44" xfId="0" applyNumberFormat="1" applyFont="1" applyFill="1" applyBorder="1" applyAlignment="1">
      <alignment horizontal="center" vertical="top" wrapText="1"/>
    </xf>
    <xf numFmtId="164" fontId="30" fillId="10" borderId="53" xfId="1" applyNumberFormat="1" applyFont="1" applyFill="1" applyBorder="1" applyAlignment="1">
      <alignment horizontal="center" vertical="top"/>
    </xf>
    <xf numFmtId="164" fontId="30" fillId="3" borderId="52" xfId="0" applyNumberFormat="1" applyFont="1" applyFill="1" applyBorder="1" applyAlignment="1">
      <alignment horizontal="center" vertical="top"/>
    </xf>
    <xf numFmtId="164" fontId="30" fillId="3" borderId="49" xfId="0" applyNumberFormat="1" applyFont="1" applyFill="1" applyBorder="1" applyAlignment="1">
      <alignment horizontal="center" vertical="top"/>
    </xf>
    <xf numFmtId="164" fontId="30" fillId="3" borderId="51" xfId="0" applyNumberFormat="1" applyFont="1" applyFill="1" applyBorder="1" applyAlignment="1">
      <alignment horizontal="center" vertical="top"/>
    </xf>
    <xf numFmtId="164" fontId="30" fillId="3" borderId="13" xfId="0" applyNumberFormat="1" applyFont="1" applyFill="1" applyBorder="1" applyAlignment="1">
      <alignment horizontal="center" vertical="top"/>
    </xf>
    <xf numFmtId="3" fontId="6" fillId="5" borderId="67" xfId="0" applyNumberFormat="1" applyFont="1" applyFill="1" applyBorder="1" applyAlignment="1">
      <alignment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44" xfId="0" applyNumberFormat="1" applyFont="1" applyFill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4" borderId="35" xfId="0" applyNumberFormat="1" applyFont="1" applyFill="1" applyBorder="1" applyAlignment="1">
      <alignment horizontal="left" vertical="top" wrapText="1"/>
    </xf>
    <xf numFmtId="3" fontId="6" fillId="4" borderId="38" xfId="0" applyNumberFormat="1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42" xfId="0" applyFont="1" applyFill="1" applyBorder="1" applyAlignment="1">
      <alignment horizontal="center" vertical="top" wrapText="1"/>
    </xf>
    <xf numFmtId="0" fontId="4" fillId="3" borderId="51" xfId="0" applyFont="1" applyFill="1" applyBorder="1" applyAlignment="1">
      <alignment horizontal="center" vertical="top" wrapText="1"/>
    </xf>
    <xf numFmtId="0" fontId="4" fillId="3" borderId="43" xfId="0" applyFont="1" applyFill="1" applyBorder="1" applyAlignment="1">
      <alignment horizontal="center" vertical="top" wrapText="1"/>
    </xf>
    <xf numFmtId="0" fontId="4" fillId="3" borderId="49" xfId="0" applyFont="1" applyFill="1" applyBorder="1" applyAlignment="1">
      <alignment horizontal="center" vertical="top" wrapText="1"/>
    </xf>
    <xf numFmtId="0" fontId="4" fillId="3" borderId="44" xfId="0" applyFont="1" applyFill="1" applyBorder="1" applyAlignment="1">
      <alignment horizontal="center" vertical="top" wrapText="1"/>
    </xf>
    <xf numFmtId="0" fontId="4" fillId="3" borderId="52" xfId="0" applyFont="1" applyFill="1" applyBorder="1" applyAlignment="1">
      <alignment horizontal="center" vertical="top" wrapText="1"/>
    </xf>
    <xf numFmtId="3" fontId="4" fillId="0" borderId="4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4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left" vertical="top"/>
    </xf>
    <xf numFmtId="3" fontId="6" fillId="2" borderId="9" xfId="0" applyNumberFormat="1" applyFont="1" applyFill="1" applyBorder="1" applyAlignment="1">
      <alignment horizontal="left" vertical="top"/>
    </xf>
    <xf numFmtId="3" fontId="6" fillId="2" borderId="10" xfId="0" applyNumberFormat="1" applyFont="1" applyFill="1" applyBorder="1" applyAlignment="1">
      <alignment horizontal="left" vertical="top"/>
    </xf>
    <xf numFmtId="3" fontId="4" fillId="3" borderId="41" xfId="0" applyNumberFormat="1" applyFont="1" applyFill="1" applyBorder="1" applyAlignment="1">
      <alignment horizontal="left" vertical="top" wrapText="1"/>
    </xf>
    <xf numFmtId="3" fontId="4" fillId="3" borderId="40" xfId="0" applyNumberFormat="1" applyFont="1" applyFill="1" applyBorder="1" applyAlignment="1">
      <alignment horizontal="left" vertical="top" wrapText="1"/>
    </xf>
    <xf numFmtId="3" fontId="4" fillId="3" borderId="48" xfId="0" applyNumberFormat="1" applyFont="1" applyFill="1" applyBorder="1" applyAlignment="1">
      <alignment horizontal="left" vertical="top" wrapText="1"/>
    </xf>
    <xf numFmtId="3" fontId="4" fillId="3" borderId="16" xfId="0" applyNumberFormat="1" applyFont="1" applyFill="1" applyBorder="1" applyAlignment="1">
      <alignment horizontal="left" vertical="top" wrapText="1"/>
    </xf>
    <xf numFmtId="3" fontId="4" fillId="3" borderId="47" xfId="0" applyNumberFormat="1" applyFont="1" applyFill="1" applyBorder="1" applyAlignment="1">
      <alignment horizontal="left" vertical="top" wrapText="1"/>
    </xf>
    <xf numFmtId="3" fontId="4" fillId="3" borderId="39" xfId="0" applyNumberFormat="1" applyFont="1" applyFill="1" applyBorder="1" applyAlignment="1">
      <alignment horizontal="left" vertical="top" wrapText="1"/>
    </xf>
    <xf numFmtId="0" fontId="4" fillId="3" borderId="59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3" fontId="15" fillId="3" borderId="41" xfId="0" applyNumberFormat="1" applyFont="1" applyFill="1" applyBorder="1" applyAlignment="1">
      <alignment horizontal="left" vertical="top" wrapText="1"/>
    </xf>
    <xf numFmtId="3" fontId="19" fillId="3" borderId="40" xfId="0" applyNumberFormat="1" applyFont="1" applyFill="1" applyBorder="1" applyAlignment="1">
      <alignment horizontal="left" vertical="top" wrapText="1"/>
    </xf>
    <xf numFmtId="3" fontId="19" fillId="3" borderId="48" xfId="0" applyNumberFormat="1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3" borderId="53" xfId="0" applyFont="1" applyFill="1" applyBorder="1" applyAlignment="1">
      <alignment horizontal="center" vertical="top" wrapText="1"/>
    </xf>
    <xf numFmtId="3" fontId="6" fillId="5" borderId="54" xfId="0" applyNumberFormat="1" applyFont="1" applyFill="1" applyBorder="1" applyAlignment="1">
      <alignment horizontal="right" vertical="top" wrapText="1"/>
    </xf>
    <xf numFmtId="3" fontId="6" fillId="5" borderId="55" xfId="0" applyNumberFormat="1" applyFont="1" applyFill="1" applyBorder="1" applyAlignment="1">
      <alignment horizontal="right" vertical="top" wrapText="1"/>
    </xf>
    <xf numFmtId="3" fontId="6" fillId="5" borderId="24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center" vertical="top"/>
    </xf>
    <xf numFmtId="3" fontId="3" fillId="7" borderId="38" xfId="0" applyNumberFormat="1" applyFont="1" applyFill="1" applyBorder="1" applyAlignment="1">
      <alignment horizontal="center" vertical="top"/>
    </xf>
    <xf numFmtId="3" fontId="3" fillId="3" borderId="36" xfId="0" applyNumberFormat="1" applyFont="1" applyFill="1" applyBorder="1" applyAlignment="1">
      <alignment horizontal="left" vertical="top" wrapText="1"/>
    </xf>
    <xf numFmtId="3" fontId="3" fillId="3" borderId="40" xfId="0" applyNumberFormat="1" applyFont="1" applyFill="1" applyBorder="1" applyAlignment="1">
      <alignment horizontal="left" vertical="top" wrapText="1"/>
    </xf>
    <xf numFmtId="49" fontId="3" fillId="7" borderId="35" xfId="0" applyNumberFormat="1" applyFont="1" applyFill="1" applyBorder="1" applyAlignment="1">
      <alignment horizontal="center" vertical="top"/>
    </xf>
    <xf numFmtId="49" fontId="3" fillId="7" borderId="38" xfId="0" applyNumberFormat="1" applyFont="1" applyFill="1" applyBorder="1" applyAlignment="1">
      <alignment horizontal="center" vertical="top"/>
    </xf>
    <xf numFmtId="49" fontId="3" fillId="7" borderId="58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3" fontId="4" fillId="3" borderId="42" xfId="0" applyNumberFormat="1" applyFont="1" applyFill="1" applyBorder="1" applyAlignment="1">
      <alignment horizontal="left" vertical="top" wrapText="1"/>
    </xf>
    <xf numFmtId="3" fontId="4" fillId="3" borderId="51" xfId="0" applyNumberFormat="1" applyFont="1" applyFill="1" applyBorder="1" applyAlignment="1">
      <alignment horizontal="left" vertical="top" wrapText="1"/>
    </xf>
    <xf numFmtId="3" fontId="6" fillId="3" borderId="63" xfId="0" applyNumberFormat="1" applyFont="1" applyFill="1" applyBorder="1" applyAlignment="1">
      <alignment horizontal="center" vertical="top" wrapText="1"/>
    </xf>
    <xf numFmtId="3" fontId="6" fillId="3" borderId="6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40" xfId="0" applyNumberFormat="1" applyFont="1" applyFill="1" applyBorder="1" applyAlignment="1">
      <alignment horizontal="left" vertical="top" wrapText="1"/>
    </xf>
    <xf numFmtId="3" fontId="1" fillId="3" borderId="61" xfId="0" applyNumberFormat="1" applyFont="1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horizontal="center" vertical="top" wrapText="1"/>
    </xf>
    <xf numFmtId="3" fontId="6" fillId="0" borderId="23" xfId="0" applyNumberFormat="1" applyFont="1" applyFill="1" applyBorder="1" applyAlignment="1">
      <alignment horizontal="center" vertical="top" wrapText="1"/>
    </xf>
    <xf numFmtId="3" fontId="6" fillId="7" borderId="35" xfId="0" applyNumberFormat="1" applyFont="1" applyFill="1" applyBorder="1" applyAlignment="1">
      <alignment horizontal="center" vertical="top"/>
    </xf>
    <xf numFmtId="3" fontId="6" fillId="7" borderId="38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4" fillId="3" borderId="7" xfId="0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left" vertical="top" wrapText="1"/>
    </xf>
    <xf numFmtId="3" fontId="1" fillId="0" borderId="47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3" borderId="64" xfId="0" applyFont="1" applyFill="1" applyBorder="1" applyAlignment="1">
      <alignment horizontal="center" vertical="top" wrapText="1"/>
    </xf>
    <xf numFmtId="0" fontId="4" fillId="3" borderId="71" xfId="0" applyFont="1" applyFill="1" applyBorder="1" applyAlignment="1">
      <alignment horizontal="center" vertical="top" wrapText="1"/>
    </xf>
    <xf numFmtId="3" fontId="3" fillId="2" borderId="62" xfId="0" applyNumberFormat="1" applyFont="1" applyFill="1" applyBorder="1" applyAlignment="1">
      <alignment horizontal="left" vertical="top"/>
    </xf>
    <xf numFmtId="3" fontId="3" fillId="2" borderId="9" xfId="0" applyNumberFormat="1" applyFont="1" applyFill="1" applyBorder="1" applyAlignment="1">
      <alignment horizontal="left" vertical="top"/>
    </xf>
    <xf numFmtId="3" fontId="3" fillId="2" borderId="10" xfId="0" applyNumberFormat="1" applyFont="1" applyFill="1" applyBorder="1" applyAlignment="1">
      <alignment horizontal="left" vertical="top"/>
    </xf>
    <xf numFmtId="3" fontId="1" fillId="3" borderId="41" xfId="0" applyNumberFormat="1" applyFont="1" applyFill="1" applyBorder="1" applyAlignment="1">
      <alignment horizontal="left" vertical="top" wrapText="1"/>
    </xf>
    <xf numFmtId="3" fontId="1" fillId="3" borderId="48" xfId="0" applyNumberFormat="1" applyFont="1" applyFill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5" borderId="11" xfId="0" applyNumberFormat="1" applyFont="1" applyFill="1" applyBorder="1" applyAlignment="1">
      <alignment horizontal="left" vertical="top" wrapText="1"/>
    </xf>
    <xf numFmtId="3" fontId="4" fillId="5" borderId="12" xfId="0" applyNumberFormat="1" applyFont="1" applyFill="1" applyBorder="1" applyAlignment="1">
      <alignment horizontal="left" vertical="top" wrapText="1"/>
    </xf>
    <xf numFmtId="3" fontId="4" fillId="5" borderId="17" xfId="0" applyNumberFormat="1" applyFont="1" applyFill="1" applyBorder="1" applyAlignment="1">
      <alignment horizontal="left" vertical="top" wrapText="1"/>
    </xf>
    <xf numFmtId="3" fontId="4" fillId="5" borderId="29" xfId="0" applyNumberFormat="1" applyFont="1" applyFill="1" applyBorder="1" applyAlignment="1">
      <alignment horizontal="left" vertical="top" wrapText="1"/>
    </xf>
    <xf numFmtId="3" fontId="4" fillId="5" borderId="18" xfId="0" applyNumberFormat="1" applyFont="1" applyFill="1" applyBorder="1" applyAlignment="1">
      <alignment horizontal="left" vertical="top" wrapText="1"/>
    </xf>
    <xf numFmtId="3" fontId="4" fillId="3" borderId="29" xfId="0" applyNumberFormat="1" applyFont="1" applyFill="1" applyBorder="1" applyAlignment="1">
      <alignment horizontal="left" vertical="top" wrapText="1"/>
    </xf>
    <xf numFmtId="3" fontId="4" fillId="3" borderId="18" xfId="0" applyNumberFormat="1" applyFont="1" applyFill="1" applyBorder="1" applyAlignment="1">
      <alignment horizontal="left" vertical="top" wrapText="1"/>
    </xf>
    <xf numFmtId="3" fontId="4" fillId="3" borderId="19" xfId="0" applyNumberFormat="1" applyFont="1" applyFill="1" applyBorder="1" applyAlignment="1">
      <alignment horizontal="left" vertical="top" wrapText="1"/>
    </xf>
    <xf numFmtId="3" fontId="3" fillId="8" borderId="62" xfId="0" applyNumberFormat="1" applyFont="1" applyFill="1" applyBorder="1" applyAlignment="1">
      <alignment horizontal="right" vertical="center"/>
    </xf>
    <xf numFmtId="3" fontId="3" fillId="8" borderId="9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left" vertical="top" wrapText="1"/>
    </xf>
    <xf numFmtId="3" fontId="6" fillId="3" borderId="40" xfId="0" applyNumberFormat="1" applyFont="1" applyFill="1" applyBorder="1" applyAlignment="1">
      <alignment horizontal="left" vertical="top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 wrapText="1"/>
    </xf>
    <xf numFmtId="3" fontId="4" fillId="8" borderId="10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left" vertical="top" wrapText="1"/>
    </xf>
    <xf numFmtId="3" fontId="4" fillId="0" borderId="61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3" fontId="3" fillId="2" borderId="9" xfId="0" applyNumberFormat="1" applyFont="1" applyFill="1" applyBorder="1" applyAlignment="1">
      <alignment horizontal="right" vertical="top"/>
    </xf>
    <xf numFmtId="3" fontId="4" fillId="2" borderId="8" xfId="0" applyNumberFormat="1" applyFont="1" applyFill="1" applyBorder="1" applyAlignment="1">
      <alignment horizontal="center" vertical="top"/>
    </xf>
    <xf numFmtId="3" fontId="4" fillId="2" borderId="9" xfId="0" applyNumberFormat="1" applyFont="1" applyFill="1" applyBorder="1" applyAlignment="1">
      <alignment horizontal="center" vertical="top"/>
    </xf>
    <xf numFmtId="3" fontId="4" fillId="2" borderId="10" xfId="0" applyNumberFormat="1" applyFont="1" applyFill="1" applyBorder="1" applyAlignment="1">
      <alignment horizontal="center" vertical="top"/>
    </xf>
    <xf numFmtId="3" fontId="4" fillId="7" borderId="8" xfId="0" applyNumberFormat="1" applyFont="1" applyFill="1" applyBorder="1" applyAlignment="1">
      <alignment horizontal="center" vertical="top"/>
    </xf>
    <xf numFmtId="3" fontId="4" fillId="7" borderId="9" xfId="0" applyNumberFormat="1" applyFont="1" applyFill="1" applyBorder="1" applyAlignment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wrapText="1"/>
    </xf>
    <xf numFmtId="3" fontId="1" fillId="3" borderId="34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center" vertical="top"/>
    </xf>
    <xf numFmtId="3" fontId="4" fillId="0" borderId="42" xfId="0" applyNumberFormat="1" applyFont="1" applyBorder="1" applyAlignment="1">
      <alignment horizontal="left" vertical="top" wrapText="1"/>
    </xf>
    <xf numFmtId="3" fontId="4" fillId="0" borderId="43" xfId="0" applyNumberFormat="1" applyFont="1" applyBorder="1" applyAlignment="1">
      <alignment horizontal="left" vertical="top" wrapText="1"/>
    </xf>
    <xf numFmtId="3" fontId="4" fillId="0" borderId="63" xfId="0" applyNumberFormat="1" applyFont="1" applyBorder="1" applyAlignment="1">
      <alignment horizontal="left" vertical="top" wrapText="1"/>
    </xf>
    <xf numFmtId="3" fontId="3" fillId="5" borderId="32" xfId="0" applyNumberFormat="1" applyFont="1" applyFill="1" applyBorder="1" applyAlignment="1">
      <alignment horizontal="right" vertical="top" wrapText="1"/>
    </xf>
    <xf numFmtId="3" fontId="3" fillId="5" borderId="33" xfId="0" applyNumberFormat="1" applyFont="1" applyFill="1" applyBorder="1" applyAlignment="1">
      <alignment horizontal="right" vertical="top" wrapText="1"/>
    </xf>
    <xf numFmtId="3" fontId="3" fillId="5" borderId="62" xfId="0" applyNumberFormat="1" applyFont="1" applyFill="1" applyBorder="1" applyAlignment="1">
      <alignment horizontal="right" vertical="top" wrapText="1"/>
    </xf>
    <xf numFmtId="3" fontId="4" fillId="3" borderId="38" xfId="0" applyNumberFormat="1" applyFont="1" applyFill="1" applyBorder="1" applyAlignment="1">
      <alignment horizontal="left" vertical="top" wrapText="1"/>
    </xf>
    <xf numFmtId="3" fontId="4" fillId="3" borderId="13" xfId="0" applyNumberFormat="1" applyFont="1" applyFill="1" applyBorder="1" applyAlignment="1">
      <alignment horizontal="left" vertical="top" wrapText="1"/>
    </xf>
    <xf numFmtId="3" fontId="4" fillId="3" borderId="14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left" vertical="top" wrapText="1"/>
    </xf>
    <xf numFmtId="3" fontId="4" fillId="0" borderId="18" xfId="0" applyNumberFormat="1" applyFont="1" applyBorder="1" applyAlignment="1">
      <alignment horizontal="left" vertical="top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3" fillId="8" borderId="35" xfId="0" applyNumberFormat="1" applyFont="1" applyFill="1" applyBorder="1" applyAlignment="1">
      <alignment horizontal="right" vertical="top" wrapText="1"/>
    </xf>
    <xf numFmtId="3" fontId="3" fillId="8" borderId="4" xfId="0" applyNumberFormat="1" applyFont="1" applyFill="1" applyBorder="1" applyAlignment="1">
      <alignment horizontal="right" vertical="top" wrapText="1"/>
    </xf>
    <xf numFmtId="3" fontId="3" fillId="8" borderId="5" xfId="0" applyNumberFormat="1" applyFont="1" applyFill="1" applyBorder="1" applyAlignment="1">
      <alignment horizontal="right" vertical="top" wrapText="1"/>
    </xf>
    <xf numFmtId="3" fontId="4" fillId="0" borderId="51" xfId="0" applyNumberFormat="1" applyFont="1" applyBorder="1" applyAlignment="1">
      <alignment horizontal="left" vertical="top" wrapText="1"/>
    </xf>
    <xf numFmtId="3" fontId="4" fillId="0" borderId="49" xfId="0" applyNumberFormat="1" applyFont="1" applyBorder="1" applyAlignment="1">
      <alignment horizontal="left" vertical="top" wrapText="1"/>
    </xf>
    <xf numFmtId="3" fontId="4" fillId="0" borderId="65" xfId="0" applyNumberFormat="1" applyFont="1" applyBorder="1" applyAlignment="1">
      <alignment horizontal="left" vertical="top" wrapText="1"/>
    </xf>
    <xf numFmtId="3" fontId="4" fillId="5" borderId="42" xfId="0" applyNumberFormat="1" applyFont="1" applyFill="1" applyBorder="1" applyAlignment="1">
      <alignment horizontal="left" vertical="top" wrapText="1"/>
    </xf>
    <xf numFmtId="3" fontId="4" fillId="5" borderId="43" xfId="0" applyNumberFormat="1" applyFont="1" applyFill="1" applyBorder="1" applyAlignment="1">
      <alignment horizontal="left" vertical="top" wrapText="1"/>
    </xf>
    <xf numFmtId="3" fontId="4" fillId="5" borderId="63" xfId="0" applyNumberFormat="1" applyFont="1" applyFill="1" applyBorder="1" applyAlignment="1">
      <alignment horizontal="left" vertical="top" wrapText="1"/>
    </xf>
    <xf numFmtId="3" fontId="3" fillId="8" borderId="32" xfId="0" applyNumberFormat="1" applyFont="1" applyFill="1" applyBorder="1" applyAlignment="1">
      <alignment horizontal="right" vertical="top" wrapText="1"/>
    </xf>
    <xf numFmtId="3" fontId="3" fillId="8" borderId="33" xfId="0" applyNumberFormat="1" applyFont="1" applyFill="1" applyBorder="1" applyAlignment="1">
      <alignment horizontal="right" vertical="top" wrapText="1"/>
    </xf>
    <xf numFmtId="3" fontId="3" fillId="8" borderId="62" xfId="0" applyNumberFormat="1" applyFont="1" applyFill="1" applyBorder="1" applyAlignment="1">
      <alignment horizontal="right" vertical="top" wrapText="1"/>
    </xf>
    <xf numFmtId="3" fontId="3" fillId="5" borderId="29" xfId="0" applyNumberFormat="1" applyFont="1" applyFill="1" applyBorder="1" applyAlignment="1">
      <alignment horizontal="right" vertical="top" wrapText="1"/>
    </xf>
    <xf numFmtId="3" fontId="3" fillId="5" borderId="18" xfId="0" applyNumberFormat="1" applyFont="1" applyFill="1" applyBorder="1" applyAlignment="1">
      <alignment horizontal="right" vertical="top" wrapText="1"/>
    </xf>
    <xf numFmtId="3" fontId="4" fillId="0" borderId="41" xfId="0" applyNumberFormat="1" applyFont="1" applyFill="1" applyBorder="1" applyAlignment="1">
      <alignment horizontal="left" vertical="top" wrapText="1"/>
    </xf>
    <xf numFmtId="3" fontId="4" fillId="0" borderId="48" xfId="0" applyNumberFormat="1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3" fontId="1" fillId="3" borderId="47" xfId="0" applyNumberFormat="1" applyFont="1" applyFill="1" applyBorder="1" applyAlignment="1">
      <alignment horizontal="left" vertical="top" wrapText="1"/>
    </xf>
    <xf numFmtId="3" fontId="3" fillId="4" borderId="40" xfId="0" applyNumberFormat="1" applyFont="1" applyFill="1" applyBorder="1" applyAlignment="1">
      <alignment horizontal="left" vertical="top" wrapText="1"/>
    </xf>
    <xf numFmtId="3" fontId="1" fillId="3" borderId="25" xfId="0" applyNumberFormat="1" applyFont="1" applyFill="1" applyBorder="1" applyAlignment="1">
      <alignment horizontal="left" vertical="top" wrapText="1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3" fontId="3" fillId="2" borderId="62" xfId="0" applyNumberFormat="1" applyFont="1" applyFill="1" applyBorder="1" applyAlignment="1">
      <alignment horizontal="right" vertical="top"/>
    </xf>
    <xf numFmtId="3" fontId="4" fillId="3" borderId="44" xfId="0" applyNumberFormat="1" applyFont="1" applyFill="1" applyBorder="1" applyAlignment="1">
      <alignment horizontal="center" vertical="top" wrapText="1"/>
    </xf>
    <xf numFmtId="3" fontId="4" fillId="3" borderId="52" xfId="0" applyNumberFormat="1" applyFont="1" applyFill="1" applyBorder="1" applyAlignment="1">
      <alignment horizontal="center" vertical="top" wrapText="1"/>
    </xf>
    <xf numFmtId="3" fontId="4" fillId="3" borderId="35" xfId="0" applyNumberFormat="1" applyFont="1" applyFill="1" applyBorder="1" applyAlignment="1">
      <alignment horizontal="left" vertical="top" wrapText="1"/>
    </xf>
    <xf numFmtId="3" fontId="4" fillId="3" borderId="58" xfId="0" applyNumberFormat="1" applyFont="1" applyFill="1" applyBorder="1" applyAlignment="1">
      <alignment horizontal="left" vertical="top" wrapText="1"/>
    </xf>
    <xf numFmtId="165" fontId="1" fillId="3" borderId="39" xfId="0" applyNumberFormat="1" applyFont="1" applyFill="1" applyBorder="1" applyAlignment="1">
      <alignment horizontal="left" vertical="top" wrapText="1"/>
    </xf>
    <xf numFmtId="165" fontId="1" fillId="3" borderId="47" xfId="0" applyNumberFormat="1" applyFont="1" applyFill="1" applyBorder="1" applyAlignment="1">
      <alignment horizontal="left" vertical="top" wrapText="1"/>
    </xf>
    <xf numFmtId="3" fontId="4" fillId="3" borderId="64" xfId="0" applyNumberFormat="1" applyFont="1" applyFill="1" applyBorder="1" applyAlignment="1">
      <alignment horizontal="center" vertical="top" wrapText="1"/>
    </xf>
    <xf numFmtId="3" fontId="4" fillId="3" borderId="71" xfId="0" applyNumberFormat="1" applyFont="1" applyFill="1" applyBorder="1" applyAlignment="1">
      <alignment horizontal="center" vertical="top" wrapText="1"/>
    </xf>
    <xf numFmtId="3" fontId="4" fillId="3" borderId="43" xfId="0" applyNumberFormat="1" applyFont="1" applyFill="1" applyBorder="1" applyAlignment="1">
      <alignment horizontal="center" vertical="top" wrapText="1"/>
    </xf>
    <xf numFmtId="3" fontId="4" fillId="3" borderId="49" xfId="0" applyNumberFormat="1" applyFont="1" applyFill="1" applyBorder="1" applyAlignment="1">
      <alignment horizontal="center" vertical="top" wrapText="1"/>
    </xf>
    <xf numFmtId="3" fontId="4" fillId="0" borderId="39" xfId="0" applyNumberFormat="1" applyFont="1" applyFill="1" applyBorder="1" applyAlignment="1">
      <alignment horizontal="left" vertical="top" wrapText="1"/>
    </xf>
    <xf numFmtId="3" fontId="4" fillId="0" borderId="47" xfId="0" applyNumberFormat="1" applyFont="1" applyFill="1" applyBorder="1" applyAlignment="1">
      <alignment horizontal="left" vertical="top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center" vertical="top" wrapText="1"/>
    </xf>
    <xf numFmtId="3" fontId="3" fillId="2" borderId="76" xfId="0" applyNumberFormat="1" applyFont="1" applyFill="1" applyBorder="1" applyAlignment="1">
      <alignment horizontal="right" vertical="top"/>
    </xf>
    <xf numFmtId="3" fontId="4" fillId="2" borderId="22" xfId="0" applyNumberFormat="1" applyFont="1" applyFill="1" applyBorder="1" applyAlignment="1">
      <alignment horizontal="right" vertical="top"/>
    </xf>
    <xf numFmtId="3" fontId="4" fillId="2" borderId="62" xfId="0" applyNumberFormat="1" applyFont="1" applyFill="1" applyBorder="1" applyAlignment="1">
      <alignment horizontal="right" vertical="top"/>
    </xf>
    <xf numFmtId="3" fontId="3" fillId="2" borderId="34" xfId="0" applyNumberFormat="1" applyFont="1" applyFill="1" applyBorder="1" applyAlignment="1">
      <alignment horizontal="left" vertical="top"/>
    </xf>
    <xf numFmtId="3" fontId="4" fillId="0" borderId="7" xfId="0" applyNumberFormat="1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0" fontId="4" fillId="3" borderId="75" xfId="0" applyFont="1" applyFill="1" applyBorder="1" applyAlignment="1">
      <alignment horizontal="center" vertical="top" wrapText="1"/>
    </xf>
    <xf numFmtId="0" fontId="4" fillId="3" borderId="76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60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3" fontId="1" fillId="3" borderId="53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vertical="top" wrapText="1"/>
    </xf>
    <xf numFmtId="3" fontId="2" fillId="0" borderId="25" xfId="0" applyNumberFormat="1" applyFont="1" applyFill="1" applyBorder="1" applyAlignment="1">
      <alignment vertical="top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164" fontId="1" fillId="0" borderId="60" xfId="0" applyNumberFormat="1" applyFont="1" applyBorder="1" applyAlignment="1">
      <alignment horizontal="center" vertical="center" textRotation="90" wrapText="1"/>
    </xf>
    <xf numFmtId="164" fontId="1" fillId="0" borderId="53" xfId="0" applyNumberFormat="1" applyFont="1" applyBorder="1" applyAlignment="1">
      <alignment horizontal="center" vertical="center" textRotation="90" wrapText="1"/>
    </xf>
    <xf numFmtId="164" fontId="1" fillId="0" borderId="59" xfId="0" applyNumberFormat="1" applyFont="1" applyBorder="1" applyAlignment="1">
      <alignment horizontal="center" vertical="center" textRotation="90" wrapText="1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center" vertical="center" textRotation="90" wrapText="1"/>
    </xf>
    <xf numFmtId="3" fontId="4" fillId="0" borderId="20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12" xfId="0" applyNumberFormat="1" applyFont="1" applyBorder="1" applyAlignment="1">
      <alignment horizontal="center" vertical="center" textRotation="90" wrapText="1"/>
    </xf>
    <xf numFmtId="3" fontId="4" fillId="0" borderId="21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textRotation="90" wrapText="1"/>
    </xf>
    <xf numFmtId="3" fontId="4" fillId="0" borderId="13" xfId="0" applyNumberFormat="1" applyFont="1" applyBorder="1" applyAlignment="1">
      <alignment horizontal="center" vertical="center" textRotation="90" wrapText="1"/>
    </xf>
    <xf numFmtId="3" fontId="4" fillId="0" borderId="22" xfId="0" applyNumberFormat="1" applyFont="1" applyBorder="1" applyAlignment="1">
      <alignment horizontal="center" vertical="center" textRotation="90" wrapText="1"/>
    </xf>
    <xf numFmtId="3" fontId="4" fillId="0" borderId="75" xfId="0" applyNumberFormat="1" applyFont="1" applyBorder="1" applyAlignment="1">
      <alignment horizontal="center" vertical="center" textRotation="90" wrapText="1"/>
    </xf>
    <xf numFmtId="3" fontId="4" fillId="0" borderId="68" xfId="0" applyNumberFormat="1" applyFont="1" applyBorder="1" applyAlignment="1">
      <alignment horizontal="center" vertical="center" textRotation="90" wrapText="1"/>
    </xf>
    <xf numFmtId="3" fontId="4" fillId="0" borderId="76" xfId="0" applyNumberFormat="1" applyFont="1" applyBorder="1" applyAlignment="1">
      <alignment horizontal="center" vertical="center" textRotation="90" wrapText="1"/>
    </xf>
    <xf numFmtId="3" fontId="3" fillId="6" borderId="26" xfId="0" applyNumberFormat="1" applyFont="1" applyFill="1" applyBorder="1" applyAlignment="1">
      <alignment horizontal="left" vertical="top" wrapText="1"/>
    </xf>
    <xf numFmtId="3" fontId="3" fillId="6" borderId="27" xfId="0" applyNumberFormat="1" applyFont="1" applyFill="1" applyBorder="1" applyAlignment="1">
      <alignment horizontal="left" vertical="top" wrapText="1"/>
    </xf>
    <xf numFmtId="3" fontId="3" fillId="6" borderId="28" xfId="0" applyNumberFormat="1" applyFont="1" applyFill="1" applyBorder="1" applyAlignment="1">
      <alignment horizontal="left" vertical="top" wrapText="1"/>
    </xf>
    <xf numFmtId="3" fontId="5" fillId="8" borderId="41" xfId="0" applyNumberFormat="1" applyFont="1" applyFill="1" applyBorder="1" applyAlignment="1">
      <alignment horizontal="left" vertical="top" wrapText="1"/>
    </xf>
    <xf numFmtId="3" fontId="5" fillId="8" borderId="30" xfId="0" applyNumberFormat="1" applyFont="1" applyFill="1" applyBorder="1" applyAlignment="1">
      <alignment horizontal="left" vertical="top" wrapText="1"/>
    </xf>
    <xf numFmtId="3" fontId="5" fillId="8" borderId="31" xfId="0" applyNumberFormat="1" applyFont="1" applyFill="1" applyBorder="1" applyAlignment="1">
      <alignment horizontal="left" vertical="top" wrapText="1"/>
    </xf>
    <xf numFmtId="3" fontId="3" fillId="7" borderId="18" xfId="0" applyNumberFormat="1" applyFont="1" applyFill="1" applyBorder="1" applyAlignment="1">
      <alignment horizontal="left" vertical="top"/>
    </xf>
    <xf numFmtId="3" fontId="3" fillId="7" borderId="19" xfId="0" applyNumberFormat="1" applyFont="1" applyFill="1" applyBorder="1" applyAlignment="1">
      <alignment horizontal="left" vertical="top"/>
    </xf>
    <xf numFmtId="3" fontId="3" fillId="9" borderId="67" xfId="0" applyNumberFormat="1" applyFont="1" applyFill="1" applyBorder="1" applyAlignment="1">
      <alignment horizontal="left" vertical="top" wrapText="1"/>
    </xf>
    <xf numFmtId="3" fontId="3" fillId="9" borderId="55" xfId="0" applyNumberFormat="1" applyFont="1" applyFill="1" applyBorder="1" applyAlignment="1">
      <alignment horizontal="left" vertical="top" wrapText="1"/>
    </xf>
    <xf numFmtId="3" fontId="3" fillId="9" borderId="56" xfId="0" applyNumberFormat="1" applyFont="1" applyFill="1" applyBorder="1" applyAlignment="1">
      <alignment horizontal="left" vertical="top" wrapText="1"/>
    </xf>
    <xf numFmtId="3" fontId="4" fillId="0" borderId="39" xfId="0" applyNumberFormat="1" applyFont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left" vertical="top" wrapText="1"/>
    </xf>
    <xf numFmtId="3" fontId="4" fillId="3" borderId="7" xfId="0" applyNumberFormat="1" applyFont="1" applyFill="1" applyBorder="1" applyAlignment="1">
      <alignment horizontal="left" vertical="top" wrapText="1"/>
    </xf>
    <xf numFmtId="3" fontId="27" fillId="3" borderId="14" xfId="0" applyNumberFormat="1" applyFont="1" applyFill="1" applyBorder="1" applyAlignment="1">
      <alignment horizontal="center" vertical="top" wrapText="1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38" xfId="0" applyNumberFormat="1" applyFont="1" applyFill="1" applyBorder="1" applyAlignment="1">
      <alignment horizontal="left" vertical="top" wrapText="1"/>
    </xf>
    <xf numFmtId="3" fontId="1" fillId="3" borderId="51" xfId="0" applyNumberFormat="1" applyFont="1" applyFill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2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14" xfId="0" applyNumberFormat="1" applyFont="1" applyBorder="1" applyAlignment="1">
      <alignment horizontal="center" vertical="center" textRotation="90" wrapText="1"/>
    </xf>
    <xf numFmtId="3" fontId="4" fillId="0" borderId="23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25" xfId="0" applyNumberFormat="1" applyFont="1" applyBorder="1" applyAlignment="1">
      <alignment horizontal="center" vertical="center" textRotation="90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3" fillId="5" borderId="67" xfId="0" applyNumberFormat="1" applyFont="1" applyFill="1" applyBorder="1" applyAlignment="1">
      <alignment horizontal="right" vertical="top" wrapText="1"/>
    </xf>
    <xf numFmtId="3" fontId="3" fillId="5" borderId="1" xfId="0" applyNumberFormat="1" applyFont="1" applyFill="1" applyBorder="1" applyAlignment="1">
      <alignment horizontal="right" vertical="top" wrapText="1"/>
    </xf>
    <xf numFmtId="3" fontId="4" fillId="3" borderId="36" xfId="0" applyNumberFormat="1" applyFont="1" applyFill="1" applyBorder="1" applyAlignment="1">
      <alignment horizontal="left" vertical="top" wrapText="1"/>
    </xf>
    <xf numFmtId="3" fontId="4" fillId="3" borderId="61" xfId="0" applyNumberFormat="1" applyFont="1" applyFill="1" applyBorder="1" applyAlignment="1">
      <alignment horizontal="left" vertical="top" wrapText="1"/>
    </xf>
    <xf numFmtId="3" fontId="3" fillId="7" borderId="58" xfId="0" applyNumberFormat="1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3" fontId="3" fillId="2" borderId="22" xfId="0" applyNumberFormat="1" applyFont="1" applyFill="1" applyBorder="1" applyAlignment="1">
      <alignment horizontal="center" vertical="top"/>
    </xf>
    <xf numFmtId="3" fontId="3" fillId="7" borderId="35" xfId="0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center" textRotation="90" wrapText="1"/>
    </xf>
    <xf numFmtId="0" fontId="1" fillId="3" borderId="4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3" fontId="3" fillId="3" borderId="48" xfId="0" applyNumberFormat="1" applyFont="1" applyFill="1" applyBorder="1" applyAlignment="1">
      <alignment horizontal="left" vertical="top" wrapText="1"/>
    </xf>
    <xf numFmtId="3" fontId="1" fillId="0" borderId="36" xfId="0" applyNumberFormat="1" applyFont="1" applyFill="1" applyBorder="1" applyAlignment="1">
      <alignment horizontal="left" vertical="top" wrapText="1"/>
    </xf>
    <xf numFmtId="3" fontId="1" fillId="0" borderId="61" xfId="0" applyNumberFormat="1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0" fontId="1" fillId="3" borderId="64" xfId="0" applyFont="1" applyFill="1" applyBorder="1" applyAlignment="1">
      <alignment horizontal="center" vertical="top" wrapText="1"/>
    </xf>
    <xf numFmtId="0" fontId="1" fillId="3" borderId="68" xfId="0" applyFont="1" applyFill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4" fillId="0" borderId="38" xfId="0" applyNumberFormat="1" applyFont="1" applyFill="1" applyBorder="1" applyAlignment="1">
      <alignment horizontal="left" vertical="top" wrapText="1"/>
    </xf>
    <xf numFmtId="3" fontId="4" fillId="0" borderId="58" xfId="0" applyNumberFormat="1" applyFont="1" applyFill="1" applyBorder="1" applyAlignment="1">
      <alignment horizontal="left" vertical="top" wrapText="1"/>
    </xf>
    <xf numFmtId="3" fontId="4" fillId="3" borderId="25" xfId="0" applyNumberFormat="1" applyFont="1" applyFill="1" applyBorder="1" applyAlignment="1">
      <alignment horizontal="left" vertical="top" wrapText="1"/>
    </xf>
    <xf numFmtId="3" fontId="1" fillId="3" borderId="58" xfId="0" applyNumberFormat="1" applyFont="1" applyFill="1" applyBorder="1" applyAlignment="1">
      <alignment horizontal="left" vertical="top" wrapText="1"/>
    </xf>
    <xf numFmtId="3" fontId="15" fillId="3" borderId="42" xfId="0" applyNumberFormat="1" applyFont="1" applyFill="1" applyBorder="1" applyAlignment="1">
      <alignment horizontal="left" vertical="top" wrapText="1"/>
    </xf>
    <xf numFmtId="3" fontId="15" fillId="3" borderId="51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3" fontId="3" fillId="3" borderId="42" xfId="0" applyNumberFormat="1" applyFont="1" applyFill="1" applyBorder="1" applyAlignment="1">
      <alignment horizontal="left" vertical="top" wrapText="1"/>
    </xf>
    <xf numFmtId="3" fontId="3" fillId="3" borderId="51" xfId="0" applyNumberFormat="1" applyFont="1" applyFill="1" applyBorder="1" applyAlignment="1">
      <alignment horizontal="left" vertical="top" wrapText="1"/>
    </xf>
    <xf numFmtId="3" fontId="1" fillId="3" borderId="42" xfId="0" applyNumberFormat="1" applyFont="1" applyFill="1" applyBorder="1" applyAlignment="1">
      <alignment horizontal="center" vertical="top" wrapText="1"/>
    </xf>
    <xf numFmtId="3" fontId="1" fillId="3" borderId="51" xfId="0" applyNumberFormat="1" applyFont="1" applyFill="1" applyBorder="1" applyAlignment="1">
      <alignment horizontal="center" vertical="top" wrapText="1"/>
    </xf>
    <xf numFmtId="3" fontId="1" fillId="3" borderId="49" xfId="0" applyNumberFormat="1" applyFont="1" applyFill="1" applyBorder="1" applyAlignment="1">
      <alignment horizontal="center" vertical="top" wrapText="1"/>
    </xf>
    <xf numFmtId="3" fontId="4" fillId="3" borderId="42" xfId="0" applyNumberFormat="1" applyFont="1" applyFill="1" applyBorder="1" applyAlignment="1">
      <alignment horizontal="center" vertical="top" wrapText="1"/>
    </xf>
    <xf numFmtId="3" fontId="4" fillId="3" borderId="38" xfId="0" applyNumberFormat="1" applyFont="1" applyFill="1" applyBorder="1" applyAlignment="1">
      <alignment horizontal="center" vertical="top" wrapText="1"/>
    </xf>
    <xf numFmtId="3" fontId="4" fillId="3" borderId="51" xfId="0" applyNumberFormat="1" applyFont="1" applyFill="1" applyBorder="1" applyAlignment="1">
      <alignment horizontal="center" vertical="top" wrapText="1"/>
    </xf>
    <xf numFmtId="3" fontId="4" fillId="3" borderId="13" xfId="0" applyNumberFormat="1" applyFont="1" applyFill="1" applyBorder="1" applyAlignment="1">
      <alignment horizontal="center" vertical="top" wrapText="1"/>
    </xf>
    <xf numFmtId="3" fontId="4" fillId="3" borderId="53" xfId="0" applyNumberFormat="1" applyFont="1" applyFill="1" applyBorder="1" applyAlignment="1">
      <alignment horizontal="center" vertical="top" wrapText="1"/>
    </xf>
    <xf numFmtId="3" fontId="6" fillId="3" borderId="35" xfId="0" applyNumberFormat="1" applyFont="1" applyFill="1" applyBorder="1" applyAlignment="1">
      <alignment horizontal="left" vertical="top" wrapText="1"/>
    </xf>
    <xf numFmtId="3" fontId="6" fillId="3" borderId="51" xfId="0" applyNumberFormat="1" applyFont="1" applyFill="1" applyBorder="1" applyAlignment="1">
      <alignment horizontal="left" vertical="top" wrapText="1"/>
    </xf>
    <xf numFmtId="3" fontId="6" fillId="2" borderId="4" xfId="0" applyNumberFormat="1" applyFont="1" applyFill="1" applyBorder="1" applyAlignment="1">
      <alignment horizontal="center" vertical="top"/>
    </xf>
    <xf numFmtId="3" fontId="6" fillId="2" borderId="13" xfId="0" applyNumberFormat="1" applyFont="1" applyFill="1" applyBorder="1" applyAlignment="1">
      <alignment horizontal="center" vertical="top"/>
    </xf>
    <xf numFmtId="3" fontId="1" fillId="0" borderId="42" xfId="0" applyNumberFormat="1" applyFont="1" applyFill="1" applyBorder="1" applyAlignment="1">
      <alignment horizontal="left" vertical="top" wrapText="1"/>
    </xf>
    <xf numFmtId="3" fontId="1" fillId="0" borderId="51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4" fillId="0" borderId="41" xfId="0" applyNumberFormat="1" applyFont="1" applyBorder="1" applyAlignment="1">
      <alignment horizontal="left" vertical="top" wrapText="1"/>
    </xf>
    <xf numFmtId="3" fontId="4" fillId="0" borderId="48" xfId="0" applyNumberFormat="1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textRotation="90" wrapText="1"/>
    </xf>
    <xf numFmtId="3" fontId="4" fillId="4" borderId="41" xfId="0" applyNumberFormat="1" applyFont="1" applyFill="1" applyBorder="1" applyAlignment="1">
      <alignment horizontal="left" vertical="top" wrapText="1"/>
    </xf>
    <xf numFmtId="3" fontId="4" fillId="4" borderId="40" xfId="0" applyNumberFormat="1" applyFont="1" applyFill="1" applyBorder="1" applyAlignment="1">
      <alignment horizontal="left" vertical="top" wrapText="1"/>
    </xf>
    <xf numFmtId="3" fontId="27" fillId="3" borderId="13" xfId="0" applyNumberFormat="1" applyFont="1" applyFill="1" applyBorder="1" applyAlignment="1">
      <alignment horizontal="center" vertical="top" wrapText="1"/>
    </xf>
    <xf numFmtId="3" fontId="1" fillId="3" borderId="39" xfId="0" applyNumberFormat="1" applyFont="1" applyFill="1" applyBorder="1" applyAlignment="1">
      <alignment horizontal="center" vertical="top" wrapText="1"/>
    </xf>
    <xf numFmtId="3" fontId="1" fillId="3" borderId="16" xfId="0" applyNumberFormat="1" applyFont="1" applyFill="1" applyBorder="1" applyAlignment="1">
      <alignment horizontal="center" vertical="top" wrapText="1"/>
    </xf>
    <xf numFmtId="3" fontId="1" fillId="3" borderId="47" xfId="0" applyNumberFormat="1" applyFont="1" applyFill="1" applyBorder="1" applyAlignment="1">
      <alignment horizontal="center" vertical="top" wrapText="1"/>
    </xf>
    <xf numFmtId="3" fontId="1" fillId="3" borderId="44" xfId="0" applyNumberFormat="1" applyFont="1" applyFill="1" applyBorder="1" applyAlignment="1">
      <alignment horizontal="center" vertical="top" wrapText="1"/>
    </xf>
    <xf numFmtId="3" fontId="1" fillId="3" borderId="52" xfId="0" applyNumberFormat="1" applyFont="1" applyFill="1" applyBorder="1" applyAlignment="1">
      <alignment horizontal="center" vertical="top" wrapText="1"/>
    </xf>
    <xf numFmtId="3" fontId="3" fillId="5" borderId="55" xfId="0" applyNumberFormat="1" applyFont="1" applyFill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25" xfId="0" applyNumberFormat="1" applyFont="1" applyBorder="1" applyAlignment="1">
      <alignment horizontal="center" vertical="top" wrapText="1"/>
    </xf>
    <xf numFmtId="3" fontId="4" fillId="0" borderId="36" xfId="0" applyNumberFormat="1" applyFont="1" applyFill="1" applyBorder="1" applyAlignment="1">
      <alignment vertical="top" wrapText="1"/>
    </xf>
    <xf numFmtId="3" fontId="2" fillId="0" borderId="61" xfId="0" applyNumberFormat="1" applyFont="1" applyFill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4" fillId="0" borderId="36" xfId="0" applyNumberFormat="1" applyFont="1" applyFill="1" applyBorder="1" applyAlignment="1">
      <alignment horizontal="left" vertical="top" wrapText="1"/>
    </xf>
    <xf numFmtId="49" fontId="4" fillId="0" borderId="60" xfId="0" applyNumberFormat="1" applyFont="1" applyBorder="1" applyAlignment="1">
      <alignment horizontal="center" vertical="top"/>
    </xf>
    <xf numFmtId="49" fontId="4" fillId="0" borderId="59" xfId="0" applyNumberFormat="1" applyFont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35" xfId="0" applyFont="1" applyFill="1" applyBorder="1" applyAlignment="1">
      <alignment horizontal="center" vertical="top" wrapText="1"/>
    </xf>
    <xf numFmtId="0" fontId="4" fillId="3" borderId="58" xfId="0" applyFont="1" applyFill="1" applyBorder="1" applyAlignment="1">
      <alignment horizontal="center" vertical="top" wrapText="1"/>
    </xf>
    <xf numFmtId="165" fontId="1" fillId="3" borderId="41" xfId="0" applyNumberFormat="1" applyFont="1" applyFill="1" applyBorder="1" applyAlignment="1">
      <alignment horizontal="left" vertical="top" wrapText="1"/>
    </xf>
    <xf numFmtId="165" fontId="1" fillId="3" borderId="48" xfId="0" applyNumberFormat="1" applyFont="1" applyFill="1" applyBorder="1" applyAlignment="1">
      <alignment horizontal="left" vertical="top" wrapText="1"/>
    </xf>
    <xf numFmtId="165" fontId="1" fillId="3" borderId="30" xfId="0" applyNumberFormat="1" applyFont="1" applyFill="1" applyBorder="1" applyAlignment="1">
      <alignment horizontal="left" vertical="top" wrapText="1"/>
    </xf>
    <xf numFmtId="165" fontId="1" fillId="3" borderId="50" xfId="0" applyNumberFormat="1" applyFont="1" applyFill="1" applyBorder="1" applyAlignment="1">
      <alignment horizontal="left" vertical="top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4" fillId="3" borderId="39" xfId="0" applyNumberFormat="1" applyFont="1" applyFill="1" applyBorder="1" applyAlignment="1">
      <alignment horizontal="center" vertical="top" wrapText="1"/>
    </xf>
    <xf numFmtId="3" fontId="4" fillId="3" borderId="47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center" textRotation="90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50" xfId="0" applyFont="1" applyFill="1" applyBorder="1" applyAlignment="1">
      <alignment horizontal="left"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4" fillId="3" borderId="16" xfId="0" applyNumberFormat="1" applyFont="1" applyFill="1" applyBorder="1" applyAlignment="1">
      <alignment horizontal="center" vertical="top" wrapText="1"/>
    </xf>
    <xf numFmtId="3" fontId="6" fillId="5" borderId="56" xfId="0" applyNumberFormat="1" applyFont="1" applyFill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0" fontId="1" fillId="3" borderId="42" xfId="0" applyFont="1" applyFill="1" applyBorder="1" applyAlignment="1">
      <alignment horizontal="center" vertical="top" wrapText="1"/>
    </xf>
    <xf numFmtId="0" fontId="1" fillId="3" borderId="51" xfId="0" applyFont="1" applyFill="1" applyBorder="1" applyAlignment="1">
      <alignment horizontal="center" vertical="top" wrapText="1"/>
    </xf>
    <xf numFmtId="0" fontId="1" fillId="3" borderId="49" xfId="0" applyFont="1" applyFill="1" applyBorder="1" applyAlignment="1">
      <alignment horizontal="center" vertical="top" wrapText="1"/>
    </xf>
    <xf numFmtId="0" fontId="1" fillId="3" borderId="52" xfId="0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3" fontId="6" fillId="3" borderId="43" xfId="0" applyNumberFormat="1" applyFont="1" applyFill="1" applyBorder="1" applyAlignment="1">
      <alignment horizontal="center" vertical="top" wrapText="1"/>
    </xf>
    <xf numFmtId="3" fontId="6" fillId="3" borderId="49" xfId="0" applyNumberFormat="1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left" vertical="top" wrapText="1"/>
    </xf>
    <xf numFmtId="0" fontId="1" fillId="3" borderId="39" xfId="0" applyFont="1" applyFill="1" applyBorder="1" applyAlignment="1">
      <alignment horizontal="center" vertical="top" wrapText="1"/>
    </xf>
    <xf numFmtId="0" fontId="1" fillId="3" borderId="47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4" fillId="3" borderId="47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3" fontId="21" fillId="3" borderId="7" xfId="0" applyNumberFormat="1" applyFont="1" applyFill="1" applyBorder="1" applyAlignment="1">
      <alignment horizontal="center" vertical="top" wrapText="1"/>
    </xf>
    <xf numFmtId="3" fontId="21" fillId="3" borderId="16" xfId="0" applyNumberFormat="1" applyFont="1" applyFill="1" applyBorder="1" applyAlignment="1">
      <alignment horizontal="center" vertical="top" wrapText="1"/>
    </xf>
    <xf numFmtId="0" fontId="4" fillId="3" borderId="34" xfId="0" applyFont="1" applyFill="1" applyBorder="1" applyAlignment="1">
      <alignment horizontal="left" vertical="top" wrapText="1"/>
    </xf>
    <xf numFmtId="3" fontId="4" fillId="0" borderId="34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3" fontId="3" fillId="3" borderId="41" xfId="0" applyNumberFormat="1" applyFont="1" applyFill="1" applyBorder="1" applyAlignment="1">
      <alignment horizontal="left" vertical="top" wrapText="1"/>
    </xf>
    <xf numFmtId="49" fontId="4" fillId="3" borderId="44" xfId="0" applyNumberFormat="1" applyFont="1" applyFill="1" applyBorder="1" applyAlignment="1">
      <alignment horizontal="center" vertical="top"/>
    </xf>
    <xf numFmtId="49" fontId="4" fillId="3" borderId="53" xfId="0" applyNumberFormat="1" applyFont="1" applyFill="1" applyBorder="1" applyAlignment="1">
      <alignment horizontal="center" vertical="top"/>
    </xf>
    <xf numFmtId="49" fontId="4" fillId="3" borderId="52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49" xfId="0" applyNumberFormat="1" applyFont="1" applyFill="1" applyBorder="1" applyAlignment="1">
      <alignment horizontal="center" vertical="top" wrapText="1"/>
    </xf>
    <xf numFmtId="3" fontId="4" fillId="3" borderId="7" xfId="0" applyNumberFormat="1" applyFont="1" applyFill="1" applyBorder="1" applyAlignment="1">
      <alignment horizontal="center" vertical="top"/>
    </xf>
    <xf numFmtId="3" fontId="4" fillId="3" borderId="47" xfId="0" applyNumberFormat="1" applyFont="1" applyFill="1" applyBorder="1" applyAlignment="1">
      <alignment horizontal="center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47" xfId="0" applyNumberFormat="1" applyFont="1" applyFill="1" applyBorder="1" applyAlignment="1">
      <alignment horizontal="center" vertical="top"/>
    </xf>
    <xf numFmtId="164" fontId="4" fillId="3" borderId="60" xfId="0" applyNumberFormat="1" applyFont="1" applyFill="1" applyBorder="1" applyAlignment="1">
      <alignment horizontal="center" vertical="top"/>
    </xf>
    <xf numFmtId="164" fontId="4" fillId="3" borderId="52" xfId="0" applyNumberFormat="1" applyFont="1" applyFill="1" applyBorder="1" applyAlignment="1">
      <alignment horizontal="center" vertical="top"/>
    </xf>
    <xf numFmtId="3" fontId="1" fillId="3" borderId="25" xfId="0" applyNumberFormat="1" applyFont="1" applyFill="1" applyBorder="1" applyAlignment="1">
      <alignment horizontal="center" vertical="top" wrapText="1"/>
    </xf>
    <xf numFmtId="3" fontId="3" fillId="5" borderId="61" xfId="0" applyNumberFormat="1" applyFont="1" applyFill="1" applyBorder="1" applyAlignment="1">
      <alignment horizontal="right" vertical="top" wrapText="1"/>
    </xf>
    <xf numFmtId="49" fontId="1" fillId="3" borderId="44" xfId="0" applyNumberFormat="1" applyFont="1" applyFill="1" applyBorder="1" applyAlignment="1">
      <alignment horizontal="center" vertical="top" wrapText="1"/>
    </xf>
    <xf numFmtId="49" fontId="1" fillId="3" borderId="59" xfId="0" applyNumberFormat="1" applyFont="1" applyFill="1" applyBorder="1" applyAlignment="1">
      <alignment horizontal="center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3" fontId="6" fillId="3" borderId="43" xfId="0" applyNumberFormat="1" applyFont="1" applyFill="1" applyBorder="1" applyAlignment="1">
      <alignment horizontal="center" vertical="top"/>
    </xf>
    <xf numFmtId="3" fontId="6" fillId="3" borderId="13" xfId="0" applyNumberFormat="1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center" vertical="top"/>
    </xf>
  </cellXfs>
  <cellStyles count="2">
    <cellStyle name="Excel Built-in Normal" xfId="1"/>
    <cellStyle name="Įprastas" xfId="0" builtinId="0"/>
  </cellStyles>
  <dxfs count="0"/>
  <tableStyles count="0" defaultTableStyle="TableStyleMedium2" defaultPivotStyle="PivotStyleLight16"/>
  <colors>
    <mruColors>
      <color rgb="FFFFCCFF"/>
      <color rgb="FFCCFFCC"/>
      <color rgb="FFFFFF99"/>
      <color rgb="FFFFFF66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4"/>
  <sheetViews>
    <sheetView tabSelected="1" zoomScaleNormal="100" zoomScaleSheetLayoutView="100" workbookViewId="0">
      <selection activeCell="A5" sqref="A5:M5"/>
    </sheetView>
  </sheetViews>
  <sheetFormatPr defaultColWidth="9.28515625" defaultRowHeight="15" x14ac:dyDescent="0.25"/>
  <cols>
    <col min="1" max="3" width="3.28515625" style="29" customWidth="1"/>
    <col min="4" max="4" width="25.28515625" style="373" customWidth="1"/>
    <col min="5" max="5" width="4" style="367" customWidth="1"/>
    <col min="6" max="7" width="8.5703125" style="373" customWidth="1"/>
    <col min="8" max="8" width="8.28515625" style="373" customWidth="1"/>
    <col min="9" max="9" width="7.7109375" style="367" customWidth="1"/>
    <col min="10" max="10" width="25.28515625" style="373" customWidth="1"/>
    <col min="11" max="12" width="7.42578125" style="373" customWidth="1"/>
    <col min="13" max="13" width="6.7109375" style="74" customWidth="1"/>
    <col min="14" max="16384" width="9.28515625" style="373"/>
  </cols>
  <sheetData>
    <row r="1" spans="1:18" s="45" customFormat="1" ht="33" customHeight="1" x14ac:dyDescent="0.25">
      <c r="A1" s="43"/>
      <c r="B1" s="43"/>
      <c r="C1" s="43"/>
      <c r="D1" s="43"/>
      <c r="E1" s="44"/>
      <c r="F1" s="310"/>
      <c r="G1" s="310"/>
      <c r="H1" s="310"/>
      <c r="I1" s="310"/>
      <c r="J1" s="1599" t="s">
        <v>211</v>
      </c>
      <c r="K1" s="1599"/>
      <c r="L1" s="1599"/>
      <c r="M1" s="1599"/>
    </row>
    <row r="2" spans="1:18" s="45" customFormat="1" ht="18" customHeight="1" x14ac:dyDescent="0.25">
      <c r="A2" s="43"/>
      <c r="B2" s="43"/>
      <c r="C2" s="43"/>
      <c r="D2" s="43"/>
      <c r="E2" s="44"/>
      <c r="F2" s="376"/>
      <c r="G2" s="511"/>
      <c r="H2" s="511"/>
      <c r="I2" s="376"/>
      <c r="J2" s="376" t="s">
        <v>212</v>
      </c>
      <c r="K2" s="511"/>
      <c r="L2" s="511"/>
      <c r="M2" s="376"/>
    </row>
    <row r="3" spans="1:18" s="45" customFormat="1" ht="14.25" customHeight="1" x14ac:dyDescent="0.25">
      <c r="A3" s="43"/>
      <c r="B3" s="43"/>
      <c r="C3" s="43"/>
      <c r="D3" s="43"/>
      <c r="E3" s="44"/>
      <c r="F3" s="1088"/>
      <c r="G3" s="1088"/>
      <c r="H3" s="1088"/>
      <c r="I3" s="1088"/>
      <c r="J3" s="1088"/>
      <c r="K3" s="1088"/>
      <c r="L3" s="1088"/>
      <c r="M3" s="1088"/>
    </row>
    <row r="4" spans="1:18" s="370" customFormat="1" ht="16.5" customHeight="1" x14ac:dyDescent="0.25">
      <c r="A4" s="1516" t="s">
        <v>309</v>
      </c>
      <c r="B4" s="1516"/>
      <c r="C4" s="1516"/>
      <c r="D4" s="1516"/>
      <c r="E4" s="1516"/>
      <c r="F4" s="1516"/>
      <c r="G4" s="1516"/>
      <c r="H4" s="1516"/>
      <c r="I4" s="1516"/>
      <c r="J4" s="1516"/>
      <c r="K4" s="1516"/>
      <c r="L4" s="1516"/>
      <c r="M4" s="1516"/>
    </row>
    <row r="5" spans="1:18" s="28" customFormat="1" ht="16.5" customHeight="1" x14ac:dyDescent="0.25">
      <c r="A5" s="1517" t="s">
        <v>0</v>
      </c>
      <c r="B5" s="1517"/>
      <c r="C5" s="1517"/>
      <c r="D5" s="1517"/>
      <c r="E5" s="1517"/>
      <c r="F5" s="1517"/>
      <c r="G5" s="1517"/>
      <c r="H5" s="1517"/>
      <c r="I5" s="1517"/>
      <c r="J5" s="1517"/>
      <c r="K5" s="1517"/>
      <c r="L5" s="1517"/>
      <c r="M5" s="1517"/>
    </row>
    <row r="6" spans="1:18" s="28" customFormat="1" ht="16.5" customHeight="1" x14ac:dyDescent="0.25">
      <c r="A6" s="1518" t="s">
        <v>1</v>
      </c>
      <c r="B6" s="1518"/>
      <c r="C6" s="1518"/>
      <c r="D6" s="1518"/>
      <c r="E6" s="1518"/>
      <c r="F6" s="1518"/>
      <c r="G6" s="1518"/>
      <c r="H6" s="1518"/>
      <c r="I6" s="1518"/>
      <c r="J6" s="1518"/>
      <c r="K6" s="1518"/>
      <c r="L6" s="1518"/>
      <c r="M6" s="1518"/>
    </row>
    <row r="7" spans="1:18" s="1" customFormat="1" ht="21.75" customHeight="1" thickBot="1" x14ac:dyDescent="0.25">
      <c r="A7" s="1600" t="s">
        <v>2</v>
      </c>
      <c r="B7" s="1600"/>
      <c r="C7" s="1600"/>
      <c r="D7" s="1600"/>
      <c r="E7" s="1600"/>
      <c r="F7" s="1600"/>
      <c r="G7" s="1600"/>
      <c r="H7" s="1600"/>
      <c r="I7" s="1600"/>
      <c r="J7" s="1600"/>
      <c r="K7" s="1600"/>
      <c r="L7" s="1600"/>
      <c r="M7" s="1600"/>
    </row>
    <row r="8" spans="1:18" s="2" customFormat="1" ht="16.899999999999999" customHeight="1" thickBot="1" x14ac:dyDescent="0.3">
      <c r="A8" s="1522" t="s">
        <v>248</v>
      </c>
      <c r="B8" s="1525" t="s">
        <v>3</v>
      </c>
      <c r="C8" s="1552" t="s">
        <v>4</v>
      </c>
      <c r="D8" s="1555" t="s">
        <v>5</v>
      </c>
      <c r="E8" s="1558" t="s">
        <v>249</v>
      </c>
      <c r="F8" s="1561" t="s">
        <v>6</v>
      </c>
      <c r="G8" s="1528" t="s">
        <v>252</v>
      </c>
      <c r="H8" s="1531" t="s">
        <v>301</v>
      </c>
      <c r="I8" s="1519" t="s">
        <v>253</v>
      </c>
      <c r="J8" s="1337" t="s">
        <v>7</v>
      </c>
      <c r="K8" s="1338"/>
      <c r="L8" s="1338"/>
      <c r="M8" s="1339"/>
      <c r="N8" s="880"/>
    </row>
    <row r="9" spans="1:18" s="2" customFormat="1" ht="17.25" customHeight="1" x14ac:dyDescent="0.25">
      <c r="A9" s="1523"/>
      <c r="B9" s="1526"/>
      <c r="C9" s="1553"/>
      <c r="D9" s="1556"/>
      <c r="E9" s="1559"/>
      <c r="F9" s="1562"/>
      <c r="G9" s="1529"/>
      <c r="H9" s="1532"/>
      <c r="I9" s="1520"/>
      <c r="J9" s="1564" t="s">
        <v>5</v>
      </c>
      <c r="K9" s="1566" t="s">
        <v>239</v>
      </c>
      <c r="L9" s="1567"/>
      <c r="M9" s="1568"/>
    </row>
    <row r="10" spans="1:18" s="2" customFormat="1" ht="100.5" customHeight="1" thickBot="1" x14ac:dyDescent="0.3">
      <c r="A10" s="1524"/>
      <c r="B10" s="1527"/>
      <c r="C10" s="1554"/>
      <c r="D10" s="1557"/>
      <c r="E10" s="1560"/>
      <c r="F10" s="1563"/>
      <c r="G10" s="1530"/>
      <c r="H10" s="1533"/>
      <c r="I10" s="1521"/>
      <c r="J10" s="1565"/>
      <c r="K10" s="1095" t="s">
        <v>255</v>
      </c>
      <c r="L10" s="1049" t="s">
        <v>256</v>
      </c>
      <c r="M10" s="525" t="s">
        <v>257</v>
      </c>
    </row>
    <row r="11" spans="1:18" s="1" customFormat="1" ht="28.9" customHeight="1" x14ac:dyDescent="0.25">
      <c r="A11" s="1534" t="s">
        <v>8</v>
      </c>
      <c r="B11" s="1535"/>
      <c r="C11" s="1535"/>
      <c r="D11" s="1535"/>
      <c r="E11" s="1535"/>
      <c r="F11" s="1535"/>
      <c r="G11" s="1535"/>
      <c r="H11" s="1535"/>
      <c r="I11" s="1535"/>
      <c r="J11" s="1535"/>
      <c r="K11" s="1535"/>
      <c r="L11" s="1535"/>
      <c r="M11" s="1536"/>
    </row>
    <row r="12" spans="1:18" s="1" customFormat="1" ht="16.899999999999999" customHeight="1" x14ac:dyDescent="0.25">
      <c r="A12" s="1537" t="s">
        <v>9</v>
      </c>
      <c r="B12" s="1538"/>
      <c r="C12" s="1538"/>
      <c r="D12" s="1538"/>
      <c r="E12" s="1538"/>
      <c r="F12" s="1538"/>
      <c r="G12" s="1538"/>
      <c r="H12" s="1538"/>
      <c r="I12" s="1538"/>
      <c r="J12" s="1538"/>
      <c r="K12" s="1538"/>
      <c r="L12" s="1538"/>
      <c r="M12" s="1539"/>
      <c r="O12" s="2"/>
    </row>
    <row r="13" spans="1:18" s="2" customFormat="1" ht="16.899999999999999" customHeight="1" x14ac:dyDescent="0.25">
      <c r="A13" s="90" t="s">
        <v>10</v>
      </c>
      <c r="B13" s="1540" t="s">
        <v>11</v>
      </c>
      <c r="C13" s="1540"/>
      <c r="D13" s="1540"/>
      <c r="E13" s="1540"/>
      <c r="F13" s="1540"/>
      <c r="G13" s="1540"/>
      <c r="H13" s="1540"/>
      <c r="I13" s="1540"/>
      <c r="J13" s="1540"/>
      <c r="K13" s="1540"/>
      <c r="L13" s="1540"/>
      <c r="M13" s="1541"/>
    </row>
    <row r="14" spans="1:18" s="2" customFormat="1" ht="30.6" customHeight="1" thickBot="1" x14ac:dyDescent="0.3">
      <c r="A14" s="507" t="s">
        <v>10</v>
      </c>
      <c r="B14" s="89" t="s">
        <v>10</v>
      </c>
      <c r="C14" s="1542" t="s">
        <v>12</v>
      </c>
      <c r="D14" s="1543"/>
      <c r="E14" s="1543"/>
      <c r="F14" s="1543"/>
      <c r="G14" s="1543"/>
      <c r="H14" s="1543"/>
      <c r="I14" s="1543"/>
      <c r="J14" s="1543"/>
      <c r="K14" s="1543"/>
      <c r="L14" s="1543"/>
      <c r="M14" s="1544"/>
    </row>
    <row r="15" spans="1:18" s="2" customFormat="1" ht="16.5" customHeight="1" x14ac:dyDescent="0.25">
      <c r="A15" s="505" t="s">
        <v>10</v>
      </c>
      <c r="B15" s="5" t="s">
        <v>10</v>
      </c>
      <c r="C15" s="364" t="s">
        <v>10</v>
      </c>
      <c r="D15" s="1428" t="s">
        <v>13</v>
      </c>
      <c r="E15" s="1107"/>
      <c r="F15" s="1283" t="s">
        <v>16</v>
      </c>
      <c r="G15" s="303">
        <f>466.1+124.8</f>
        <v>590.9</v>
      </c>
      <c r="H15" s="299">
        <v>466.1</v>
      </c>
      <c r="I15" s="1284">
        <v>466.1</v>
      </c>
      <c r="J15" s="1547" t="s">
        <v>17</v>
      </c>
      <c r="K15" s="139">
        <v>1329</v>
      </c>
      <c r="L15" s="235">
        <v>1329</v>
      </c>
      <c r="M15" s="439">
        <v>1329</v>
      </c>
      <c r="P15" s="880"/>
      <c r="Q15" s="880"/>
      <c r="R15" s="880"/>
    </row>
    <row r="16" spans="1:18" s="2" customFormat="1" ht="16.5" customHeight="1" x14ac:dyDescent="0.25">
      <c r="A16" s="1100"/>
      <c r="B16" s="5"/>
      <c r="C16" s="1104"/>
      <c r="D16" s="1428"/>
      <c r="E16" s="1107"/>
      <c r="F16" s="306" t="s">
        <v>206</v>
      </c>
      <c r="G16" s="174">
        <f>1231.9+507+195.7+101.8+60</f>
        <v>2096.4</v>
      </c>
      <c r="H16" s="182">
        <f>1331.9+1155+195.7+101.8+60</f>
        <v>2844.4</v>
      </c>
      <c r="I16" s="405">
        <f>1331.9+1155+195.7+101.8+60</f>
        <v>2844.4</v>
      </c>
      <c r="J16" s="1359"/>
      <c r="K16" s="139"/>
      <c r="L16" s="1186"/>
      <c r="M16" s="1187"/>
      <c r="P16" s="880"/>
      <c r="Q16" s="880"/>
      <c r="R16" s="880"/>
    </row>
    <row r="17" spans="1:18" s="2" customFormat="1" ht="16.5" customHeight="1" x14ac:dyDescent="0.25">
      <c r="A17" s="354"/>
      <c r="B17" s="5"/>
      <c r="C17" s="364"/>
      <c r="D17" s="1428"/>
      <c r="E17" s="1108"/>
      <c r="F17" s="538" t="s">
        <v>109</v>
      </c>
      <c r="G17" s="868">
        <v>100</v>
      </c>
      <c r="H17" s="711"/>
      <c r="I17" s="408"/>
      <c r="J17" s="1360"/>
      <c r="K17" s="522"/>
      <c r="L17" s="233"/>
      <c r="M17" s="435"/>
      <c r="N17" s="46"/>
      <c r="P17" s="880"/>
      <c r="Q17" s="880"/>
      <c r="R17" s="880"/>
    </row>
    <row r="18" spans="1:18" s="2" customFormat="1" ht="15" customHeight="1" x14ac:dyDescent="0.25">
      <c r="A18" s="354"/>
      <c r="B18" s="5"/>
      <c r="C18" s="364"/>
      <c r="D18" s="1428"/>
      <c r="E18" s="1108"/>
      <c r="F18" s="306" t="s">
        <v>14</v>
      </c>
      <c r="G18" s="174">
        <f>648+870.1+281.7+5103.8+1290.6+2027.7+667.4</f>
        <v>10889.300000000001</v>
      </c>
      <c r="H18" s="182">
        <f>870.1+281.7+5103.8+1290.6+2027.7</f>
        <v>9573.9000000000015</v>
      </c>
      <c r="I18" s="405">
        <f>870.1+281.7+5103.8+1290.6+2027.7</f>
        <v>9573.9000000000015</v>
      </c>
      <c r="J18" s="1545" t="s">
        <v>18</v>
      </c>
      <c r="K18" s="54">
        <v>3161</v>
      </c>
      <c r="L18" s="903">
        <v>3161</v>
      </c>
      <c r="M18" s="904">
        <v>3161</v>
      </c>
      <c r="N18" s="46"/>
      <c r="P18" s="880"/>
      <c r="Q18" s="880"/>
      <c r="R18" s="880"/>
    </row>
    <row r="19" spans="1:18" s="2" customFormat="1" ht="15" customHeight="1" x14ac:dyDescent="0.25">
      <c r="A19" s="965"/>
      <c r="B19" s="5"/>
      <c r="C19" s="966"/>
      <c r="D19" s="1428"/>
      <c r="E19" s="1108"/>
      <c r="F19" s="306" t="s">
        <v>111</v>
      </c>
      <c r="G19" s="174">
        <v>2.1</v>
      </c>
      <c r="H19" s="182"/>
      <c r="I19" s="405"/>
      <c r="J19" s="1546"/>
      <c r="K19" s="139"/>
      <c r="L19" s="967"/>
      <c r="M19" s="951"/>
      <c r="N19" s="46"/>
      <c r="P19" s="880"/>
      <c r="Q19" s="880"/>
      <c r="R19" s="880"/>
    </row>
    <row r="20" spans="1:18" s="2" customFormat="1" ht="53.25" customHeight="1" x14ac:dyDescent="0.25">
      <c r="A20" s="354"/>
      <c r="B20" s="5"/>
      <c r="C20" s="364"/>
      <c r="D20" s="1428"/>
      <c r="E20" s="1108"/>
      <c r="F20" s="311" t="s">
        <v>116</v>
      </c>
      <c r="G20" s="706">
        <v>50</v>
      </c>
      <c r="H20" s="181"/>
      <c r="I20" s="404"/>
      <c r="J20" s="1105" t="s">
        <v>19</v>
      </c>
      <c r="K20" s="638">
        <v>70</v>
      </c>
      <c r="L20" s="245">
        <v>70</v>
      </c>
      <c r="M20" s="436">
        <v>70</v>
      </c>
      <c r="P20" s="880"/>
      <c r="Q20" s="880"/>
      <c r="R20" s="880"/>
    </row>
    <row r="21" spans="1:18" s="2" customFormat="1" ht="53.25" customHeight="1" x14ac:dyDescent="0.25">
      <c r="A21" s="354"/>
      <c r="B21" s="5"/>
      <c r="C21" s="364"/>
      <c r="D21" s="1549" t="s">
        <v>15</v>
      </c>
      <c r="E21" s="837" t="s">
        <v>264</v>
      </c>
      <c r="F21" s="1285" t="s">
        <v>213</v>
      </c>
      <c r="G21" s="1290">
        <v>870.1</v>
      </c>
      <c r="H21" s="1289">
        <v>870.1</v>
      </c>
      <c r="I21" s="1204">
        <v>870.1</v>
      </c>
      <c r="J21" s="1155" t="s">
        <v>85</v>
      </c>
      <c r="K21" s="640">
        <v>4</v>
      </c>
      <c r="L21" s="641">
        <v>4</v>
      </c>
      <c r="M21" s="437">
        <v>4</v>
      </c>
      <c r="N21" s="46"/>
      <c r="P21" s="880"/>
      <c r="Q21" s="880"/>
      <c r="R21" s="880"/>
    </row>
    <row r="22" spans="1:18" s="2" customFormat="1" ht="28.5" customHeight="1" x14ac:dyDescent="0.25">
      <c r="A22" s="354"/>
      <c r="B22" s="5"/>
      <c r="C22" s="364"/>
      <c r="D22" s="1550"/>
      <c r="E22" s="1108"/>
      <c r="F22" s="1285"/>
      <c r="G22" s="1288"/>
      <c r="H22" s="1289"/>
      <c r="I22" s="1291"/>
      <c r="J22" s="1156" t="s">
        <v>84</v>
      </c>
      <c r="K22" s="521">
        <v>190</v>
      </c>
      <c r="L22" s="588">
        <v>190</v>
      </c>
      <c r="M22" s="436">
        <v>190</v>
      </c>
      <c r="P22" s="880"/>
      <c r="Q22" s="880"/>
      <c r="R22" s="880"/>
    </row>
    <row r="23" spans="1:18" s="2" customFormat="1" ht="51" customHeight="1" x14ac:dyDescent="0.25">
      <c r="A23" s="354"/>
      <c r="B23" s="5"/>
      <c r="C23" s="364"/>
      <c r="D23" s="1551"/>
      <c r="E23" s="1108"/>
      <c r="F23" s="1182" t="s">
        <v>213</v>
      </c>
      <c r="G23" s="1292">
        <v>281.7</v>
      </c>
      <c r="H23" s="1287">
        <v>281.7</v>
      </c>
      <c r="I23" s="1204">
        <v>281.7</v>
      </c>
      <c r="J23" s="1157" t="s">
        <v>86</v>
      </c>
      <c r="K23" s="521">
        <v>100</v>
      </c>
      <c r="L23" s="588">
        <v>100</v>
      </c>
      <c r="M23" s="438">
        <v>105</v>
      </c>
      <c r="P23" s="880"/>
      <c r="Q23" s="880"/>
      <c r="R23" s="880"/>
    </row>
    <row r="24" spans="1:18" s="2" customFormat="1" ht="57.6" customHeight="1" x14ac:dyDescent="0.25">
      <c r="A24" s="354"/>
      <c r="B24" s="5"/>
      <c r="C24" s="364"/>
      <c r="D24" s="356" t="s">
        <v>21</v>
      </c>
      <c r="E24" s="1109" t="s">
        <v>264</v>
      </c>
      <c r="F24" s="1285" t="s">
        <v>213</v>
      </c>
      <c r="G24" s="1290">
        <v>2884.6</v>
      </c>
      <c r="H24" s="1289">
        <v>2884.6</v>
      </c>
      <c r="I24" s="1204">
        <v>2884.6</v>
      </c>
      <c r="J24" s="1001" t="s">
        <v>161</v>
      </c>
      <c r="K24" s="54">
        <v>723</v>
      </c>
      <c r="L24" s="222">
        <v>723</v>
      </c>
      <c r="M24" s="437">
        <v>723</v>
      </c>
    </row>
    <row r="25" spans="1:18" s="2" customFormat="1" ht="56.65" customHeight="1" x14ac:dyDescent="0.25">
      <c r="A25" s="354"/>
      <c r="B25" s="5"/>
      <c r="C25" s="364"/>
      <c r="D25" s="356"/>
      <c r="E25" s="1548" t="s">
        <v>265</v>
      </c>
      <c r="F25" s="1285" t="s">
        <v>213</v>
      </c>
      <c r="G25" s="1290">
        <v>399.3</v>
      </c>
      <c r="H25" s="1289">
        <v>399.3</v>
      </c>
      <c r="I25" s="1204">
        <v>399.3</v>
      </c>
      <c r="J25" s="149" t="s">
        <v>162</v>
      </c>
      <c r="K25" s="640">
        <v>65</v>
      </c>
      <c r="L25" s="641">
        <v>65</v>
      </c>
      <c r="M25" s="437">
        <v>65</v>
      </c>
    </row>
    <row r="26" spans="1:18" s="2" customFormat="1" ht="57" customHeight="1" x14ac:dyDescent="0.25">
      <c r="A26" s="354"/>
      <c r="B26" s="5"/>
      <c r="C26" s="364"/>
      <c r="D26" s="356"/>
      <c r="E26" s="1548"/>
      <c r="F26" s="1285" t="s">
        <v>213</v>
      </c>
      <c r="G26" s="1290">
        <v>1047.8</v>
      </c>
      <c r="H26" s="1289">
        <v>1047.8</v>
      </c>
      <c r="I26" s="1204">
        <v>1047.8</v>
      </c>
      <c r="J26" s="1022" t="s">
        <v>227</v>
      </c>
      <c r="K26" s="639">
        <v>123</v>
      </c>
      <c r="L26" s="236">
        <v>123</v>
      </c>
      <c r="M26" s="437">
        <v>123</v>
      </c>
    </row>
    <row r="27" spans="1:18" s="2" customFormat="1" ht="56.65" customHeight="1" x14ac:dyDescent="0.25">
      <c r="A27" s="354"/>
      <c r="B27" s="5"/>
      <c r="C27" s="364"/>
      <c r="D27" s="356"/>
      <c r="E27" s="1110"/>
      <c r="F27" s="1285" t="s">
        <v>213</v>
      </c>
      <c r="G27" s="1290">
        <v>254</v>
      </c>
      <c r="H27" s="1289">
        <v>254</v>
      </c>
      <c r="I27" s="1204">
        <v>254</v>
      </c>
      <c r="J27" s="1002" t="s">
        <v>163</v>
      </c>
      <c r="K27" s="522">
        <v>32</v>
      </c>
      <c r="L27" s="233">
        <v>32</v>
      </c>
      <c r="M27" s="437">
        <v>32</v>
      </c>
    </row>
    <row r="28" spans="1:18" s="2" customFormat="1" ht="56.65" customHeight="1" x14ac:dyDescent="0.25">
      <c r="A28" s="354"/>
      <c r="B28" s="5"/>
      <c r="C28" s="364"/>
      <c r="D28" s="356"/>
      <c r="E28" s="1110"/>
      <c r="F28" s="1285" t="s">
        <v>213</v>
      </c>
      <c r="G28" s="1290">
        <v>476.7</v>
      </c>
      <c r="H28" s="1289">
        <v>476.7</v>
      </c>
      <c r="I28" s="1204">
        <v>476.7</v>
      </c>
      <c r="J28" s="149" t="s">
        <v>228</v>
      </c>
      <c r="K28" s="640">
        <v>35</v>
      </c>
      <c r="L28" s="641">
        <v>35</v>
      </c>
      <c r="M28" s="437">
        <v>35</v>
      </c>
    </row>
    <row r="29" spans="1:18" s="2" customFormat="1" ht="26.25" customHeight="1" x14ac:dyDescent="0.25">
      <c r="A29" s="354"/>
      <c r="B29" s="5"/>
      <c r="C29" s="364"/>
      <c r="D29" s="356"/>
      <c r="E29" s="1110"/>
      <c r="F29" s="1285" t="s">
        <v>213</v>
      </c>
      <c r="G29" s="1290">
        <v>41.4</v>
      </c>
      <c r="H29" s="1289">
        <v>41.4</v>
      </c>
      <c r="I29" s="1204">
        <v>41.4</v>
      </c>
      <c r="J29" s="1494" t="s">
        <v>164</v>
      </c>
      <c r="K29" s="638">
        <v>8</v>
      </c>
      <c r="L29" s="245">
        <v>8</v>
      </c>
      <c r="M29" s="1102">
        <v>8</v>
      </c>
    </row>
    <row r="30" spans="1:18" s="2" customFormat="1" ht="39" customHeight="1" x14ac:dyDescent="0.25">
      <c r="A30" s="354"/>
      <c r="B30" s="5"/>
      <c r="C30" s="364"/>
      <c r="D30" s="1101"/>
      <c r="E30" s="1110"/>
      <c r="F30" s="1285"/>
      <c r="G30" s="1288"/>
      <c r="H30" s="1289"/>
      <c r="I30" s="1204"/>
      <c r="J30" s="1495"/>
      <c r="K30" s="639"/>
      <c r="L30" s="236"/>
      <c r="M30" s="1103"/>
    </row>
    <row r="31" spans="1:18" s="2" customFormat="1" ht="39.75" customHeight="1" x14ac:dyDescent="0.25">
      <c r="A31" s="354"/>
      <c r="B31" s="5"/>
      <c r="C31" s="364"/>
      <c r="D31" s="1298" t="s">
        <v>22</v>
      </c>
      <c r="E31" s="837" t="s">
        <v>264</v>
      </c>
      <c r="F31" s="1285" t="s">
        <v>213</v>
      </c>
      <c r="G31" s="1288">
        <v>1290.5999999999999</v>
      </c>
      <c r="H31" s="1289">
        <v>1290.5999999999999</v>
      </c>
      <c r="I31" s="1204">
        <v>1290.5999999999999</v>
      </c>
      <c r="J31" s="149" t="s">
        <v>23</v>
      </c>
      <c r="K31" s="12">
        <v>53</v>
      </c>
      <c r="L31" s="239">
        <v>53</v>
      </c>
      <c r="M31" s="1103">
        <v>53</v>
      </c>
    </row>
    <row r="32" spans="1:18" s="2" customFormat="1" ht="40.9" customHeight="1" x14ac:dyDescent="0.25">
      <c r="A32" s="354"/>
      <c r="B32" s="5"/>
      <c r="C32" s="364"/>
      <c r="D32" s="1099" t="s">
        <v>24</v>
      </c>
      <c r="E32" s="814" t="s">
        <v>264</v>
      </c>
      <c r="F32" s="1285" t="s">
        <v>213</v>
      </c>
      <c r="G32" s="1290">
        <v>2027.7</v>
      </c>
      <c r="H32" s="1289">
        <v>2027.7</v>
      </c>
      <c r="I32" s="1204">
        <v>2027.7</v>
      </c>
      <c r="J32" s="1106" t="s">
        <v>25</v>
      </c>
      <c r="K32" s="640">
        <v>5720</v>
      </c>
      <c r="L32" s="641">
        <v>5720</v>
      </c>
      <c r="M32" s="439">
        <v>5720</v>
      </c>
    </row>
    <row r="33" spans="1:13" s="2" customFormat="1" ht="16.899999999999999" customHeight="1" x14ac:dyDescent="0.25">
      <c r="A33" s="1376"/>
      <c r="B33" s="1375"/>
      <c r="C33" s="362"/>
      <c r="D33" s="1385" t="s">
        <v>26</v>
      </c>
      <c r="E33" s="807" t="s">
        <v>264</v>
      </c>
      <c r="F33" s="1182" t="s">
        <v>137</v>
      </c>
      <c r="G33" s="1286">
        <v>466.1</v>
      </c>
      <c r="H33" s="1287">
        <v>466.1</v>
      </c>
      <c r="I33" s="1204">
        <v>466.1</v>
      </c>
      <c r="J33" s="1477" t="s">
        <v>87</v>
      </c>
      <c r="K33" s="264">
        <v>5470</v>
      </c>
      <c r="L33" s="561">
        <v>5470</v>
      </c>
      <c r="M33" s="438">
        <v>5470</v>
      </c>
    </row>
    <row r="34" spans="1:13" s="2" customFormat="1" ht="36" customHeight="1" x14ac:dyDescent="0.25">
      <c r="A34" s="1376"/>
      <c r="B34" s="1375"/>
      <c r="C34" s="362"/>
      <c r="D34" s="1386"/>
      <c r="E34" s="814" t="s">
        <v>265</v>
      </c>
      <c r="F34" s="1182"/>
      <c r="G34" s="1286"/>
      <c r="H34" s="1287"/>
      <c r="I34" s="1204"/>
      <c r="J34" s="1515"/>
      <c r="K34" s="297"/>
      <c r="L34" s="1181"/>
      <c r="M34" s="462"/>
    </row>
    <row r="35" spans="1:13" s="1" customFormat="1" ht="17.25" customHeight="1" x14ac:dyDescent="0.25">
      <c r="A35" s="1376"/>
      <c r="B35" s="1375"/>
      <c r="C35" s="362"/>
      <c r="D35" s="1385" t="s">
        <v>135</v>
      </c>
      <c r="E35" s="807" t="s">
        <v>264</v>
      </c>
      <c r="F35" s="1182" t="s">
        <v>213</v>
      </c>
      <c r="G35" s="1292">
        <v>667.4</v>
      </c>
      <c r="H35" s="1287"/>
      <c r="I35" s="1192"/>
      <c r="J35" s="1361" t="s">
        <v>101</v>
      </c>
      <c r="K35" s="139">
        <v>108</v>
      </c>
      <c r="L35" s="935"/>
      <c r="M35" s="442"/>
    </row>
    <row r="36" spans="1:13" s="1" customFormat="1" ht="17.25" customHeight="1" x14ac:dyDescent="0.25">
      <c r="A36" s="1376"/>
      <c r="B36" s="1375"/>
      <c r="C36" s="690"/>
      <c r="D36" s="1452"/>
      <c r="E36" s="814" t="s">
        <v>265</v>
      </c>
      <c r="F36" s="1182" t="s">
        <v>137</v>
      </c>
      <c r="G36" s="1292">
        <v>124.8</v>
      </c>
      <c r="H36" s="1287"/>
      <c r="I36" s="1192"/>
      <c r="J36" s="1359"/>
      <c r="K36" s="139"/>
      <c r="L36" s="935"/>
      <c r="M36" s="442"/>
    </row>
    <row r="37" spans="1:13" s="1" customFormat="1" ht="17.25" customHeight="1" x14ac:dyDescent="0.25">
      <c r="A37" s="1376"/>
      <c r="B37" s="1375"/>
      <c r="C37" s="362"/>
      <c r="D37" s="1452"/>
      <c r="E37" s="1300" t="s">
        <v>167</v>
      </c>
      <c r="F37" s="1182" t="s">
        <v>221</v>
      </c>
      <c r="G37" s="1292">
        <v>2.1</v>
      </c>
      <c r="H37" s="1287"/>
      <c r="I37" s="1204"/>
      <c r="J37" s="1359"/>
      <c r="K37" s="139"/>
      <c r="L37" s="935"/>
      <c r="M37" s="442"/>
    </row>
    <row r="38" spans="1:13" s="1" customFormat="1" ht="17.25" customHeight="1" x14ac:dyDescent="0.25">
      <c r="A38" s="1376"/>
      <c r="B38" s="1375"/>
      <c r="C38" s="362"/>
      <c r="D38" s="1386"/>
      <c r="E38" s="1299"/>
      <c r="F38" s="1182" t="s">
        <v>224</v>
      </c>
      <c r="G38" s="1292">
        <v>50</v>
      </c>
      <c r="H38" s="1287"/>
      <c r="I38" s="1204"/>
      <c r="J38" s="1359"/>
      <c r="K38" s="139"/>
      <c r="L38" s="935"/>
      <c r="M38" s="442"/>
    </row>
    <row r="39" spans="1:13" s="1" customFormat="1" ht="12.75" customHeight="1" x14ac:dyDescent="0.25">
      <c r="A39" s="354"/>
      <c r="B39" s="355"/>
      <c r="C39" s="362"/>
      <c r="D39" s="1357" t="s">
        <v>138</v>
      </c>
      <c r="E39" s="814" t="s">
        <v>167</v>
      </c>
      <c r="F39" s="1182" t="s">
        <v>214</v>
      </c>
      <c r="G39" s="1286">
        <v>101.8</v>
      </c>
      <c r="H39" s="1287">
        <v>101.8</v>
      </c>
      <c r="I39" s="1293">
        <v>101.8</v>
      </c>
      <c r="J39" s="1477" t="s">
        <v>146</v>
      </c>
      <c r="K39" s="264">
        <v>11</v>
      </c>
      <c r="L39" s="1069">
        <v>11</v>
      </c>
      <c r="M39" s="1051">
        <v>11</v>
      </c>
    </row>
    <row r="40" spans="1:13" s="1" customFormat="1" ht="13.5" customHeight="1" x14ac:dyDescent="0.25">
      <c r="A40" s="478"/>
      <c r="B40" s="479"/>
      <c r="C40" s="480"/>
      <c r="D40" s="1357"/>
      <c r="E40" s="814" t="s">
        <v>264</v>
      </c>
      <c r="F40" s="1182" t="s">
        <v>214</v>
      </c>
      <c r="G40" s="1292">
        <v>60</v>
      </c>
      <c r="H40" s="1287">
        <v>60</v>
      </c>
      <c r="I40" s="1192">
        <v>60</v>
      </c>
      <c r="J40" s="1515"/>
      <c r="K40" s="694"/>
      <c r="L40" s="242"/>
      <c r="M40" s="1512"/>
    </row>
    <row r="41" spans="1:13" s="1" customFormat="1" ht="14.25" customHeight="1" x14ac:dyDescent="0.25">
      <c r="A41" s="478"/>
      <c r="B41" s="479"/>
      <c r="C41" s="480"/>
      <c r="D41" s="1357"/>
      <c r="E41" s="1301" t="s">
        <v>265</v>
      </c>
      <c r="F41" s="1182"/>
      <c r="G41" s="1292"/>
      <c r="H41" s="1287"/>
      <c r="I41" s="1192"/>
      <c r="J41" s="1478"/>
      <c r="K41" s="503"/>
      <c r="L41" s="242"/>
      <c r="M41" s="1512"/>
    </row>
    <row r="42" spans="1:13" s="1" customFormat="1" ht="67.900000000000006" customHeight="1" x14ac:dyDescent="0.25">
      <c r="A42" s="354"/>
      <c r="B42" s="355"/>
      <c r="C42" s="362"/>
      <c r="D42" s="1385" t="s">
        <v>237</v>
      </c>
      <c r="E42" s="1111" t="s">
        <v>264</v>
      </c>
      <c r="F42" s="1294"/>
      <c r="G42" s="1295"/>
      <c r="H42" s="1296"/>
      <c r="I42" s="1297"/>
      <c r="J42" s="1133" t="s">
        <v>118</v>
      </c>
      <c r="K42" s="1281">
        <v>3200</v>
      </c>
      <c r="L42" s="1069">
        <v>3200</v>
      </c>
      <c r="M42" s="1282">
        <v>3200</v>
      </c>
    </row>
    <row r="43" spans="1:13" s="1" customFormat="1" ht="17.25" customHeight="1" thickBot="1" x14ac:dyDescent="0.3">
      <c r="A43" s="359"/>
      <c r="B43" s="357"/>
      <c r="C43" s="363"/>
      <c r="D43" s="1487"/>
      <c r="E43" s="1569" t="s">
        <v>20</v>
      </c>
      <c r="F43" s="1570"/>
      <c r="G43" s="9">
        <f>SUM(G15:G20)</f>
        <v>13728.700000000003</v>
      </c>
      <c r="H43" s="187">
        <f>SUM(H15:H20)</f>
        <v>12884.400000000001</v>
      </c>
      <c r="I43" s="301">
        <f>SUM(I15:I20)</f>
        <v>12884.400000000001</v>
      </c>
      <c r="J43" s="1149"/>
      <c r="K43" s="643"/>
      <c r="L43" s="1070"/>
      <c r="M43" s="493"/>
    </row>
    <row r="44" spans="1:13" s="2" customFormat="1" ht="69.599999999999994" customHeight="1" x14ac:dyDescent="0.25">
      <c r="A44" s="1376" t="s">
        <v>10</v>
      </c>
      <c r="B44" s="1375" t="s">
        <v>10</v>
      </c>
      <c r="C44" s="1574" t="s">
        <v>28</v>
      </c>
      <c r="D44" s="1357" t="s">
        <v>29</v>
      </c>
      <c r="E44" s="1496" t="s">
        <v>264</v>
      </c>
      <c r="F44" s="555" t="s">
        <v>30</v>
      </c>
      <c r="G44" s="338">
        <v>8880.5</v>
      </c>
      <c r="H44" s="709">
        <v>8880.5</v>
      </c>
      <c r="I44" s="305">
        <v>8880.5</v>
      </c>
      <c r="J44" s="786" t="s">
        <v>147</v>
      </c>
      <c r="K44" s="12">
        <v>4124</v>
      </c>
      <c r="L44" s="239">
        <v>4124</v>
      </c>
      <c r="M44" s="434">
        <v>4124</v>
      </c>
    </row>
    <row r="45" spans="1:13" s="2" customFormat="1" ht="16.5" customHeight="1" thickBot="1" x14ac:dyDescent="0.3">
      <c r="A45" s="1573"/>
      <c r="B45" s="1576"/>
      <c r="C45" s="1575"/>
      <c r="D45" s="1572"/>
      <c r="E45" s="1497"/>
      <c r="F45" s="341" t="s">
        <v>20</v>
      </c>
      <c r="G45" s="301">
        <f t="shared" ref="G45:I45" si="0">+G44</f>
        <v>8880.5</v>
      </c>
      <c r="H45" s="187">
        <f t="shared" si="0"/>
        <v>8880.5</v>
      </c>
      <c r="I45" s="176">
        <f t="shared" si="0"/>
        <v>8880.5</v>
      </c>
      <c r="J45" s="1154"/>
      <c r="K45" s="11"/>
      <c r="L45" s="510"/>
      <c r="M45" s="444"/>
    </row>
    <row r="46" spans="1:13" s="2" customFormat="1" ht="21.6" customHeight="1" x14ac:dyDescent="0.25">
      <c r="A46" s="358" t="s">
        <v>10</v>
      </c>
      <c r="B46" s="4" t="s">
        <v>10</v>
      </c>
      <c r="C46" s="103" t="s">
        <v>31</v>
      </c>
      <c r="D46" s="1571" t="s">
        <v>32</v>
      </c>
      <c r="E46" s="735" t="s">
        <v>264</v>
      </c>
      <c r="F46" s="557" t="s">
        <v>30</v>
      </c>
      <c r="G46" s="716">
        <v>31200.2</v>
      </c>
      <c r="H46" s="717">
        <v>31200.2</v>
      </c>
      <c r="I46" s="305">
        <v>31200.2</v>
      </c>
      <c r="J46" s="1513" t="s">
        <v>147</v>
      </c>
      <c r="K46" s="13">
        <v>32400</v>
      </c>
      <c r="L46" s="509">
        <v>32400</v>
      </c>
      <c r="M46" s="434">
        <v>32400</v>
      </c>
    </row>
    <row r="47" spans="1:13" s="2" customFormat="1" ht="16.5" customHeight="1" thickBot="1" x14ac:dyDescent="0.3">
      <c r="A47" s="359"/>
      <c r="B47" s="10"/>
      <c r="C47" s="365"/>
      <c r="D47" s="1572"/>
      <c r="E47" s="238"/>
      <c r="F47" s="341" t="s">
        <v>20</v>
      </c>
      <c r="G47" s="896">
        <f t="shared" ref="G47:I47" si="1">+G46</f>
        <v>31200.2</v>
      </c>
      <c r="H47" s="184">
        <f t="shared" si="1"/>
        <v>31200.2</v>
      </c>
      <c r="I47" s="177">
        <f t="shared" si="1"/>
        <v>31200.2</v>
      </c>
      <c r="J47" s="1514"/>
      <c r="K47" s="644"/>
      <c r="L47" s="645"/>
      <c r="M47" s="445"/>
    </row>
    <row r="48" spans="1:13" s="1" customFormat="1" ht="25.15" customHeight="1" x14ac:dyDescent="0.25">
      <c r="A48" s="1577" t="s">
        <v>10</v>
      </c>
      <c r="B48" s="1578" t="s">
        <v>10</v>
      </c>
      <c r="C48" s="1389" t="s">
        <v>33</v>
      </c>
      <c r="D48" s="1571" t="s">
        <v>113</v>
      </c>
      <c r="E48" s="735" t="s">
        <v>264</v>
      </c>
      <c r="F48" s="1086" t="s">
        <v>16</v>
      </c>
      <c r="G48" s="718">
        <v>347.4</v>
      </c>
      <c r="H48" s="719">
        <v>347.4</v>
      </c>
      <c r="I48" s="305">
        <v>347.4</v>
      </c>
      <c r="J48" s="1502" t="s">
        <v>114</v>
      </c>
      <c r="K48" s="13">
        <v>780</v>
      </c>
      <c r="L48" s="509">
        <v>780</v>
      </c>
      <c r="M48" s="434">
        <v>780</v>
      </c>
    </row>
    <row r="49" spans="1:18" s="1" customFormat="1" ht="31.9" customHeight="1" x14ac:dyDescent="0.25">
      <c r="A49" s="1376"/>
      <c r="B49" s="1375"/>
      <c r="C49" s="1390"/>
      <c r="D49" s="1357"/>
      <c r="E49" s="239"/>
      <c r="F49" s="548" t="s">
        <v>206</v>
      </c>
      <c r="G49" s="720">
        <v>638.6</v>
      </c>
      <c r="H49" s="721">
        <v>638.6</v>
      </c>
      <c r="I49" s="679">
        <v>638.6</v>
      </c>
      <c r="J49" s="1503"/>
      <c r="K49" s="12"/>
      <c r="L49" s="239"/>
      <c r="M49" s="439"/>
    </row>
    <row r="50" spans="1:18" s="2" customFormat="1" ht="16.5" customHeight="1" thickBot="1" x14ac:dyDescent="0.3">
      <c r="A50" s="1573"/>
      <c r="B50" s="1576"/>
      <c r="C50" s="1391"/>
      <c r="D50" s="1572"/>
      <c r="E50" s="238"/>
      <c r="F50" s="341" t="s">
        <v>20</v>
      </c>
      <c r="G50" s="301">
        <f>SUM(G48:G49)</f>
        <v>986</v>
      </c>
      <c r="H50" s="187">
        <f t="shared" ref="H50:I50" si="2">SUM(H48:H49)</f>
        <v>986</v>
      </c>
      <c r="I50" s="176">
        <f t="shared" si="2"/>
        <v>986</v>
      </c>
      <c r="J50" s="1504"/>
      <c r="K50" s="11"/>
      <c r="L50" s="510"/>
      <c r="M50" s="446"/>
    </row>
    <row r="51" spans="1:18" s="1" customFormat="1" ht="29.25" customHeight="1" x14ac:dyDescent="0.25">
      <c r="A51" s="1013" t="s">
        <v>10</v>
      </c>
      <c r="B51" s="1015" t="s">
        <v>10</v>
      </c>
      <c r="C51" s="1053" t="s">
        <v>34</v>
      </c>
      <c r="D51" s="1486" t="s">
        <v>128</v>
      </c>
      <c r="E51" s="735" t="s">
        <v>264</v>
      </c>
      <c r="F51" s="1113" t="s">
        <v>14</v>
      </c>
      <c r="G51" s="722">
        <v>302.2</v>
      </c>
      <c r="H51" s="723">
        <v>302.2</v>
      </c>
      <c r="I51" s="178">
        <v>302.2</v>
      </c>
      <c r="J51" s="1158" t="s">
        <v>127</v>
      </c>
      <c r="K51" s="646">
        <v>100</v>
      </c>
      <c r="L51" s="294">
        <v>100</v>
      </c>
      <c r="M51" s="447">
        <v>100</v>
      </c>
    </row>
    <row r="52" spans="1:18" s="1" customFormat="1" ht="32.450000000000003" customHeight="1" x14ac:dyDescent="0.25">
      <c r="A52" s="102"/>
      <c r="B52" s="1161"/>
      <c r="C52" s="1159"/>
      <c r="D52" s="1452"/>
      <c r="E52" s="239"/>
      <c r="F52" s="42"/>
      <c r="G52" s="724"/>
      <c r="H52" s="725"/>
      <c r="I52" s="179"/>
      <c r="J52" s="1342" t="s">
        <v>209</v>
      </c>
      <c r="K52" s="647">
        <v>50</v>
      </c>
      <c r="L52" s="226">
        <v>50</v>
      </c>
      <c r="M52" s="448">
        <v>50</v>
      </c>
    </row>
    <row r="53" spans="1:18" s="2" customFormat="1" ht="16.5" customHeight="1" thickBot="1" x14ac:dyDescent="0.3">
      <c r="A53" s="1163"/>
      <c r="B53" s="1162"/>
      <c r="C53" s="1160"/>
      <c r="D53" s="387"/>
      <c r="E53" s="238"/>
      <c r="F53" s="341" t="s">
        <v>20</v>
      </c>
      <c r="G53" s="301">
        <f>+G51+G52</f>
        <v>302.2</v>
      </c>
      <c r="H53" s="301">
        <f>+H51+H52</f>
        <v>302.2</v>
      </c>
      <c r="I53" s="301">
        <f>+I51+I52</f>
        <v>302.2</v>
      </c>
      <c r="J53" s="1369"/>
      <c r="K53" s="648"/>
      <c r="L53" s="237"/>
      <c r="M53" s="449"/>
    </row>
    <row r="54" spans="1:18" s="1" customFormat="1" ht="31.9" customHeight="1" x14ac:dyDescent="0.25">
      <c r="A54" s="1577" t="s">
        <v>10</v>
      </c>
      <c r="B54" s="1578" t="s">
        <v>10</v>
      </c>
      <c r="C54" s="1510" t="s">
        <v>48</v>
      </c>
      <c r="D54" s="1486" t="s">
        <v>207</v>
      </c>
      <c r="E54" s="1395" t="s">
        <v>264</v>
      </c>
      <c r="F54" s="846" t="s">
        <v>14</v>
      </c>
      <c r="G54" s="847">
        <v>57.9</v>
      </c>
      <c r="H54" s="848">
        <v>57.9</v>
      </c>
      <c r="I54" s="300">
        <v>57.9</v>
      </c>
      <c r="J54" s="1402" t="s">
        <v>208</v>
      </c>
      <c r="K54" s="1505">
        <v>3</v>
      </c>
      <c r="L54" s="1507">
        <v>3</v>
      </c>
      <c r="M54" s="1509">
        <v>3</v>
      </c>
    </row>
    <row r="55" spans="1:18" s="1" customFormat="1" ht="13.5" thickBot="1" x14ac:dyDescent="0.3">
      <c r="A55" s="1573"/>
      <c r="B55" s="1576"/>
      <c r="C55" s="1511"/>
      <c r="D55" s="1487"/>
      <c r="E55" s="1397"/>
      <c r="F55" s="1114" t="s">
        <v>20</v>
      </c>
      <c r="G55" s="852">
        <f>G54</f>
        <v>57.9</v>
      </c>
      <c r="H55" s="853">
        <f>H54</f>
        <v>57.9</v>
      </c>
      <c r="I55" s="854">
        <f>I54</f>
        <v>57.9</v>
      </c>
      <c r="J55" s="1369"/>
      <c r="K55" s="1506"/>
      <c r="L55" s="1508"/>
      <c r="M55" s="1362"/>
    </row>
    <row r="56" spans="1:18" s="1" customFormat="1" ht="21" customHeight="1" x14ac:dyDescent="0.25">
      <c r="A56" s="1577" t="s">
        <v>10</v>
      </c>
      <c r="B56" s="1578" t="s">
        <v>10</v>
      </c>
      <c r="C56" s="1510" t="s">
        <v>49</v>
      </c>
      <c r="D56" s="1486" t="s">
        <v>259</v>
      </c>
      <c r="E56" s="849" t="s">
        <v>264</v>
      </c>
      <c r="F56" s="1113" t="s">
        <v>30</v>
      </c>
      <c r="G56" s="722">
        <v>341.1</v>
      </c>
      <c r="H56" s="723">
        <v>341.1</v>
      </c>
      <c r="I56" s="178">
        <v>341.1</v>
      </c>
      <c r="J56" s="1402" t="s">
        <v>260</v>
      </c>
      <c r="K56" s="646">
        <v>44</v>
      </c>
      <c r="L56" s="294">
        <v>44</v>
      </c>
      <c r="M56" s="447">
        <v>44</v>
      </c>
    </row>
    <row r="57" spans="1:18" s="2" customFormat="1" ht="16.5" customHeight="1" thickBot="1" x14ac:dyDescent="0.3">
      <c r="A57" s="1573"/>
      <c r="B57" s="1576"/>
      <c r="C57" s="1511"/>
      <c r="D57" s="1487"/>
      <c r="E57" s="890" t="s">
        <v>265</v>
      </c>
      <c r="F57" s="341" t="s">
        <v>20</v>
      </c>
      <c r="G57" s="301">
        <f>G56</f>
        <v>341.1</v>
      </c>
      <c r="H57" s="187">
        <f>H56</f>
        <v>341.1</v>
      </c>
      <c r="I57" s="176">
        <f>I56</f>
        <v>341.1</v>
      </c>
      <c r="J57" s="1369"/>
      <c r="K57" s="648"/>
      <c r="L57" s="237"/>
      <c r="M57" s="845"/>
    </row>
    <row r="58" spans="1:18" s="1" customFormat="1" ht="16.5" customHeight="1" thickBot="1" x14ac:dyDescent="0.3">
      <c r="A58" s="516" t="s">
        <v>10</v>
      </c>
      <c r="B58" s="517" t="s">
        <v>10</v>
      </c>
      <c r="C58" s="1498" t="s">
        <v>35</v>
      </c>
      <c r="D58" s="1499"/>
      <c r="E58" s="1499"/>
      <c r="F58" s="1500"/>
      <c r="G58" s="726">
        <f>G50+G47+G45+G43+G53+G57+G55</f>
        <v>55496.6</v>
      </c>
      <c r="H58" s="217">
        <f>H50+H47+H45+H43+H53+H57+H55</f>
        <v>54652.299999999996</v>
      </c>
      <c r="I58" s="685">
        <f>I50+I47+I45+I43+I53+I57+I55</f>
        <v>54652.299999999996</v>
      </c>
      <c r="J58" s="1437"/>
      <c r="K58" s="1438"/>
      <c r="L58" s="1438"/>
      <c r="M58" s="1439"/>
    </row>
    <row r="59" spans="1:18" s="1" customFormat="1" ht="16.5" customHeight="1" thickBot="1" x14ac:dyDescent="0.3">
      <c r="A59" s="58" t="s">
        <v>10</v>
      </c>
      <c r="B59" s="3" t="s">
        <v>28</v>
      </c>
      <c r="C59" s="1410" t="s">
        <v>36</v>
      </c>
      <c r="D59" s="1410"/>
      <c r="E59" s="1410"/>
      <c r="F59" s="1501"/>
      <c r="G59" s="1501"/>
      <c r="H59" s="1501"/>
      <c r="I59" s="1501"/>
      <c r="J59" s="1410"/>
      <c r="K59" s="1410"/>
      <c r="L59" s="1410"/>
      <c r="M59" s="1411"/>
    </row>
    <row r="60" spans="1:18" s="2" customFormat="1" ht="15" customHeight="1" x14ac:dyDescent="0.25">
      <c r="A60" s="358" t="s">
        <v>10</v>
      </c>
      <c r="B60" s="360" t="s">
        <v>28</v>
      </c>
      <c r="C60" s="368" t="s">
        <v>10</v>
      </c>
      <c r="D60" s="1427" t="s">
        <v>37</v>
      </c>
      <c r="E60" s="838" t="s">
        <v>264</v>
      </c>
      <c r="F60" s="1165" t="s">
        <v>16</v>
      </c>
      <c r="G60" s="1166">
        <v>5916.8</v>
      </c>
      <c r="H60" s="1167">
        <v>5993.1</v>
      </c>
      <c r="I60" s="1168">
        <v>5871.1</v>
      </c>
      <c r="J60" s="1144"/>
      <c r="K60" s="1134"/>
      <c r="L60" s="562"/>
      <c r="M60" s="451"/>
      <c r="O60" s="1169" t="s">
        <v>16</v>
      </c>
      <c r="P60" s="1170">
        <f>G70+G75+G82+G84+G86+G92+G100+G108+G117+G122+G130+G133</f>
        <v>5916.8</v>
      </c>
      <c r="Q60" s="1170">
        <f>H70+H75+H82+H92+H108+H117+H120+H122+H130+H133</f>
        <v>5993.1</v>
      </c>
      <c r="R60" s="1170">
        <f>I70+I75+I82+I92+I108+I117+I122+I130+I133</f>
        <v>5871.1</v>
      </c>
    </row>
    <row r="61" spans="1:18" s="2" customFormat="1" ht="15" customHeight="1" x14ac:dyDescent="0.25">
      <c r="A61" s="354"/>
      <c r="B61" s="355"/>
      <c r="C61" s="369"/>
      <c r="D61" s="1428"/>
      <c r="E61" s="1112"/>
      <c r="F61" s="306" t="s">
        <v>206</v>
      </c>
      <c r="G61" s="952">
        <v>1954.4</v>
      </c>
      <c r="H61" s="953">
        <v>1944.7</v>
      </c>
      <c r="I61" s="950">
        <v>1944.7</v>
      </c>
      <c r="J61" s="36"/>
      <c r="K61" s="901"/>
      <c r="L61" s="242"/>
      <c r="M61" s="873"/>
      <c r="O61" s="1169" t="s">
        <v>109</v>
      </c>
      <c r="P61" s="1170">
        <f>G94+G110+G125</f>
        <v>6.6999999999999993</v>
      </c>
      <c r="Q61" s="1170"/>
      <c r="R61" s="1170"/>
    </row>
    <row r="62" spans="1:18" s="2" customFormat="1" ht="15" customHeight="1" x14ac:dyDescent="0.25">
      <c r="A62" s="1010"/>
      <c r="B62" s="1011"/>
      <c r="C62" s="1091"/>
      <c r="D62" s="1060"/>
      <c r="E62" s="1112"/>
      <c r="F62" s="306" t="s">
        <v>109</v>
      </c>
      <c r="G62" s="952">
        <v>6.7</v>
      </c>
      <c r="H62" s="953"/>
      <c r="I62" s="950"/>
      <c r="J62" s="36"/>
      <c r="K62" s="901"/>
      <c r="L62" s="242"/>
      <c r="M62" s="873"/>
      <c r="O62" s="1169" t="s">
        <v>206</v>
      </c>
      <c r="P62" s="1170">
        <f>G71+G76+G83+G85+G87+G88+G93+G109+G114+G118+G123</f>
        <v>1954.3999999999999</v>
      </c>
      <c r="Q62" s="1170">
        <f>H71+H76+H83+H93+H109+H114+H118+H123</f>
        <v>1944.6999999999998</v>
      </c>
      <c r="R62" s="1170">
        <f>I71+I76+I83+I93+I109+I114+I118+I123</f>
        <v>1944.6999999999998</v>
      </c>
    </row>
    <row r="63" spans="1:18" s="2" customFormat="1" ht="15" customHeight="1" x14ac:dyDescent="0.25">
      <c r="A63" s="1010"/>
      <c r="B63" s="1011"/>
      <c r="C63" s="1091"/>
      <c r="D63" s="1060"/>
      <c r="E63" s="1112"/>
      <c r="F63" s="306" t="s">
        <v>38</v>
      </c>
      <c r="G63" s="952">
        <v>791</v>
      </c>
      <c r="H63" s="953">
        <v>793.9</v>
      </c>
      <c r="I63" s="950">
        <v>800.9</v>
      </c>
      <c r="J63" s="36"/>
      <c r="K63" s="901"/>
      <c r="L63" s="242"/>
      <c r="M63" s="873"/>
      <c r="O63" s="1169" t="s">
        <v>38</v>
      </c>
      <c r="P63" s="1170">
        <f>G72+G77+G89+G95+G111+G115</f>
        <v>791</v>
      </c>
      <c r="Q63" s="1170">
        <f>H72+H77+H89+H95+H111+H115</f>
        <v>793.9</v>
      </c>
      <c r="R63" s="1170">
        <f>I72+I77+I89+I95+I111+I115</f>
        <v>800.9</v>
      </c>
    </row>
    <row r="64" spans="1:18" s="2" customFormat="1" ht="15" customHeight="1" x14ac:dyDescent="0.25">
      <c r="A64" s="1010"/>
      <c r="B64" s="1011"/>
      <c r="C64" s="1091"/>
      <c r="D64" s="1060"/>
      <c r="E64" s="1112"/>
      <c r="F64" s="306" t="s">
        <v>79</v>
      </c>
      <c r="G64" s="952">
        <v>104</v>
      </c>
      <c r="H64" s="953"/>
      <c r="I64" s="950"/>
      <c r="J64" s="36"/>
      <c r="K64" s="901"/>
      <c r="L64" s="242"/>
      <c r="M64" s="873"/>
      <c r="O64" s="1169" t="s">
        <v>79</v>
      </c>
      <c r="P64" s="1170">
        <f>G73+G78+G90+G112+G116+G127</f>
        <v>104.00000000000001</v>
      </c>
      <c r="Q64" s="1170"/>
      <c r="R64" s="1170"/>
    </row>
    <row r="65" spans="1:18" s="2" customFormat="1" ht="15" customHeight="1" x14ac:dyDescent="0.25">
      <c r="A65" s="1010"/>
      <c r="B65" s="1011"/>
      <c r="C65" s="1091"/>
      <c r="D65" s="1060"/>
      <c r="E65" s="1112"/>
      <c r="F65" s="306" t="s">
        <v>14</v>
      </c>
      <c r="G65" s="952">
        <v>70.400000000000006</v>
      </c>
      <c r="H65" s="953">
        <v>67.400000000000006</v>
      </c>
      <c r="I65" s="950">
        <v>67.400000000000006</v>
      </c>
      <c r="J65" s="36"/>
      <c r="K65" s="901"/>
      <c r="L65" s="242"/>
      <c r="M65" s="873"/>
      <c r="O65" s="1169" t="s">
        <v>14</v>
      </c>
      <c r="P65" s="1170">
        <f>G74+G81+G91+G99+G113+G119+G121+G128+G126</f>
        <v>70.400000000000006</v>
      </c>
      <c r="Q65" s="1170">
        <f>H119+H126</f>
        <v>67.400000000000006</v>
      </c>
      <c r="R65" s="1170">
        <f>I119+I126</f>
        <v>67.400000000000006</v>
      </c>
    </row>
    <row r="66" spans="1:18" s="2" customFormat="1" ht="15" customHeight="1" x14ac:dyDescent="0.25">
      <c r="A66" s="1010"/>
      <c r="B66" s="1011"/>
      <c r="C66" s="1091"/>
      <c r="D66" s="1060"/>
      <c r="E66" s="1112"/>
      <c r="F66" s="306" t="s">
        <v>111</v>
      </c>
      <c r="G66" s="952">
        <v>96.5</v>
      </c>
      <c r="H66" s="953"/>
      <c r="I66" s="950"/>
      <c r="J66" s="36"/>
      <c r="K66" s="901"/>
      <c r="L66" s="242"/>
      <c r="M66" s="873"/>
      <c r="O66" s="1169" t="s">
        <v>39</v>
      </c>
      <c r="P66" s="1170">
        <f t="shared" ref="P66:R67" si="3">G79</f>
        <v>6</v>
      </c>
      <c r="Q66" s="1170">
        <f t="shared" si="3"/>
        <v>6</v>
      </c>
      <c r="R66" s="1170">
        <f t="shared" si="3"/>
        <v>6</v>
      </c>
    </row>
    <row r="67" spans="1:18" s="2" customFormat="1" ht="15" customHeight="1" x14ac:dyDescent="0.25">
      <c r="A67" s="1010"/>
      <c r="B67" s="1011"/>
      <c r="C67" s="1091"/>
      <c r="D67" s="1060"/>
      <c r="E67" s="1112"/>
      <c r="F67" s="306" t="s">
        <v>112</v>
      </c>
      <c r="G67" s="952">
        <v>7.3</v>
      </c>
      <c r="H67" s="953"/>
      <c r="I67" s="950"/>
      <c r="J67" s="36"/>
      <c r="K67" s="901"/>
      <c r="L67" s="242"/>
      <c r="M67" s="873"/>
      <c r="O67" s="1169" t="s">
        <v>30</v>
      </c>
      <c r="P67" s="1170">
        <f t="shared" si="3"/>
        <v>23</v>
      </c>
      <c r="Q67" s="1170">
        <f t="shared" si="3"/>
        <v>23</v>
      </c>
      <c r="R67" s="1170">
        <f t="shared" si="3"/>
        <v>23</v>
      </c>
    </row>
    <row r="68" spans="1:18" s="2" customFormat="1" ht="15" customHeight="1" x14ac:dyDescent="0.25">
      <c r="A68" s="1010"/>
      <c r="B68" s="1011"/>
      <c r="C68" s="1091"/>
      <c r="D68" s="1060"/>
      <c r="E68" s="1112"/>
      <c r="F68" s="306" t="s">
        <v>30</v>
      </c>
      <c r="G68" s="952">
        <v>23</v>
      </c>
      <c r="H68" s="953">
        <v>23</v>
      </c>
      <c r="I68" s="950">
        <v>23</v>
      </c>
      <c r="J68" s="36"/>
      <c r="K68" s="901"/>
      <c r="L68" s="242"/>
      <c r="M68" s="873"/>
      <c r="O68" s="1169" t="s">
        <v>111</v>
      </c>
      <c r="P68" s="1170">
        <f>G102</f>
        <v>96.5</v>
      </c>
      <c r="Q68" s="1170"/>
      <c r="R68" s="1170"/>
    </row>
    <row r="69" spans="1:18" s="2" customFormat="1" ht="15" customHeight="1" x14ac:dyDescent="0.25">
      <c r="A69" s="1010"/>
      <c r="B69" s="1011"/>
      <c r="C69" s="1091"/>
      <c r="D69" s="1060"/>
      <c r="E69" s="1112"/>
      <c r="F69" s="53" t="s">
        <v>39</v>
      </c>
      <c r="G69" s="736">
        <v>6</v>
      </c>
      <c r="H69" s="737">
        <v>6</v>
      </c>
      <c r="I69" s="738">
        <v>6</v>
      </c>
      <c r="J69" s="36"/>
      <c r="K69" s="901"/>
      <c r="L69" s="242"/>
      <c r="M69" s="873"/>
      <c r="O69" s="1169" t="s">
        <v>112</v>
      </c>
      <c r="P69" s="1170">
        <f>G101</f>
        <v>7.3</v>
      </c>
      <c r="Q69" s="1170"/>
      <c r="R69" s="1170"/>
    </row>
    <row r="70" spans="1:18" s="2" customFormat="1" ht="13.5" customHeight="1" x14ac:dyDescent="0.25">
      <c r="A70" s="354"/>
      <c r="B70" s="355"/>
      <c r="C70" s="362"/>
      <c r="D70" s="1412" t="s">
        <v>222</v>
      </c>
      <c r="E70" s="814" t="s">
        <v>265</v>
      </c>
      <c r="F70" s="1182" t="s">
        <v>137</v>
      </c>
      <c r="G70" s="1183">
        <v>524.4</v>
      </c>
      <c r="H70" s="1179">
        <v>524.4</v>
      </c>
      <c r="I70" s="1180">
        <v>524.4</v>
      </c>
      <c r="J70" s="1361" t="s">
        <v>78</v>
      </c>
      <c r="K70" s="1490">
        <v>82</v>
      </c>
      <c r="L70" s="1492">
        <v>82</v>
      </c>
      <c r="M70" s="1484">
        <v>82</v>
      </c>
      <c r="P70" s="880"/>
      <c r="Q70" s="880"/>
      <c r="R70" s="880"/>
    </row>
    <row r="71" spans="1:18" s="2" customFormat="1" ht="4.5" customHeight="1" x14ac:dyDescent="0.25">
      <c r="A71" s="354"/>
      <c r="B71" s="355"/>
      <c r="C71" s="362"/>
      <c r="D71" s="1393"/>
      <c r="E71" s="1112"/>
      <c r="F71" s="1182" t="s">
        <v>214</v>
      </c>
      <c r="G71" s="1183">
        <v>56.2</v>
      </c>
      <c r="H71" s="1179">
        <v>56.2</v>
      </c>
      <c r="I71" s="1180">
        <v>56.2</v>
      </c>
      <c r="J71" s="1360"/>
      <c r="K71" s="1491"/>
      <c r="L71" s="1493"/>
      <c r="M71" s="1485"/>
      <c r="P71" s="880"/>
      <c r="Q71" s="880"/>
      <c r="R71" s="880"/>
    </row>
    <row r="72" spans="1:18" s="2" customFormat="1" ht="16.899999999999999" customHeight="1" x14ac:dyDescent="0.25">
      <c r="A72" s="354"/>
      <c r="B72" s="355"/>
      <c r="C72" s="362"/>
      <c r="D72" s="1393"/>
      <c r="E72" s="1112"/>
      <c r="F72" s="1182" t="s">
        <v>215</v>
      </c>
      <c r="G72" s="1183">
        <v>440</v>
      </c>
      <c r="H72" s="1179">
        <v>442</v>
      </c>
      <c r="I72" s="1180">
        <v>444</v>
      </c>
      <c r="J72" s="1361" t="s">
        <v>261</v>
      </c>
      <c r="K72" s="139">
        <v>4</v>
      </c>
      <c r="L72" s="913"/>
      <c r="M72" s="439"/>
      <c r="N72" s="1350"/>
      <c r="O72" s="1351"/>
      <c r="P72" s="1351"/>
    </row>
    <row r="73" spans="1:18" s="2" customFormat="1" ht="9" customHeight="1" x14ac:dyDescent="0.25">
      <c r="A73" s="354"/>
      <c r="B73" s="355"/>
      <c r="C73" s="362"/>
      <c r="D73" s="1393"/>
      <c r="E73" s="1112"/>
      <c r="F73" s="1182" t="s">
        <v>216</v>
      </c>
      <c r="G73" s="1178">
        <v>62.7</v>
      </c>
      <c r="H73" s="1179"/>
      <c r="I73" s="1180"/>
      <c r="J73" s="1359"/>
      <c r="K73" s="139"/>
      <c r="L73" s="967"/>
      <c r="M73" s="951"/>
    </row>
    <row r="74" spans="1:18" s="2" customFormat="1" ht="15" customHeight="1" x14ac:dyDescent="0.25">
      <c r="A74" s="515"/>
      <c r="B74" s="514"/>
      <c r="C74" s="512"/>
      <c r="D74" s="513"/>
      <c r="E74" s="814"/>
      <c r="F74" s="1182" t="s">
        <v>213</v>
      </c>
      <c r="G74" s="1183">
        <v>0.4</v>
      </c>
      <c r="H74" s="1179"/>
      <c r="I74" s="1180"/>
      <c r="J74" s="1360"/>
      <c r="K74" s="1027"/>
      <c r="L74" s="1029"/>
      <c r="M74" s="988"/>
    </row>
    <row r="75" spans="1:18" s="2" customFormat="1" ht="15.6" customHeight="1" x14ac:dyDescent="0.25">
      <c r="A75" s="354"/>
      <c r="B75" s="355"/>
      <c r="C75" s="362"/>
      <c r="D75" s="1412" t="s">
        <v>149</v>
      </c>
      <c r="E75" s="807" t="s">
        <v>167</v>
      </c>
      <c r="F75" s="1182" t="s">
        <v>137</v>
      </c>
      <c r="G75" s="1183">
        <v>1171.7</v>
      </c>
      <c r="H75" s="1179">
        <v>1171.7</v>
      </c>
      <c r="I75" s="1180">
        <v>1171.7</v>
      </c>
      <c r="J75" s="1488" t="s">
        <v>148</v>
      </c>
      <c r="K75" s="1135">
        <v>160</v>
      </c>
      <c r="L75" s="231">
        <v>160</v>
      </c>
      <c r="M75" s="453">
        <v>160</v>
      </c>
    </row>
    <row r="76" spans="1:18" s="2" customFormat="1" ht="15.6" customHeight="1" x14ac:dyDescent="0.25">
      <c r="A76" s="354"/>
      <c r="B76" s="355"/>
      <c r="C76" s="362"/>
      <c r="D76" s="1393"/>
      <c r="E76" s="814" t="s">
        <v>264</v>
      </c>
      <c r="F76" s="1182" t="s">
        <v>214</v>
      </c>
      <c r="G76" s="1183">
        <v>347.6</v>
      </c>
      <c r="H76" s="1179">
        <v>347.6</v>
      </c>
      <c r="I76" s="1180">
        <v>347.6</v>
      </c>
      <c r="J76" s="1489"/>
      <c r="K76" s="651"/>
      <c r="L76" s="652"/>
      <c r="M76" s="630"/>
    </row>
    <row r="77" spans="1:18" s="2" customFormat="1" ht="27" customHeight="1" x14ac:dyDescent="0.25">
      <c r="A77" s="354"/>
      <c r="B77" s="355"/>
      <c r="C77" s="362"/>
      <c r="D77" s="384"/>
      <c r="E77" s="814"/>
      <c r="F77" s="1182" t="s">
        <v>215</v>
      </c>
      <c r="G77" s="1183">
        <v>169.1</v>
      </c>
      <c r="H77" s="1179">
        <v>170</v>
      </c>
      <c r="I77" s="1180">
        <v>175</v>
      </c>
      <c r="J77" s="1488" t="s">
        <v>151</v>
      </c>
      <c r="K77" s="1136" t="s">
        <v>267</v>
      </c>
      <c r="L77" s="627" t="s">
        <v>267</v>
      </c>
      <c r="M77" s="626" t="s">
        <v>267</v>
      </c>
      <c r="N77" s="1350"/>
      <c r="O77" s="1351"/>
      <c r="P77" s="1351"/>
    </row>
    <row r="78" spans="1:18" s="2" customFormat="1" ht="27" customHeight="1" x14ac:dyDescent="0.25">
      <c r="A78" s="354"/>
      <c r="B78" s="355"/>
      <c r="C78" s="362"/>
      <c r="D78" s="384"/>
      <c r="E78" s="814"/>
      <c r="F78" s="1182" t="s">
        <v>216</v>
      </c>
      <c r="G78" s="1183">
        <v>15.4</v>
      </c>
      <c r="H78" s="1179"/>
      <c r="I78" s="1180"/>
      <c r="J78" s="1489"/>
      <c r="K78" s="651"/>
      <c r="L78" s="652"/>
      <c r="M78" s="454"/>
    </row>
    <row r="79" spans="1:18" s="2" customFormat="1" ht="30" customHeight="1" x14ac:dyDescent="0.25">
      <c r="A79" s="354"/>
      <c r="B79" s="355"/>
      <c r="C79" s="362"/>
      <c r="D79" s="384"/>
      <c r="E79" s="1579"/>
      <c r="F79" s="1182" t="s">
        <v>217</v>
      </c>
      <c r="G79" s="1183">
        <v>6</v>
      </c>
      <c r="H79" s="1179">
        <v>6</v>
      </c>
      <c r="I79" s="1180">
        <v>6</v>
      </c>
      <c r="J79" s="1145" t="s">
        <v>119</v>
      </c>
      <c r="K79" s="136">
        <v>250</v>
      </c>
      <c r="L79" s="241">
        <v>250</v>
      </c>
      <c r="M79" s="455">
        <v>250</v>
      </c>
    </row>
    <row r="80" spans="1:18" s="2" customFormat="1" ht="30.75" customHeight="1" x14ac:dyDescent="0.25">
      <c r="A80" s="354"/>
      <c r="B80" s="355"/>
      <c r="C80" s="362"/>
      <c r="D80" s="384"/>
      <c r="E80" s="1579"/>
      <c r="F80" s="1182" t="s">
        <v>218</v>
      </c>
      <c r="G80" s="1183">
        <v>23</v>
      </c>
      <c r="H80" s="1179">
        <v>23</v>
      </c>
      <c r="I80" s="1174">
        <v>23</v>
      </c>
      <c r="J80" s="1000" t="s">
        <v>152</v>
      </c>
      <c r="K80" s="1137" t="s">
        <v>189</v>
      </c>
      <c r="L80" s="628" t="s">
        <v>189</v>
      </c>
      <c r="M80" s="855" t="s">
        <v>189</v>
      </c>
    </row>
    <row r="81" spans="1:14" s="2" customFormat="1" ht="39.75" customHeight="1" x14ac:dyDescent="0.25">
      <c r="A81" s="515"/>
      <c r="B81" s="514"/>
      <c r="C81" s="512"/>
      <c r="D81" s="513"/>
      <c r="E81" s="1115"/>
      <c r="F81" s="1182" t="s">
        <v>213</v>
      </c>
      <c r="G81" s="1178">
        <v>0.5</v>
      </c>
      <c r="H81" s="1179"/>
      <c r="I81" s="1174"/>
      <c r="J81" s="1000" t="s">
        <v>261</v>
      </c>
      <c r="K81" s="1137" t="s">
        <v>300</v>
      </c>
      <c r="L81" s="628"/>
      <c r="M81" s="229"/>
    </row>
    <row r="82" spans="1:14" s="2" customFormat="1" ht="21.6" customHeight="1" x14ac:dyDescent="0.25">
      <c r="A82" s="354"/>
      <c r="B82" s="355"/>
      <c r="C82" s="362"/>
      <c r="D82" s="1412" t="s">
        <v>104</v>
      </c>
      <c r="E82" s="807" t="s">
        <v>167</v>
      </c>
      <c r="F82" s="1182" t="s">
        <v>137</v>
      </c>
      <c r="G82" s="1183">
        <v>735.8</v>
      </c>
      <c r="H82" s="1179">
        <v>735.8</v>
      </c>
      <c r="I82" s="1180">
        <v>735.8</v>
      </c>
      <c r="J82" s="1342" t="s">
        <v>120</v>
      </c>
      <c r="K82" s="647">
        <v>70</v>
      </c>
      <c r="L82" s="915">
        <v>70</v>
      </c>
      <c r="M82" s="456">
        <v>70</v>
      </c>
    </row>
    <row r="83" spans="1:14" s="2" customFormat="1" ht="21.6" customHeight="1" x14ac:dyDescent="0.25">
      <c r="A83" s="354"/>
      <c r="B83" s="355"/>
      <c r="C83" s="362"/>
      <c r="D83" s="1393"/>
      <c r="E83" s="814" t="s">
        <v>264</v>
      </c>
      <c r="F83" s="1182" t="s">
        <v>214</v>
      </c>
      <c r="G83" s="1178">
        <v>139.4</v>
      </c>
      <c r="H83" s="1179">
        <v>139.4</v>
      </c>
      <c r="I83" s="1180">
        <v>139.4</v>
      </c>
      <c r="J83" s="1343"/>
      <c r="K83" s="654"/>
      <c r="L83" s="916"/>
      <c r="M83" s="457"/>
    </row>
    <row r="84" spans="1:14" s="2" customFormat="1" ht="24.75" customHeight="1" x14ac:dyDescent="0.25">
      <c r="A84" s="693"/>
      <c r="B84" s="692"/>
      <c r="C84" s="690"/>
      <c r="D84" s="691"/>
      <c r="E84" s="814" t="s">
        <v>265</v>
      </c>
      <c r="F84" s="1182" t="s">
        <v>137</v>
      </c>
      <c r="G84" s="1183">
        <v>0.7</v>
      </c>
      <c r="H84" s="1179"/>
      <c r="I84" s="1180"/>
      <c r="J84" s="1034" t="s">
        <v>268</v>
      </c>
      <c r="K84" s="654">
        <v>1</v>
      </c>
      <c r="L84" s="916"/>
      <c r="M84" s="457"/>
    </row>
    <row r="85" spans="1:14" s="2" customFormat="1" ht="17.25" customHeight="1" x14ac:dyDescent="0.25">
      <c r="A85" s="693"/>
      <c r="B85" s="692"/>
      <c r="C85" s="690"/>
      <c r="D85" s="691"/>
      <c r="E85" s="814"/>
      <c r="F85" s="1182" t="s">
        <v>214</v>
      </c>
      <c r="G85" s="1183">
        <v>0.7</v>
      </c>
      <c r="H85" s="1179"/>
      <c r="I85" s="1180"/>
      <c r="J85" s="1034" t="s">
        <v>269</v>
      </c>
      <c r="K85" s="654">
        <v>1</v>
      </c>
      <c r="L85" s="916"/>
      <c r="M85" s="457"/>
    </row>
    <row r="86" spans="1:14" s="2" customFormat="1" ht="16.5" customHeight="1" x14ac:dyDescent="0.25">
      <c r="A86" s="693"/>
      <c r="B86" s="692"/>
      <c r="C86" s="690"/>
      <c r="D86" s="691"/>
      <c r="E86" s="814"/>
      <c r="F86" s="1182" t="s">
        <v>137</v>
      </c>
      <c r="G86" s="1183">
        <v>0.8</v>
      </c>
      <c r="H86" s="1179"/>
      <c r="I86" s="1180"/>
      <c r="J86" s="1034" t="s">
        <v>270</v>
      </c>
      <c r="K86" s="654">
        <v>1</v>
      </c>
      <c r="L86" s="916"/>
      <c r="M86" s="457"/>
    </row>
    <row r="87" spans="1:14" s="2" customFormat="1" ht="18" customHeight="1" x14ac:dyDescent="0.25">
      <c r="A87" s="693"/>
      <c r="B87" s="692"/>
      <c r="C87" s="690"/>
      <c r="D87" s="691"/>
      <c r="E87" s="814"/>
      <c r="F87" s="1182" t="s">
        <v>214</v>
      </c>
      <c r="G87" s="1183">
        <v>6</v>
      </c>
      <c r="H87" s="1179"/>
      <c r="I87" s="1180"/>
      <c r="J87" s="1034" t="s">
        <v>271</v>
      </c>
      <c r="K87" s="654">
        <v>7</v>
      </c>
      <c r="L87" s="916"/>
      <c r="M87" s="457"/>
    </row>
    <row r="88" spans="1:14" s="2" customFormat="1" ht="18" customHeight="1" x14ac:dyDescent="0.25">
      <c r="A88" s="693"/>
      <c r="B88" s="692"/>
      <c r="C88" s="690"/>
      <c r="D88" s="691"/>
      <c r="E88" s="814"/>
      <c r="F88" s="1182" t="s">
        <v>214</v>
      </c>
      <c r="G88" s="1183">
        <v>3</v>
      </c>
      <c r="H88" s="1179"/>
      <c r="I88" s="1180"/>
      <c r="J88" s="1034" t="s">
        <v>272</v>
      </c>
      <c r="K88" s="654">
        <v>33</v>
      </c>
      <c r="L88" s="916"/>
      <c r="M88" s="457"/>
    </row>
    <row r="89" spans="1:14" s="2" customFormat="1" ht="38.25" customHeight="1" x14ac:dyDescent="0.25">
      <c r="A89" s="693"/>
      <c r="B89" s="692"/>
      <c r="C89" s="690"/>
      <c r="D89" s="158"/>
      <c r="E89" s="1112"/>
      <c r="F89" s="1182" t="s">
        <v>215</v>
      </c>
      <c r="G89" s="1183">
        <v>108.4</v>
      </c>
      <c r="H89" s="1179">
        <v>108.4</v>
      </c>
      <c r="I89" s="1180">
        <v>108.4</v>
      </c>
      <c r="J89" s="1034" t="s">
        <v>273</v>
      </c>
      <c r="K89" s="654">
        <v>42</v>
      </c>
      <c r="L89" s="916">
        <v>42</v>
      </c>
      <c r="M89" s="458">
        <v>42</v>
      </c>
    </row>
    <row r="90" spans="1:14" s="2" customFormat="1" ht="53.25" customHeight="1" x14ac:dyDescent="0.25">
      <c r="A90" s="693"/>
      <c r="B90" s="692"/>
      <c r="C90" s="690"/>
      <c r="D90" s="158"/>
      <c r="E90" s="390"/>
      <c r="F90" s="1182" t="s">
        <v>216</v>
      </c>
      <c r="G90" s="1183">
        <v>16.7</v>
      </c>
      <c r="H90" s="1179"/>
      <c r="I90" s="1180"/>
      <c r="J90" s="1132" t="s">
        <v>285</v>
      </c>
      <c r="K90" s="655">
        <v>70</v>
      </c>
      <c r="L90" s="225">
        <v>70</v>
      </c>
      <c r="M90" s="459">
        <v>70</v>
      </c>
    </row>
    <row r="91" spans="1:14" s="2" customFormat="1" ht="41.25" customHeight="1" x14ac:dyDescent="0.25">
      <c r="A91" s="515"/>
      <c r="B91" s="514"/>
      <c r="C91" s="512"/>
      <c r="D91" s="158"/>
      <c r="E91" s="390"/>
      <c r="F91" s="1182" t="s">
        <v>213</v>
      </c>
      <c r="G91" s="1183">
        <v>0.4</v>
      </c>
      <c r="H91" s="1179"/>
      <c r="I91" s="1180"/>
      <c r="J91" s="1132" t="s">
        <v>261</v>
      </c>
      <c r="K91" s="655">
        <v>4</v>
      </c>
      <c r="L91" s="225"/>
      <c r="M91" s="459"/>
    </row>
    <row r="92" spans="1:14" s="2" customFormat="1" ht="64.5" customHeight="1" x14ac:dyDescent="0.25">
      <c r="A92" s="354"/>
      <c r="B92" s="355"/>
      <c r="C92" s="362"/>
      <c r="D92" s="1356" t="s">
        <v>40</v>
      </c>
      <c r="E92" s="837" t="s">
        <v>264</v>
      </c>
      <c r="F92" s="1182" t="s">
        <v>137</v>
      </c>
      <c r="G92" s="1183">
        <v>1036.8</v>
      </c>
      <c r="H92" s="1179">
        <v>1036.8</v>
      </c>
      <c r="I92" s="1180">
        <v>1036.8</v>
      </c>
      <c r="J92" s="902" t="s">
        <v>274</v>
      </c>
      <c r="K92" s="136">
        <v>450</v>
      </c>
      <c r="L92" s="241">
        <v>450</v>
      </c>
      <c r="M92" s="437">
        <v>450</v>
      </c>
      <c r="N92" s="919"/>
    </row>
    <row r="93" spans="1:14" s="2" customFormat="1" ht="18.75" customHeight="1" x14ac:dyDescent="0.25">
      <c r="A93" s="354"/>
      <c r="B93" s="355"/>
      <c r="C93" s="362"/>
      <c r="D93" s="1357"/>
      <c r="E93" s="390"/>
      <c r="F93" s="1182" t="s">
        <v>214</v>
      </c>
      <c r="G93" s="1183">
        <v>197.9</v>
      </c>
      <c r="H93" s="1179">
        <v>197.9</v>
      </c>
      <c r="I93" s="1180">
        <v>197.9</v>
      </c>
      <c r="J93" s="1477" t="s">
        <v>121</v>
      </c>
      <c r="K93" s="264">
        <v>10</v>
      </c>
      <c r="L93" s="985">
        <v>10</v>
      </c>
      <c r="M93" s="460">
        <v>10</v>
      </c>
    </row>
    <row r="94" spans="1:14" s="2" customFormat="1" ht="14.25" customHeight="1" x14ac:dyDescent="0.25">
      <c r="A94" s="982"/>
      <c r="B94" s="983"/>
      <c r="C94" s="984"/>
      <c r="D94" s="1357"/>
      <c r="E94" s="390"/>
      <c r="F94" s="1182" t="s">
        <v>223</v>
      </c>
      <c r="G94" s="1183">
        <v>1.1000000000000001</v>
      </c>
      <c r="H94" s="1179"/>
      <c r="I94" s="1180"/>
      <c r="J94" s="1478"/>
      <c r="K94" s="137"/>
      <c r="L94" s="242"/>
      <c r="M94" s="442"/>
    </row>
    <row r="95" spans="1:14" s="2" customFormat="1" ht="29.25" customHeight="1" x14ac:dyDescent="0.25">
      <c r="A95" s="354"/>
      <c r="B95" s="355"/>
      <c r="C95" s="362"/>
      <c r="D95" s="1357"/>
      <c r="E95" s="87"/>
      <c r="F95" s="1182" t="s">
        <v>215</v>
      </c>
      <c r="G95" s="1183">
        <v>0.7</v>
      </c>
      <c r="H95" s="1179">
        <v>0.7</v>
      </c>
      <c r="I95" s="1174">
        <v>0.7</v>
      </c>
      <c r="J95" s="1000" t="s">
        <v>291</v>
      </c>
      <c r="K95" s="298">
        <v>5</v>
      </c>
      <c r="L95" s="241">
        <v>5</v>
      </c>
      <c r="M95" s="437">
        <v>5</v>
      </c>
    </row>
    <row r="96" spans="1:14" s="2" customFormat="1" ht="42" customHeight="1" x14ac:dyDescent="0.25">
      <c r="A96" s="354"/>
      <c r="B96" s="355"/>
      <c r="C96" s="362"/>
      <c r="D96" s="172"/>
      <c r="E96" s="390"/>
      <c r="F96" s="1182" t="s">
        <v>216</v>
      </c>
      <c r="G96" s="1183"/>
      <c r="H96" s="1179"/>
      <c r="I96" s="1174"/>
      <c r="J96" s="902" t="s">
        <v>153</v>
      </c>
      <c r="K96" s="1138" t="s">
        <v>275</v>
      </c>
      <c r="L96" s="244" t="s">
        <v>275</v>
      </c>
      <c r="M96" s="632" t="s">
        <v>275</v>
      </c>
    </row>
    <row r="97" spans="1:16" s="2" customFormat="1" ht="41.25" customHeight="1" x14ac:dyDescent="0.25">
      <c r="A97" s="354"/>
      <c r="B97" s="355"/>
      <c r="C97" s="362"/>
      <c r="D97" s="172"/>
      <c r="E97" s="390"/>
      <c r="F97" s="1171"/>
      <c r="G97" s="1172"/>
      <c r="H97" s="1173"/>
      <c r="I97" s="1174"/>
      <c r="J97" s="1000" t="s">
        <v>282</v>
      </c>
      <c r="K97" s="136">
        <v>150</v>
      </c>
      <c r="L97" s="241">
        <v>150</v>
      </c>
      <c r="M97" s="437">
        <v>150</v>
      </c>
    </row>
    <row r="98" spans="1:16" s="2" customFormat="1" ht="23.25" customHeight="1" x14ac:dyDescent="0.25">
      <c r="A98" s="840"/>
      <c r="B98" s="841"/>
      <c r="C98" s="843"/>
      <c r="D98" s="172"/>
      <c r="E98" s="390"/>
      <c r="F98" s="1171"/>
      <c r="G98" s="1172"/>
      <c r="H98" s="1173"/>
      <c r="I98" s="1174"/>
      <c r="J98" s="1477" t="s">
        <v>261</v>
      </c>
      <c r="K98" s="1603">
        <v>6</v>
      </c>
      <c r="L98" s="1481"/>
      <c r="M98" s="1484"/>
    </row>
    <row r="99" spans="1:16" s="2" customFormat="1" ht="15.75" customHeight="1" x14ac:dyDescent="0.25">
      <c r="A99" s="515"/>
      <c r="B99" s="514"/>
      <c r="C99" s="512"/>
      <c r="D99" s="751"/>
      <c r="E99" s="390"/>
      <c r="F99" s="1171" t="s">
        <v>213</v>
      </c>
      <c r="G99" s="1185">
        <v>0.6</v>
      </c>
      <c r="H99" s="1173"/>
      <c r="I99" s="1174"/>
      <c r="J99" s="1478"/>
      <c r="K99" s="1604"/>
      <c r="L99" s="1605"/>
      <c r="M99" s="1485"/>
    </row>
    <row r="100" spans="1:16" s="2" customFormat="1" ht="42" customHeight="1" x14ac:dyDescent="0.25">
      <c r="A100" s="693"/>
      <c r="B100" s="692"/>
      <c r="C100" s="690"/>
      <c r="D100" s="931" t="s">
        <v>307</v>
      </c>
      <c r="E100" s="814" t="s">
        <v>276</v>
      </c>
      <c r="F100" s="1171" t="s">
        <v>137</v>
      </c>
      <c r="G100" s="1185">
        <v>50.5</v>
      </c>
      <c r="H100" s="1173"/>
      <c r="I100" s="1174"/>
      <c r="J100" s="1009" t="s">
        <v>140</v>
      </c>
      <c r="K100" s="901">
        <v>1</v>
      </c>
      <c r="L100" s="242"/>
      <c r="M100" s="439"/>
    </row>
    <row r="101" spans="1:16" s="1" customFormat="1" ht="21.75" customHeight="1" x14ac:dyDescent="0.25">
      <c r="A101" s="1380"/>
      <c r="B101" s="1383"/>
      <c r="C101" s="1390"/>
      <c r="D101" s="1365" t="s">
        <v>236</v>
      </c>
      <c r="E101" s="1396" t="s">
        <v>264</v>
      </c>
      <c r="F101" s="1171" t="s">
        <v>220</v>
      </c>
      <c r="G101" s="1185">
        <v>7.3</v>
      </c>
      <c r="H101" s="1173"/>
      <c r="I101" s="1180"/>
      <c r="J101" s="1030" t="s">
        <v>143</v>
      </c>
      <c r="K101" s="1139">
        <v>1</v>
      </c>
      <c r="L101" s="917"/>
      <c r="M101" s="460"/>
    </row>
    <row r="102" spans="1:16" s="1" customFormat="1" ht="35.25" customHeight="1" x14ac:dyDescent="0.25">
      <c r="A102" s="1380"/>
      <c r="B102" s="1383"/>
      <c r="C102" s="1390"/>
      <c r="D102" s="1366"/>
      <c r="E102" s="1396"/>
      <c r="F102" s="1182" t="s">
        <v>221</v>
      </c>
      <c r="G102" s="1183">
        <v>96.5</v>
      </c>
      <c r="H102" s="1179"/>
      <c r="I102" s="1180"/>
      <c r="J102" s="1030" t="s">
        <v>144</v>
      </c>
      <c r="K102" s="1139">
        <v>6</v>
      </c>
      <c r="L102" s="917"/>
      <c r="M102" s="460"/>
    </row>
    <row r="103" spans="1:16" s="1" customFormat="1" ht="24.75" customHeight="1" x14ac:dyDescent="0.25">
      <c r="A103" s="1380"/>
      <c r="B103" s="1383"/>
      <c r="C103" s="1390"/>
      <c r="D103" s="1367"/>
      <c r="E103" s="1396"/>
      <c r="F103" s="1182"/>
      <c r="G103" s="1178"/>
      <c r="H103" s="1179"/>
      <c r="I103" s="1180"/>
      <c r="J103" s="1146"/>
      <c r="K103" s="656"/>
      <c r="L103" s="918"/>
      <c r="M103" s="461"/>
    </row>
    <row r="104" spans="1:16" s="2" customFormat="1" ht="17.25" customHeight="1" x14ac:dyDescent="0.25">
      <c r="A104" s="354"/>
      <c r="B104" s="355"/>
      <c r="C104" s="362"/>
      <c r="D104" s="1597" t="s">
        <v>150</v>
      </c>
      <c r="E104" s="837" t="s">
        <v>264</v>
      </c>
      <c r="F104" s="345" t="s">
        <v>137</v>
      </c>
      <c r="G104" s="328">
        <v>0.7</v>
      </c>
      <c r="H104" s="325">
        <v>0.7</v>
      </c>
      <c r="I104" s="326">
        <v>0.7</v>
      </c>
      <c r="J104" s="858" t="s">
        <v>295</v>
      </c>
      <c r="K104" s="520">
        <v>4</v>
      </c>
      <c r="L104" s="223">
        <v>4</v>
      </c>
      <c r="M104" s="437">
        <v>4</v>
      </c>
      <c r="N104" s="1352"/>
      <c r="O104" s="1353"/>
      <c r="P104" s="1353"/>
    </row>
    <row r="105" spans="1:16" s="2" customFormat="1" ht="27" customHeight="1" x14ac:dyDescent="0.25">
      <c r="A105" s="938"/>
      <c r="B105" s="937"/>
      <c r="C105" s="939"/>
      <c r="D105" s="1598"/>
      <c r="E105" s="837"/>
      <c r="F105" s="345"/>
      <c r="G105" s="324"/>
      <c r="H105" s="325"/>
      <c r="I105" s="326"/>
      <c r="J105" s="858" t="s">
        <v>140</v>
      </c>
      <c r="K105" s="520">
        <v>1</v>
      </c>
      <c r="L105" s="223">
        <v>1</v>
      </c>
      <c r="M105" s="437">
        <v>1</v>
      </c>
      <c r="N105" s="936"/>
      <c r="O105" s="936"/>
      <c r="P105" s="936"/>
    </row>
    <row r="106" spans="1:16" s="2" customFormat="1" ht="18.75" customHeight="1" x14ac:dyDescent="0.25">
      <c r="A106" s="354"/>
      <c r="B106" s="355"/>
      <c r="C106" s="362"/>
      <c r="D106" s="1597" t="s">
        <v>96</v>
      </c>
      <c r="E106" s="837" t="s">
        <v>264</v>
      </c>
      <c r="F106" s="345" t="s">
        <v>137</v>
      </c>
      <c r="G106" s="328">
        <v>2.1</v>
      </c>
      <c r="H106" s="325">
        <v>2.1</v>
      </c>
      <c r="I106" s="326">
        <v>2.1</v>
      </c>
      <c r="J106" s="1147" t="s">
        <v>295</v>
      </c>
      <c r="K106" s="520">
        <v>5</v>
      </c>
      <c r="L106" s="223">
        <v>5</v>
      </c>
      <c r="M106" s="437">
        <v>5</v>
      </c>
    </row>
    <row r="107" spans="1:16" s="2" customFormat="1" ht="26.25" customHeight="1" x14ac:dyDescent="0.25">
      <c r="A107" s="938"/>
      <c r="B107" s="937"/>
      <c r="C107" s="939"/>
      <c r="D107" s="1598"/>
      <c r="E107" s="837"/>
      <c r="F107" s="345"/>
      <c r="G107" s="328"/>
      <c r="H107" s="325"/>
      <c r="I107" s="326"/>
      <c r="J107" s="1061" t="s">
        <v>140</v>
      </c>
      <c r="K107" s="139">
        <v>2</v>
      </c>
      <c r="L107" s="949">
        <v>2</v>
      </c>
      <c r="M107" s="951">
        <v>2</v>
      </c>
    </row>
    <row r="108" spans="1:16" s="2" customFormat="1" ht="18" customHeight="1" x14ac:dyDescent="0.25">
      <c r="A108" s="354"/>
      <c r="B108" s="355"/>
      <c r="C108" s="362"/>
      <c r="D108" s="1356" t="s">
        <v>105</v>
      </c>
      <c r="E108" s="1116" t="s">
        <v>264</v>
      </c>
      <c r="F108" s="1182" t="s">
        <v>137</v>
      </c>
      <c r="G108" s="1178">
        <v>767.3</v>
      </c>
      <c r="H108" s="1179">
        <v>767.3</v>
      </c>
      <c r="I108" s="1180">
        <v>767.3</v>
      </c>
      <c r="J108" s="308" t="s">
        <v>78</v>
      </c>
      <c r="K108" s="54">
        <v>171</v>
      </c>
      <c r="L108" s="911">
        <v>171</v>
      </c>
      <c r="M108" s="842">
        <v>171</v>
      </c>
      <c r="N108" s="92"/>
    </row>
    <row r="109" spans="1:16" s="2" customFormat="1" ht="15" customHeight="1" x14ac:dyDescent="0.25">
      <c r="A109" s="354"/>
      <c r="B109" s="355"/>
      <c r="C109" s="362"/>
      <c r="D109" s="1357"/>
      <c r="E109" s="837"/>
      <c r="F109" s="1182" t="s">
        <v>214</v>
      </c>
      <c r="G109" s="1183">
        <v>166.4</v>
      </c>
      <c r="H109" s="1179">
        <v>166.4</v>
      </c>
      <c r="I109" s="1180">
        <v>166.4</v>
      </c>
      <c r="J109" s="1361" t="s">
        <v>296</v>
      </c>
      <c r="K109" s="1606">
        <v>3</v>
      </c>
      <c r="L109" s="1492">
        <v>3</v>
      </c>
      <c r="M109" s="981">
        <v>3</v>
      </c>
      <c r="N109" s="92"/>
    </row>
    <row r="110" spans="1:16" s="2" customFormat="1" ht="10.5" customHeight="1" x14ac:dyDescent="0.25">
      <c r="A110" s="982"/>
      <c r="B110" s="983"/>
      <c r="C110" s="984"/>
      <c r="D110" s="1357"/>
      <c r="E110" s="837"/>
      <c r="F110" s="1182" t="s">
        <v>223</v>
      </c>
      <c r="G110" s="1183">
        <v>4.0999999999999996</v>
      </c>
      <c r="H110" s="1179"/>
      <c r="I110" s="1180"/>
      <c r="J110" s="1359"/>
      <c r="K110" s="1607"/>
      <c r="L110" s="1609"/>
      <c r="M110" s="1610"/>
      <c r="N110" s="92"/>
    </row>
    <row r="111" spans="1:16" s="2" customFormat="1" ht="17.25" customHeight="1" x14ac:dyDescent="0.25">
      <c r="A111" s="354"/>
      <c r="B111" s="355"/>
      <c r="C111" s="362"/>
      <c r="D111" s="1357"/>
      <c r="E111" s="390"/>
      <c r="F111" s="1182" t="s">
        <v>215</v>
      </c>
      <c r="G111" s="1183">
        <v>10.8</v>
      </c>
      <c r="H111" s="1179">
        <v>10.8</v>
      </c>
      <c r="I111" s="1180">
        <v>10.8</v>
      </c>
      <c r="J111" s="1360"/>
      <c r="K111" s="1608"/>
      <c r="L111" s="1493"/>
      <c r="M111" s="1485"/>
    </row>
    <row r="112" spans="1:16" s="2" customFormat="1" ht="67.5" customHeight="1" x14ac:dyDescent="0.25">
      <c r="A112" s="515"/>
      <c r="B112" s="514"/>
      <c r="C112" s="512"/>
      <c r="D112" s="1357"/>
      <c r="E112" s="390"/>
      <c r="F112" s="1182" t="s">
        <v>216</v>
      </c>
      <c r="G112" s="1183">
        <v>0.7</v>
      </c>
      <c r="H112" s="1179"/>
      <c r="I112" s="1180"/>
      <c r="J112" s="858" t="s">
        <v>277</v>
      </c>
      <c r="K112" s="520">
        <v>15</v>
      </c>
      <c r="L112" s="641">
        <v>15</v>
      </c>
      <c r="M112" s="859">
        <v>15</v>
      </c>
    </row>
    <row r="113" spans="1:16" s="2" customFormat="1" ht="39.75" customHeight="1" x14ac:dyDescent="0.25">
      <c r="A113" s="354"/>
      <c r="B113" s="355"/>
      <c r="C113" s="362"/>
      <c r="D113" s="1358"/>
      <c r="E113" s="390"/>
      <c r="F113" s="1182" t="s">
        <v>213</v>
      </c>
      <c r="G113" s="1183">
        <v>0.3</v>
      </c>
      <c r="H113" s="1179"/>
      <c r="I113" s="1180"/>
      <c r="J113" s="309" t="s">
        <v>261</v>
      </c>
      <c r="K113" s="522">
        <v>2</v>
      </c>
      <c r="L113" s="912"/>
      <c r="M113" s="462"/>
    </row>
    <row r="114" spans="1:16" s="2" customFormat="1" ht="13.5" customHeight="1" x14ac:dyDescent="0.25">
      <c r="A114" s="354"/>
      <c r="B114" s="355"/>
      <c r="C114" s="362"/>
      <c r="D114" s="1356" t="s">
        <v>106</v>
      </c>
      <c r="E114" s="837" t="s">
        <v>264</v>
      </c>
      <c r="F114" s="1182" t="s">
        <v>214</v>
      </c>
      <c r="G114" s="1183">
        <v>726.8</v>
      </c>
      <c r="H114" s="1179">
        <v>726.8</v>
      </c>
      <c r="I114" s="1180">
        <v>726.8</v>
      </c>
      <c r="J114" s="1361" t="s">
        <v>102</v>
      </c>
      <c r="K114" s="1140">
        <v>60</v>
      </c>
      <c r="L114" s="954">
        <v>60</v>
      </c>
      <c r="M114" s="955">
        <v>60</v>
      </c>
      <c r="N114" s="1350"/>
      <c r="O114" s="1351"/>
      <c r="P114" s="1351"/>
    </row>
    <row r="115" spans="1:16" s="2" customFormat="1" ht="12" customHeight="1" x14ac:dyDescent="0.25">
      <c r="A115" s="354"/>
      <c r="B115" s="355"/>
      <c r="C115" s="362"/>
      <c r="D115" s="1357"/>
      <c r="E115" s="837" t="s">
        <v>265</v>
      </c>
      <c r="F115" s="1182" t="s">
        <v>215</v>
      </c>
      <c r="G115" s="1183">
        <v>62</v>
      </c>
      <c r="H115" s="1179">
        <v>62</v>
      </c>
      <c r="I115" s="1180">
        <v>62</v>
      </c>
      <c r="J115" s="1359"/>
      <c r="K115" s="1141"/>
      <c r="L115" s="949"/>
      <c r="M115" s="951"/>
      <c r="N115" s="1350"/>
      <c r="O115" s="1351"/>
      <c r="P115" s="1351"/>
    </row>
    <row r="116" spans="1:16" s="2" customFormat="1" ht="6" customHeight="1" x14ac:dyDescent="0.25">
      <c r="A116" s="354"/>
      <c r="B116" s="355"/>
      <c r="C116" s="362"/>
      <c r="D116" s="1357"/>
      <c r="E116" s="837"/>
      <c r="F116" s="1182" t="s">
        <v>216</v>
      </c>
      <c r="G116" s="1183">
        <v>7.4</v>
      </c>
      <c r="H116" s="1179"/>
      <c r="I116" s="1180"/>
      <c r="J116" s="1360"/>
      <c r="K116" s="1142"/>
      <c r="L116" s="920"/>
      <c r="M116" s="921"/>
      <c r="N116" s="1350"/>
      <c r="O116" s="1351"/>
      <c r="P116" s="1351"/>
    </row>
    <row r="117" spans="1:16" s="2" customFormat="1" ht="17.25" customHeight="1" x14ac:dyDescent="0.25">
      <c r="A117" s="354"/>
      <c r="B117" s="355"/>
      <c r="C117" s="362"/>
      <c r="D117" s="1357"/>
      <c r="E117" s="837"/>
      <c r="F117" s="1182" t="s">
        <v>137</v>
      </c>
      <c r="G117" s="1183">
        <v>282.2</v>
      </c>
      <c r="H117" s="1179">
        <v>282.2</v>
      </c>
      <c r="I117" s="1180">
        <v>282.2</v>
      </c>
      <c r="J117" s="1359" t="s">
        <v>132</v>
      </c>
      <c r="K117" s="139">
        <v>12</v>
      </c>
      <c r="L117" s="913">
        <v>12</v>
      </c>
      <c r="M117" s="439">
        <v>12</v>
      </c>
    </row>
    <row r="118" spans="1:16" s="2" customFormat="1" ht="9" customHeight="1" x14ac:dyDescent="0.25">
      <c r="A118" s="354"/>
      <c r="B118" s="355"/>
      <c r="C118" s="362"/>
      <c r="D118" s="1357"/>
      <c r="E118" s="837"/>
      <c r="F118" s="1182" t="s">
        <v>214</v>
      </c>
      <c r="G118" s="1183">
        <v>58.8</v>
      </c>
      <c r="H118" s="1179">
        <v>58.8</v>
      </c>
      <c r="I118" s="1180">
        <v>58.8</v>
      </c>
      <c r="J118" s="1359"/>
      <c r="K118" s="139"/>
      <c r="L118" s="913"/>
      <c r="M118" s="439"/>
    </row>
    <row r="119" spans="1:16" s="2" customFormat="1" ht="4.5" customHeight="1" x14ac:dyDescent="0.25">
      <c r="A119" s="515"/>
      <c r="B119" s="514"/>
      <c r="C119" s="512"/>
      <c r="D119" s="1357"/>
      <c r="E119" s="837"/>
      <c r="F119" s="1182" t="s">
        <v>213</v>
      </c>
      <c r="G119" s="1183">
        <v>50.5</v>
      </c>
      <c r="H119" s="1179">
        <v>50.5</v>
      </c>
      <c r="I119" s="1180">
        <v>50.5</v>
      </c>
      <c r="J119" s="1360"/>
      <c r="K119" s="522"/>
      <c r="L119" s="912"/>
      <c r="M119" s="914"/>
    </row>
    <row r="120" spans="1:16" s="2" customFormat="1" ht="26.25" customHeight="1" x14ac:dyDescent="0.25">
      <c r="A120" s="840"/>
      <c r="B120" s="841"/>
      <c r="C120" s="843"/>
      <c r="D120" s="1357"/>
      <c r="E120" s="837"/>
      <c r="F120" s="1182" t="s">
        <v>137</v>
      </c>
      <c r="G120" s="1183"/>
      <c r="H120" s="1179">
        <v>122</v>
      </c>
      <c r="I120" s="1180"/>
      <c r="J120" s="1009" t="s">
        <v>283</v>
      </c>
      <c r="K120" s="136"/>
      <c r="L120" s="223">
        <v>100</v>
      </c>
      <c r="M120" s="437"/>
    </row>
    <row r="121" spans="1:16" s="2" customFormat="1" ht="41.25" customHeight="1" x14ac:dyDescent="0.25">
      <c r="A121" s="354"/>
      <c r="B121" s="355"/>
      <c r="C121" s="362"/>
      <c r="D121" s="1358"/>
      <c r="E121" s="837"/>
      <c r="F121" s="1182" t="s">
        <v>213</v>
      </c>
      <c r="G121" s="1183">
        <v>0.5</v>
      </c>
      <c r="H121" s="1179"/>
      <c r="I121" s="1180"/>
      <c r="J121" s="1148" t="s">
        <v>261</v>
      </c>
      <c r="K121" s="1164">
        <v>5</v>
      </c>
      <c r="L121" s="657"/>
      <c r="M121" s="463"/>
    </row>
    <row r="122" spans="1:16" s="2" customFormat="1" ht="12.75" customHeight="1" x14ac:dyDescent="0.25">
      <c r="A122" s="354"/>
      <c r="B122" s="355"/>
      <c r="C122" s="362"/>
      <c r="D122" s="1357" t="s">
        <v>41</v>
      </c>
      <c r="E122" s="837" t="s">
        <v>264</v>
      </c>
      <c r="F122" s="1182" t="s">
        <v>137</v>
      </c>
      <c r="G122" s="1178">
        <v>1088.3</v>
      </c>
      <c r="H122" s="1179">
        <v>1088.3</v>
      </c>
      <c r="I122" s="1180">
        <v>1088.3</v>
      </c>
      <c r="J122" s="1361" t="s">
        <v>122</v>
      </c>
      <c r="K122" s="1490">
        <v>56</v>
      </c>
      <c r="L122" s="1492">
        <v>56</v>
      </c>
      <c r="M122" s="1484">
        <v>56</v>
      </c>
    </row>
    <row r="123" spans="1:16" s="2" customFormat="1" ht="12.75" customHeight="1" x14ac:dyDescent="0.25">
      <c r="A123" s="59"/>
      <c r="B123" s="692"/>
      <c r="C123" s="690"/>
      <c r="D123" s="1357"/>
      <c r="E123" s="837" t="s">
        <v>265</v>
      </c>
      <c r="F123" s="1182" t="s">
        <v>214</v>
      </c>
      <c r="G123" s="1183">
        <v>251.6</v>
      </c>
      <c r="H123" s="1179">
        <v>251.6</v>
      </c>
      <c r="I123" s="1180">
        <v>251.6</v>
      </c>
      <c r="J123" s="1360"/>
      <c r="K123" s="1491"/>
      <c r="L123" s="1493"/>
      <c r="M123" s="1485"/>
    </row>
    <row r="124" spans="1:16" s="2" customFormat="1" ht="16.5" customHeight="1" x14ac:dyDescent="0.25">
      <c r="A124" s="59"/>
      <c r="B124" s="355"/>
      <c r="C124" s="362"/>
      <c r="D124" s="1357"/>
      <c r="E124" s="837"/>
      <c r="F124" s="1182"/>
      <c r="G124" s="1183"/>
      <c r="H124" s="1179"/>
      <c r="I124" s="1180"/>
      <c r="J124" s="1361" t="s">
        <v>278</v>
      </c>
      <c r="K124" s="139">
        <v>3</v>
      </c>
      <c r="L124" s="913">
        <v>3</v>
      </c>
      <c r="M124" s="439">
        <v>3</v>
      </c>
    </row>
    <row r="125" spans="1:16" s="2" customFormat="1" ht="16.5" customHeight="1" x14ac:dyDescent="0.25">
      <c r="A125" s="59"/>
      <c r="B125" s="983"/>
      <c r="C125" s="984"/>
      <c r="D125" s="1357"/>
      <c r="E125" s="837"/>
      <c r="F125" s="1182" t="s">
        <v>223</v>
      </c>
      <c r="G125" s="1183">
        <v>1.5</v>
      </c>
      <c r="H125" s="1179"/>
      <c r="I125" s="1180"/>
      <c r="J125" s="1359"/>
      <c r="K125" s="139"/>
      <c r="L125" s="967"/>
      <c r="M125" s="951"/>
    </row>
    <row r="126" spans="1:16" s="2" customFormat="1" ht="16.5" customHeight="1" x14ac:dyDescent="0.25">
      <c r="A126" s="59"/>
      <c r="B126" s="355"/>
      <c r="C126" s="362"/>
      <c r="D126" s="1357"/>
      <c r="E126" s="837"/>
      <c r="F126" s="1182" t="s">
        <v>213</v>
      </c>
      <c r="G126" s="1183">
        <v>16.899999999999999</v>
      </c>
      <c r="H126" s="1179">
        <v>16.899999999999999</v>
      </c>
      <c r="I126" s="1180">
        <v>16.899999999999999</v>
      </c>
      <c r="J126" s="1359"/>
      <c r="K126" s="139"/>
      <c r="L126" s="913"/>
      <c r="M126" s="439"/>
    </row>
    <row r="127" spans="1:16" s="2" customFormat="1" ht="44.25" customHeight="1" x14ac:dyDescent="0.25">
      <c r="A127" s="59"/>
      <c r="B127" s="514"/>
      <c r="C127" s="512"/>
      <c r="D127" s="1357"/>
      <c r="E127" s="837"/>
      <c r="F127" s="1182" t="s">
        <v>216</v>
      </c>
      <c r="G127" s="1178">
        <v>1.1000000000000001</v>
      </c>
      <c r="H127" s="1179"/>
      <c r="I127" s="1180"/>
      <c r="J127" s="1360"/>
      <c r="K127" s="522"/>
      <c r="L127" s="912"/>
      <c r="M127" s="914"/>
    </row>
    <row r="128" spans="1:16" s="2" customFormat="1" ht="39" customHeight="1" x14ac:dyDescent="0.25">
      <c r="A128" s="59"/>
      <c r="B128" s="355"/>
      <c r="C128" s="362"/>
      <c r="D128" s="1357"/>
      <c r="E128" s="391"/>
      <c r="F128" s="1182" t="s">
        <v>213</v>
      </c>
      <c r="G128" s="1183">
        <v>0.3</v>
      </c>
      <c r="H128" s="1179"/>
      <c r="I128" s="1180"/>
      <c r="J128" s="902" t="s">
        <v>261</v>
      </c>
      <c r="K128" s="901">
        <v>3</v>
      </c>
      <c r="L128" s="242"/>
      <c r="M128" s="464"/>
      <c r="N128" s="880"/>
    </row>
    <row r="129" spans="1:18" s="2" customFormat="1" ht="30.75" customHeight="1" x14ac:dyDescent="0.25">
      <c r="A129" s="898"/>
      <c r="B129" s="899"/>
      <c r="C129" s="68"/>
      <c r="D129" s="1335" t="s">
        <v>287</v>
      </c>
      <c r="E129" s="807" t="s">
        <v>264</v>
      </c>
      <c r="F129" s="1171"/>
      <c r="G129" s="1195"/>
      <c r="H129" s="1196"/>
      <c r="I129" s="1192"/>
      <c r="J129" s="308"/>
      <c r="K129" s="54"/>
      <c r="L129" s="1334"/>
      <c r="M129" s="1336"/>
    </row>
    <row r="130" spans="1:18" s="2" customFormat="1" ht="18" customHeight="1" x14ac:dyDescent="0.25">
      <c r="A130" s="898"/>
      <c r="B130" s="899"/>
      <c r="C130" s="68"/>
      <c r="D130" s="1197" t="s">
        <v>288</v>
      </c>
      <c r="E130" s="814"/>
      <c r="F130" s="1171" t="s">
        <v>137</v>
      </c>
      <c r="G130" s="1195">
        <v>203.7</v>
      </c>
      <c r="H130" s="1196">
        <v>210</v>
      </c>
      <c r="I130" s="1192">
        <v>210</v>
      </c>
      <c r="J130" s="309" t="s">
        <v>97</v>
      </c>
      <c r="K130" s="1027">
        <v>9</v>
      </c>
      <c r="L130" s="1029">
        <v>9</v>
      </c>
      <c r="M130" s="1052">
        <v>9</v>
      </c>
      <c r="O130" s="901"/>
    </row>
    <row r="131" spans="1:18" s="2" customFormat="1" ht="27.75" customHeight="1" x14ac:dyDescent="0.25">
      <c r="A131" s="898"/>
      <c r="B131" s="899"/>
      <c r="C131" s="68"/>
      <c r="D131" s="158"/>
      <c r="E131" s="876"/>
      <c r="F131" s="1171"/>
      <c r="G131" s="1194"/>
      <c r="H131" s="1191"/>
      <c r="I131" s="1192"/>
      <c r="J131" s="858" t="s">
        <v>179</v>
      </c>
      <c r="K131" s="520">
        <v>5</v>
      </c>
      <c r="L131" s="223">
        <v>5</v>
      </c>
      <c r="M131" s="443">
        <v>5</v>
      </c>
    </row>
    <row r="132" spans="1:18" s="2" customFormat="1" ht="42" customHeight="1" x14ac:dyDescent="0.25">
      <c r="A132" s="898"/>
      <c r="B132" s="899"/>
      <c r="C132" s="68"/>
      <c r="D132" s="877"/>
      <c r="E132" s="876"/>
      <c r="F132" s="1171"/>
      <c r="G132" s="1190"/>
      <c r="H132" s="1191"/>
      <c r="I132" s="1192"/>
      <c r="J132" s="902" t="s">
        <v>180</v>
      </c>
      <c r="K132" s="136">
        <v>3</v>
      </c>
      <c r="L132" s="241">
        <v>3</v>
      </c>
      <c r="M132" s="443">
        <v>3</v>
      </c>
    </row>
    <row r="133" spans="1:18" s="2" customFormat="1" ht="42.75" customHeight="1" x14ac:dyDescent="0.25">
      <c r="A133" s="898"/>
      <c r="B133" s="899"/>
      <c r="C133" s="68"/>
      <c r="D133" s="900" t="s">
        <v>289</v>
      </c>
      <c r="E133" s="811"/>
      <c r="F133" s="1175" t="s">
        <v>137</v>
      </c>
      <c r="G133" s="1184">
        <v>54.6</v>
      </c>
      <c r="H133" s="1176">
        <v>54.6</v>
      </c>
      <c r="I133" s="1177">
        <v>54.6</v>
      </c>
      <c r="J133" s="1133" t="s">
        <v>290</v>
      </c>
      <c r="K133" s="264">
        <v>7</v>
      </c>
      <c r="L133" s="1069">
        <v>7</v>
      </c>
      <c r="M133" s="1051">
        <v>7</v>
      </c>
    </row>
    <row r="134" spans="1:18" s="14" customFormat="1" ht="16.5" customHeight="1" thickBot="1" x14ac:dyDescent="0.3">
      <c r="A134" s="60"/>
      <c r="B134" s="357"/>
      <c r="C134" s="48"/>
      <c r="D134" s="1372" t="s">
        <v>27</v>
      </c>
      <c r="E134" s="1373"/>
      <c r="F134" s="1374"/>
      <c r="G134" s="680">
        <f>SUM(G60:G69)</f>
        <v>8976.1</v>
      </c>
      <c r="H134" s="682">
        <f>SUM(H60:H69)</f>
        <v>8828.1</v>
      </c>
      <c r="I134" s="327">
        <f>SUM(I60:I69)</f>
        <v>8713.1</v>
      </c>
      <c r="J134" s="1149"/>
      <c r="K134" s="1193"/>
      <c r="L134" s="1070"/>
      <c r="M134" s="444"/>
    </row>
    <row r="135" spans="1:18" s="14" customFormat="1" ht="21.75" customHeight="1" x14ac:dyDescent="0.25">
      <c r="A135" s="1398" t="s">
        <v>10</v>
      </c>
      <c r="B135" s="1613" t="s">
        <v>28</v>
      </c>
      <c r="C135" s="1400" t="s">
        <v>28</v>
      </c>
      <c r="D135" s="1611" t="s">
        <v>241</v>
      </c>
      <c r="E135" s="838" t="s">
        <v>265</v>
      </c>
      <c r="F135" s="1199" t="s">
        <v>16</v>
      </c>
      <c r="G135" s="1200">
        <v>295.5</v>
      </c>
      <c r="H135" s="1201">
        <v>321.7</v>
      </c>
      <c r="I135" s="1198">
        <v>354.4</v>
      </c>
      <c r="J135" s="1205"/>
      <c r="K135" s="1206"/>
      <c r="L135" s="587"/>
      <c r="M135" s="466"/>
    </row>
    <row r="136" spans="1:18" s="14" customFormat="1" ht="18.75" customHeight="1" x14ac:dyDescent="0.25">
      <c r="A136" s="1399"/>
      <c r="B136" s="1614"/>
      <c r="C136" s="1401"/>
      <c r="D136" s="1612"/>
      <c r="E136" s="1301"/>
      <c r="F136" s="607" t="s">
        <v>206</v>
      </c>
      <c r="G136" s="649">
        <v>666.7</v>
      </c>
      <c r="H136" s="650">
        <v>659.7</v>
      </c>
      <c r="I136" s="417">
        <v>659.7</v>
      </c>
      <c r="J136" s="1009"/>
      <c r="K136" s="1207"/>
      <c r="L136" s="564"/>
      <c r="M136" s="441"/>
    </row>
    <row r="137" spans="1:18" s="15" customFormat="1" ht="25.15" customHeight="1" x14ac:dyDescent="0.25">
      <c r="A137" s="1399"/>
      <c r="B137" s="1614"/>
      <c r="C137" s="1401"/>
      <c r="D137" s="1615" t="s">
        <v>243</v>
      </c>
      <c r="E137" s="1109" t="s">
        <v>264</v>
      </c>
      <c r="F137" s="1171" t="s">
        <v>137</v>
      </c>
      <c r="G137" s="1202">
        <v>295.5</v>
      </c>
      <c r="H137" s="1196">
        <v>321.7</v>
      </c>
      <c r="I137" s="1204">
        <v>354.4</v>
      </c>
      <c r="J137" s="1403" t="s">
        <v>88</v>
      </c>
      <c r="K137" s="264">
        <v>146</v>
      </c>
      <c r="L137" s="957">
        <v>150</v>
      </c>
      <c r="M137" s="958">
        <v>155</v>
      </c>
      <c r="N137" s="1350"/>
      <c r="O137" s="1351"/>
      <c r="P137" s="1351"/>
    </row>
    <row r="138" spans="1:18" s="15" customFormat="1" ht="31.5" customHeight="1" x14ac:dyDescent="0.25">
      <c r="A138" s="381"/>
      <c r="B138" s="379"/>
      <c r="C138" s="377"/>
      <c r="D138" s="1616"/>
      <c r="E138" s="1111"/>
      <c r="F138" s="1171" t="s">
        <v>214</v>
      </c>
      <c r="G138" s="1195">
        <v>659.7</v>
      </c>
      <c r="H138" s="1196">
        <v>659.7</v>
      </c>
      <c r="I138" s="1204">
        <v>659.7</v>
      </c>
      <c r="J138" s="1404"/>
      <c r="K138" s="925"/>
      <c r="L138" s="926"/>
      <c r="M138" s="927"/>
      <c r="N138" s="1350"/>
      <c r="O138" s="1351"/>
      <c r="P138" s="1351"/>
      <c r="Q138" s="16"/>
    </row>
    <row r="139" spans="1:18" s="15" customFormat="1" ht="28.5" customHeight="1" x14ac:dyDescent="0.25">
      <c r="A139" s="381"/>
      <c r="B139" s="379"/>
      <c r="C139" s="377"/>
      <c r="D139" s="491" t="s">
        <v>242</v>
      </c>
      <c r="E139" s="837" t="s">
        <v>264</v>
      </c>
      <c r="F139" s="1175" t="s">
        <v>214</v>
      </c>
      <c r="G139" s="1188">
        <v>7</v>
      </c>
      <c r="H139" s="1189"/>
      <c r="I139" s="1203"/>
      <c r="J139" s="1150" t="s">
        <v>244</v>
      </c>
      <c r="K139" s="635">
        <v>1</v>
      </c>
      <c r="L139" s="234"/>
      <c r="M139" s="477"/>
      <c r="Q139" s="16"/>
    </row>
    <row r="140" spans="1:18" s="16" customFormat="1" ht="15.75" customHeight="1" thickBot="1" x14ac:dyDescent="0.3">
      <c r="A140" s="382"/>
      <c r="B140" s="380"/>
      <c r="C140" s="378"/>
      <c r="D140" s="492"/>
      <c r="E140" s="392"/>
      <c r="F140" s="1122" t="s">
        <v>20</v>
      </c>
      <c r="G140" s="302">
        <f>SUM(G135:G136)</f>
        <v>962.2</v>
      </c>
      <c r="H140" s="197">
        <f>SUM(H135:H136)</f>
        <v>981.40000000000009</v>
      </c>
      <c r="I140" s="302">
        <f>SUM(I135:I136)</f>
        <v>1014.1</v>
      </c>
      <c r="J140" s="533"/>
      <c r="K140" s="660"/>
      <c r="L140" s="250"/>
      <c r="M140" s="493"/>
    </row>
    <row r="141" spans="1:18" s="1" customFormat="1" ht="42" customHeight="1" x14ac:dyDescent="0.25">
      <c r="A141" s="61" t="s">
        <v>10</v>
      </c>
      <c r="B141" s="17" t="s">
        <v>28</v>
      </c>
      <c r="C141" s="103" t="s">
        <v>31</v>
      </c>
      <c r="D141" s="1377" t="s">
        <v>42</v>
      </c>
      <c r="E141" s="393"/>
      <c r="F141" s="1318" t="s">
        <v>16</v>
      </c>
      <c r="G141" s="1319">
        <v>190.3</v>
      </c>
      <c r="H141" s="290">
        <v>190.3</v>
      </c>
      <c r="I141" s="1320">
        <v>190.3</v>
      </c>
      <c r="J141" s="1151"/>
      <c r="K141" s="13"/>
      <c r="L141" s="509"/>
      <c r="M141" s="434"/>
      <c r="O141" s="1211" t="s">
        <v>16</v>
      </c>
      <c r="P141" s="1212">
        <f>G144+G146</f>
        <v>190.3</v>
      </c>
      <c r="Q141" s="1212">
        <f>H144+H146</f>
        <v>190.3</v>
      </c>
      <c r="R141" s="1212">
        <f>I144+I146</f>
        <v>190.3</v>
      </c>
    </row>
    <row r="142" spans="1:18" s="1" customFormat="1" ht="52.5" customHeight="1" x14ac:dyDescent="0.25">
      <c r="A142" s="62"/>
      <c r="B142" s="18"/>
      <c r="C142" s="364"/>
      <c r="D142" s="1584"/>
      <c r="E142" s="1117"/>
      <c r="F142" s="990" t="s">
        <v>206</v>
      </c>
      <c r="G142" s="773">
        <v>1276.5999999999999</v>
      </c>
      <c r="H142" s="774">
        <v>1329.9</v>
      </c>
      <c r="I142" s="1213">
        <v>1383.1</v>
      </c>
      <c r="J142" s="1152"/>
      <c r="K142" s="639"/>
      <c r="L142" s="236"/>
      <c r="M142" s="462"/>
      <c r="O142" s="1211" t="s">
        <v>206</v>
      </c>
      <c r="P142" s="1212">
        <f>G143+G147+G149+G151+G153+G154</f>
        <v>1276.5999999999999</v>
      </c>
      <c r="Q142" s="1212">
        <f>H143+H147+H149+H151+H153+H154</f>
        <v>1329.9</v>
      </c>
      <c r="R142" s="1212">
        <f>I143+I147+I149+I151+I153+I154</f>
        <v>1383.1</v>
      </c>
    </row>
    <row r="143" spans="1:18" s="1" customFormat="1" ht="55.5" customHeight="1" x14ac:dyDescent="0.25">
      <c r="A143" s="62"/>
      <c r="B143" s="18"/>
      <c r="C143" s="364"/>
      <c r="D143" s="386" t="s">
        <v>81</v>
      </c>
      <c r="E143" s="816" t="s">
        <v>293</v>
      </c>
      <c r="F143" s="1171" t="s">
        <v>214</v>
      </c>
      <c r="G143" s="1195">
        <v>82.6</v>
      </c>
      <c r="H143" s="1196">
        <v>82.6</v>
      </c>
      <c r="I143" s="1192">
        <v>82.6</v>
      </c>
      <c r="J143" s="1022" t="s">
        <v>195</v>
      </c>
      <c r="K143" s="639">
        <v>13</v>
      </c>
      <c r="L143" s="236">
        <v>13</v>
      </c>
      <c r="M143" s="462">
        <v>13</v>
      </c>
      <c r="O143" s="1211" t="s">
        <v>310</v>
      </c>
      <c r="P143" s="1212">
        <f>SUM(P141:P142)</f>
        <v>1466.8999999999999</v>
      </c>
      <c r="Q143" s="1212">
        <f>SUM(Q141:Q142)</f>
        <v>1520.2</v>
      </c>
      <c r="R143" s="1212">
        <f>SUM(R141:R142)</f>
        <v>1573.3999999999999</v>
      </c>
    </row>
    <row r="144" spans="1:18" s="1" customFormat="1" ht="41.25" customHeight="1" x14ac:dyDescent="0.25">
      <c r="A144" s="62"/>
      <c r="B144" s="18"/>
      <c r="C144" s="364"/>
      <c r="D144" s="1356" t="s">
        <v>82</v>
      </c>
      <c r="E144" s="807" t="s">
        <v>293</v>
      </c>
      <c r="F144" s="1208" t="s">
        <v>137</v>
      </c>
      <c r="G144" s="1214">
        <v>51.9</v>
      </c>
      <c r="H144" s="1210">
        <v>51.9</v>
      </c>
      <c r="I144" s="1215">
        <v>51.9</v>
      </c>
      <c r="J144" s="1363" t="s">
        <v>123</v>
      </c>
      <c r="K144" s="661">
        <v>14</v>
      </c>
      <c r="L144" s="662">
        <v>14</v>
      </c>
      <c r="M144" s="456">
        <v>14</v>
      </c>
      <c r="O144" s="1211"/>
      <c r="P144" s="1211">
        <f>+P143-G156</f>
        <v>0</v>
      </c>
      <c r="Q144" s="1211">
        <f>+Q143-H156</f>
        <v>0</v>
      </c>
      <c r="R144" s="1211">
        <f>+R143-I156</f>
        <v>0</v>
      </c>
    </row>
    <row r="145" spans="1:18" s="1" customFormat="1" ht="16.5" customHeight="1" x14ac:dyDescent="0.25">
      <c r="A145" s="62"/>
      <c r="B145" s="18"/>
      <c r="C145" s="364"/>
      <c r="D145" s="1358"/>
      <c r="E145" s="814" t="s">
        <v>167</v>
      </c>
      <c r="F145" s="1208"/>
      <c r="G145" s="1209"/>
      <c r="H145" s="1210"/>
      <c r="I145" s="1215"/>
      <c r="J145" s="1364"/>
      <c r="K145" s="663"/>
      <c r="L145" s="243"/>
      <c r="M145" s="457"/>
    </row>
    <row r="146" spans="1:18" s="1" customFormat="1" ht="22.5" customHeight="1" x14ac:dyDescent="0.25">
      <c r="A146" s="62"/>
      <c r="B146" s="18"/>
      <c r="C146" s="364"/>
      <c r="D146" s="1356" t="s">
        <v>230</v>
      </c>
      <c r="E146" s="807" t="s">
        <v>167</v>
      </c>
      <c r="F146" s="1171" t="s">
        <v>137</v>
      </c>
      <c r="G146" s="1195">
        <v>138.4</v>
      </c>
      <c r="H146" s="1196">
        <v>138.4</v>
      </c>
      <c r="I146" s="1192">
        <v>138.4</v>
      </c>
      <c r="J146" s="1582" t="s">
        <v>171</v>
      </c>
      <c r="K146" s="1590">
        <v>80</v>
      </c>
      <c r="L146" s="1580">
        <v>80</v>
      </c>
      <c r="M146" s="1370">
        <v>80</v>
      </c>
    </row>
    <row r="147" spans="1:18" s="1" customFormat="1" ht="21" customHeight="1" x14ac:dyDescent="0.25">
      <c r="A147" s="62"/>
      <c r="B147" s="18"/>
      <c r="C147" s="703"/>
      <c r="D147" s="1357"/>
      <c r="E147" s="814" t="s">
        <v>264</v>
      </c>
      <c r="F147" s="1171" t="s">
        <v>214</v>
      </c>
      <c r="G147" s="1195">
        <v>270.3</v>
      </c>
      <c r="H147" s="1196">
        <v>270.3</v>
      </c>
      <c r="I147" s="1192">
        <v>270.3</v>
      </c>
      <c r="J147" s="1583"/>
      <c r="K147" s="1591"/>
      <c r="L147" s="1581"/>
      <c r="M147" s="1371"/>
    </row>
    <row r="148" spans="1:18" s="1" customFormat="1" ht="15" customHeight="1" x14ac:dyDescent="0.25">
      <c r="A148" s="62"/>
      <c r="B148" s="18"/>
      <c r="C148" s="364"/>
      <c r="D148" s="1357"/>
      <c r="E148" s="814" t="s">
        <v>265</v>
      </c>
      <c r="F148" s="1171"/>
      <c r="G148" s="1202"/>
      <c r="H148" s="1196"/>
      <c r="I148" s="1192"/>
      <c r="J148" s="1146"/>
      <c r="K148" s="1316"/>
      <c r="L148" s="1314"/>
      <c r="M148" s="1307"/>
    </row>
    <row r="149" spans="1:18" s="1" customFormat="1" ht="30" customHeight="1" x14ac:dyDescent="0.25">
      <c r="A149" s="62"/>
      <c r="B149" s="18"/>
      <c r="C149" s="364"/>
      <c r="D149" s="1356" t="s">
        <v>83</v>
      </c>
      <c r="E149" s="807" t="s">
        <v>265</v>
      </c>
      <c r="F149" s="1171" t="s">
        <v>214</v>
      </c>
      <c r="G149" s="1195">
        <v>544.79999999999995</v>
      </c>
      <c r="H149" s="1196">
        <v>544.79999999999995</v>
      </c>
      <c r="I149" s="1192">
        <v>544.79999999999995</v>
      </c>
      <c r="J149" s="1342" t="s">
        <v>124</v>
      </c>
      <c r="K149" s="647">
        <v>300</v>
      </c>
      <c r="L149" s="910">
        <v>200</v>
      </c>
      <c r="M149" s="909">
        <v>200</v>
      </c>
    </row>
    <row r="150" spans="1:18" s="1" customFormat="1" ht="25.5" customHeight="1" x14ac:dyDescent="0.25">
      <c r="A150" s="62"/>
      <c r="B150" s="18"/>
      <c r="C150" s="364"/>
      <c r="D150" s="1358"/>
      <c r="E150" s="816" t="s">
        <v>281</v>
      </c>
      <c r="F150" s="1171"/>
      <c r="G150" s="1195"/>
      <c r="H150" s="1196"/>
      <c r="I150" s="1204"/>
      <c r="J150" s="1343"/>
      <c r="K150" s="654"/>
      <c r="L150" s="263"/>
      <c r="M150" s="293"/>
    </row>
    <row r="151" spans="1:18" s="1" customFormat="1" ht="30" customHeight="1" x14ac:dyDescent="0.25">
      <c r="A151" s="62"/>
      <c r="B151" s="18"/>
      <c r="C151" s="364"/>
      <c r="D151" s="1385" t="s">
        <v>91</v>
      </c>
      <c r="E151" s="1387" t="s">
        <v>264</v>
      </c>
      <c r="F151" s="1171" t="s">
        <v>214</v>
      </c>
      <c r="G151" s="1195">
        <v>35.200000000000003</v>
      </c>
      <c r="H151" s="1196">
        <v>35.200000000000003</v>
      </c>
      <c r="I151" s="1192">
        <v>35.200000000000003</v>
      </c>
      <c r="J151" s="1342" t="s">
        <v>125</v>
      </c>
      <c r="K151" s="1407">
        <v>150</v>
      </c>
      <c r="L151" s="1346">
        <v>150</v>
      </c>
      <c r="M151" s="1348">
        <v>150</v>
      </c>
    </row>
    <row r="152" spans="1:18" s="1" customFormat="1" ht="48" customHeight="1" x14ac:dyDescent="0.25">
      <c r="A152" s="62"/>
      <c r="B152" s="18"/>
      <c r="C152" s="518"/>
      <c r="D152" s="1386"/>
      <c r="E152" s="1388"/>
      <c r="F152" s="1171"/>
      <c r="G152" s="1195"/>
      <c r="H152" s="1196"/>
      <c r="I152" s="1192"/>
      <c r="J152" s="1343"/>
      <c r="K152" s="1408"/>
      <c r="L152" s="1347"/>
      <c r="M152" s="1349"/>
    </row>
    <row r="153" spans="1:18" s="1" customFormat="1" ht="57" customHeight="1" x14ac:dyDescent="0.25">
      <c r="A153" s="354"/>
      <c r="B153" s="355"/>
      <c r="C153" s="362"/>
      <c r="D153" s="261" t="s">
        <v>43</v>
      </c>
      <c r="E153" s="807" t="s">
        <v>264</v>
      </c>
      <c r="F153" s="1171" t="s">
        <v>214</v>
      </c>
      <c r="G153" s="1195">
        <v>24.4</v>
      </c>
      <c r="H153" s="1196">
        <v>24.4</v>
      </c>
      <c r="I153" s="1192">
        <v>24.4</v>
      </c>
      <c r="J153" s="262" t="s">
        <v>126</v>
      </c>
      <c r="K153" s="664">
        <v>20</v>
      </c>
      <c r="L153" s="221">
        <v>20</v>
      </c>
      <c r="M153" s="465">
        <v>20</v>
      </c>
    </row>
    <row r="154" spans="1:18" s="1" customFormat="1" ht="18.600000000000001" customHeight="1" x14ac:dyDescent="0.25">
      <c r="A154" s="354"/>
      <c r="B154" s="355"/>
      <c r="C154" s="362"/>
      <c r="D154" s="1587" t="s">
        <v>197</v>
      </c>
      <c r="E154" s="807" t="s">
        <v>264</v>
      </c>
      <c r="F154" s="1171" t="s">
        <v>214</v>
      </c>
      <c r="G154" s="1202">
        <v>319.3</v>
      </c>
      <c r="H154" s="1196">
        <v>372.6</v>
      </c>
      <c r="I154" s="1204">
        <v>425.8</v>
      </c>
      <c r="J154" s="1342" t="s">
        <v>198</v>
      </c>
      <c r="K154" s="647">
        <v>30</v>
      </c>
      <c r="L154" s="959">
        <v>35</v>
      </c>
      <c r="M154" s="956">
        <v>40</v>
      </c>
      <c r="N154" s="1350"/>
      <c r="O154" s="1351"/>
      <c r="P154" s="1351"/>
    </row>
    <row r="155" spans="1:18" s="1" customFormat="1" ht="10.9" customHeight="1" x14ac:dyDescent="0.25">
      <c r="A155" s="515"/>
      <c r="B155" s="514"/>
      <c r="C155" s="512"/>
      <c r="D155" s="1588"/>
      <c r="E155" s="814" t="s">
        <v>265</v>
      </c>
      <c r="F155" s="1171"/>
      <c r="G155" s="1188"/>
      <c r="H155" s="1189"/>
      <c r="I155" s="1203"/>
      <c r="J155" s="1368"/>
      <c r="K155" s="928"/>
      <c r="L155" s="929"/>
      <c r="M155" s="930"/>
      <c r="N155" s="1350"/>
      <c r="O155" s="1351"/>
      <c r="P155" s="1351"/>
    </row>
    <row r="156" spans="1:18" s="1" customFormat="1" ht="16.149999999999999" customHeight="1" thickBot="1" x14ac:dyDescent="0.3">
      <c r="A156" s="359"/>
      <c r="B156" s="357"/>
      <c r="C156" s="363"/>
      <c r="D156" s="1589"/>
      <c r="E156" s="1118"/>
      <c r="F156" s="341" t="s">
        <v>20</v>
      </c>
      <c r="G156" s="302">
        <f>SUM(G141:G142)</f>
        <v>1466.8999999999999</v>
      </c>
      <c r="H156" s="197">
        <f>SUM(H141:H142)</f>
        <v>1520.2</v>
      </c>
      <c r="I156" s="302">
        <f>SUM(I141:I142)</f>
        <v>1573.3999999999999</v>
      </c>
      <c r="J156" s="1369"/>
      <c r="K156" s="648"/>
      <c r="L156" s="237"/>
      <c r="M156" s="450"/>
      <c r="N156" s="1350"/>
      <c r="O156" s="1351"/>
      <c r="P156" s="1351"/>
    </row>
    <row r="157" spans="1:18" s="1" customFormat="1" ht="15.75" customHeight="1" x14ac:dyDescent="0.25">
      <c r="A157" s="61" t="s">
        <v>10</v>
      </c>
      <c r="B157" s="17" t="s">
        <v>28</v>
      </c>
      <c r="C157" s="103" t="s">
        <v>33</v>
      </c>
      <c r="D157" s="1377" t="s">
        <v>44</v>
      </c>
      <c r="E157" s="141" t="s">
        <v>265</v>
      </c>
      <c r="F157" s="1216" t="s">
        <v>16</v>
      </c>
      <c r="G157" s="1217">
        <v>43.2</v>
      </c>
      <c r="H157" s="1218">
        <v>43.2</v>
      </c>
      <c r="I157" s="1219">
        <v>43.2</v>
      </c>
      <c r="J157" s="785"/>
      <c r="K157" s="13"/>
      <c r="L157" s="509"/>
      <c r="M157" s="466"/>
    </row>
    <row r="158" spans="1:18" s="1" customFormat="1" ht="15.75" customHeight="1" x14ac:dyDescent="0.25">
      <c r="A158" s="62"/>
      <c r="B158" s="18"/>
      <c r="C158" s="364"/>
      <c r="D158" s="1378"/>
      <c r="E158" s="1119"/>
      <c r="F158" s="1220" t="s">
        <v>206</v>
      </c>
      <c r="G158" s="1221">
        <v>110.8</v>
      </c>
      <c r="H158" s="1222">
        <v>110.8</v>
      </c>
      <c r="I158" s="420">
        <v>110.8</v>
      </c>
      <c r="J158" s="786"/>
      <c r="K158" s="12"/>
      <c r="L158" s="239"/>
      <c r="M158" s="467"/>
      <c r="O158" s="1211" t="s">
        <v>16</v>
      </c>
      <c r="P158" s="1212">
        <f t="shared" ref="P158:R159" si="4">G160+G162</f>
        <v>43.2</v>
      </c>
      <c r="Q158" s="1212">
        <f t="shared" si="4"/>
        <v>43.2</v>
      </c>
      <c r="R158" s="1212">
        <f t="shared" si="4"/>
        <v>43.2</v>
      </c>
    </row>
    <row r="159" spans="1:18" s="1" customFormat="1" ht="15.75" customHeight="1" x14ac:dyDescent="0.25">
      <c r="A159" s="62"/>
      <c r="B159" s="18"/>
      <c r="C159" s="1056"/>
      <c r="D159" s="1077"/>
      <c r="E159" s="1119"/>
      <c r="F159" s="990" t="s">
        <v>30</v>
      </c>
      <c r="G159" s="773">
        <v>269.60000000000002</v>
      </c>
      <c r="H159" s="774">
        <v>269.60000000000002</v>
      </c>
      <c r="I159" s="782">
        <v>269.60000000000002</v>
      </c>
      <c r="J159" s="786"/>
      <c r="K159" s="12"/>
      <c r="L159" s="239"/>
      <c r="M159" s="467"/>
      <c r="O159" s="1211" t="s">
        <v>206</v>
      </c>
      <c r="P159" s="1212">
        <f t="shared" si="4"/>
        <v>110.8</v>
      </c>
      <c r="Q159" s="1212">
        <f t="shared" si="4"/>
        <v>110.8</v>
      </c>
      <c r="R159" s="1212">
        <f t="shared" si="4"/>
        <v>110.8</v>
      </c>
    </row>
    <row r="160" spans="1:18" s="1" customFormat="1" ht="20.25" customHeight="1" x14ac:dyDescent="0.25">
      <c r="A160" s="62"/>
      <c r="B160" s="18"/>
      <c r="C160" s="364"/>
      <c r="D160" s="1385" t="s">
        <v>45</v>
      </c>
      <c r="E160" s="807" t="s">
        <v>167</v>
      </c>
      <c r="F160" s="1223" t="s">
        <v>137</v>
      </c>
      <c r="G160" s="1228">
        <v>23.2</v>
      </c>
      <c r="H160" s="1224">
        <v>23.2</v>
      </c>
      <c r="I160" s="1227">
        <v>23.2</v>
      </c>
      <c r="J160" s="1494" t="s">
        <v>238</v>
      </c>
      <c r="K160" s="638">
        <v>20</v>
      </c>
      <c r="L160" s="245">
        <v>20</v>
      </c>
      <c r="M160" s="436">
        <v>20</v>
      </c>
      <c r="O160" s="1211" t="s">
        <v>310</v>
      </c>
      <c r="P160" s="1170">
        <f>+P158+P159+G159</f>
        <v>423.6</v>
      </c>
      <c r="Q160" s="1212"/>
      <c r="R160" s="1212"/>
    </row>
    <row r="161" spans="1:16" s="1" customFormat="1" ht="19.5" customHeight="1" x14ac:dyDescent="0.25">
      <c r="A161" s="62"/>
      <c r="B161" s="18"/>
      <c r="C161" s="364"/>
      <c r="D161" s="1386"/>
      <c r="E161" s="814" t="s">
        <v>264</v>
      </c>
      <c r="F161" s="1223" t="s">
        <v>214</v>
      </c>
      <c r="G161" s="1228">
        <v>76.8</v>
      </c>
      <c r="H161" s="1224">
        <v>76.8</v>
      </c>
      <c r="I161" s="1227">
        <v>76.8</v>
      </c>
      <c r="J161" s="1495"/>
      <c r="K161" s="12"/>
      <c r="L161" s="239"/>
      <c r="M161" s="439"/>
      <c r="P161" s="2"/>
    </row>
    <row r="162" spans="1:16" s="1" customFormat="1" ht="15" customHeight="1" x14ac:dyDescent="0.25">
      <c r="A162" s="1376"/>
      <c r="B162" s="1375"/>
      <c r="C162" s="362"/>
      <c r="D162" s="1592" t="s">
        <v>46</v>
      </c>
      <c r="E162" s="1109" t="s">
        <v>264</v>
      </c>
      <c r="F162" s="1223" t="s">
        <v>137</v>
      </c>
      <c r="G162" s="1228">
        <v>20</v>
      </c>
      <c r="H162" s="1224">
        <v>20</v>
      </c>
      <c r="I162" s="1225">
        <v>20</v>
      </c>
      <c r="J162" s="1405" t="s">
        <v>160</v>
      </c>
      <c r="K162" s="665">
        <v>12</v>
      </c>
      <c r="L162" s="259">
        <v>12</v>
      </c>
      <c r="M162" s="701">
        <v>12</v>
      </c>
    </row>
    <row r="163" spans="1:16" s="1" customFormat="1" ht="17.45" customHeight="1" x14ac:dyDescent="0.25">
      <c r="A163" s="1376"/>
      <c r="B163" s="1375"/>
      <c r="C163" s="362"/>
      <c r="D163" s="1593"/>
      <c r="E163" s="496"/>
      <c r="F163" s="1223" t="s">
        <v>214</v>
      </c>
      <c r="G163" s="1228">
        <v>34</v>
      </c>
      <c r="H163" s="1224">
        <v>34</v>
      </c>
      <c r="I163" s="1227">
        <v>34</v>
      </c>
      <c r="J163" s="1406"/>
      <c r="K163" s="666"/>
      <c r="L163" s="240"/>
      <c r="M163" s="465"/>
    </row>
    <row r="164" spans="1:16" s="1" customFormat="1" ht="16.5" customHeight="1" thickBot="1" x14ac:dyDescent="0.3">
      <c r="A164" s="359"/>
      <c r="B164" s="357"/>
      <c r="C164" s="905"/>
      <c r="D164" s="1594"/>
      <c r="E164" s="1120"/>
      <c r="F164" s="1122" t="s">
        <v>20</v>
      </c>
      <c r="G164" s="302">
        <f>SUM(G157:G159)</f>
        <v>423.6</v>
      </c>
      <c r="H164" s="197">
        <f>SUM(H157:H159)</f>
        <v>423.6</v>
      </c>
      <c r="I164" s="302">
        <f>SUM(I157:I159)</f>
        <v>423.6</v>
      </c>
      <c r="J164" s="787"/>
      <c r="K164" s="1229"/>
      <c r="L164" s="260"/>
      <c r="M164" s="20"/>
    </row>
    <row r="165" spans="1:16" s="1" customFormat="1" ht="16.149999999999999" customHeight="1" x14ac:dyDescent="0.25">
      <c r="A165" s="61" t="s">
        <v>10</v>
      </c>
      <c r="B165" s="17" t="s">
        <v>28</v>
      </c>
      <c r="C165" s="122" t="s">
        <v>34</v>
      </c>
      <c r="D165" s="753" t="s">
        <v>47</v>
      </c>
      <c r="E165" s="838" t="s">
        <v>264</v>
      </c>
      <c r="F165" s="1230" t="s">
        <v>16</v>
      </c>
      <c r="G165" s="1231">
        <v>16.3</v>
      </c>
      <c r="H165" s="1232">
        <v>18.7</v>
      </c>
      <c r="I165" s="428">
        <v>18.7</v>
      </c>
      <c r="J165" s="1402" t="s">
        <v>245</v>
      </c>
      <c r="K165" s="646">
        <v>26</v>
      </c>
      <c r="L165" s="294">
        <v>26</v>
      </c>
      <c r="M165" s="447">
        <v>26</v>
      </c>
    </row>
    <row r="166" spans="1:16" s="1" customFormat="1" ht="16.149999999999999" customHeight="1" x14ac:dyDescent="0.25">
      <c r="A166" s="62"/>
      <c r="B166" s="18"/>
      <c r="C166" s="123"/>
      <c r="D166" s="172"/>
      <c r="E166" s="814" t="s">
        <v>265</v>
      </c>
      <c r="F166" s="1065" t="s">
        <v>206</v>
      </c>
      <c r="G166" s="332">
        <v>98.7</v>
      </c>
      <c r="H166" s="295">
        <v>98.7</v>
      </c>
      <c r="I166" s="777">
        <v>98.7</v>
      </c>
      <c r="J166" s="1343"/>
      <c r="K166" s="654"/>
      <c r="L166" s="700"/>
      <c r="M166" s="702"/>
    </row>
    <row r="167" spans="1:16" s="1" customFormat="1" ht="27" customHeight="1" x14ac:dyDescent="0.25">
      <c r="A167" s="62"/>
      <c r="B167" s="18"/>
      <c r="C167" s="123"/>
      <c r="D167" s="172"/>
      <c r="E167" s="755"/>
      <c r="F167" s="1123" t="s">
        <v>30</v>
      </c>
      <c r="G167" s="710">
        <v>207.7</v>
      </c>
      <c r="H167" s="186">
        <v>207.7</v>
      </c>
      <c r="I167" s="409">
        <v>207.7</v>
      </c>
      <c r="J167" s="1153" t="s">
        <v>136</v>
      </c>
      <c r="K167" s="654">
        <v>5</v>
      </c>
      <c r="L167" s="700">
        <v>5</v>
      </c>
      <c r="M167" s="702">
        <v>5</v>
      </c>
      <c r="O167" s="2"/>
    </row>
    <row r="168" spans="1:16" s="1" customFormat="1" ht="42.75" customHeight="1" x14ac:dyDescent="0.25">
      <c r="A168" s="62"/>
      <c r="B168" s="18"/>
      <c r="C168" s="123"/>
      <c r="D168" s="172"/>
      <c r="E168" s="755"/>
      <c r="F168" s="1124"/>
      <c r="G168" s="778"/>
      <c r="H168" s="199"/>
      <c r="I168" s="779"/>
      <c r="J168" s="1153" t="s">
        <v>89</v>
      </c>
      <c r="K168" s="654">
        <v>10</v>
      </c>
      <c r="L168" s="700">
        <v>10</v>
      </c>
      <c r="M168" s="702">
        <v>10</v>
      </c>
    </row>
    <row r="169" spans="1:16" s="1" customFormat="1" ht="15.6" customHeight="1" x14ac:dyDescent="0.25">
      <c r="A169" s="62"/>
      <c r="B169" s="18"/>
      <c r="C169" s="123"/>
      <c r="D169" s="172"/>
      <c r="E169" s="755"/>
      <c r="F169" s="1124"/>
      <c r="G169" s="778"/>
      <c r="H169" s="199"/>
      <c r="I169" s="758"/>
      <c r="J169" s="1342" t="s">
        <v>100</v>
      </c>
      <c r="K169" s="647">
        <v>36</v>
      </c>
      <c r="L169" s="699">
        <v>36</v>
      </c>
      <c r="M169" s="1348">
        <v>36</v>
      </c>
    </row>
    <row r="170" spans="1:16" s="1" customFormat="1" ht="16.5" customHeight="1" thickBot="1" x14ac:dyDescent="0.3">
      <c r="A170" s="62"/>
      <c r="B170" s="18"/>
      <c r="C170" s="123"/>
      <c r="D170" s="387"/>
      <c r="E170" s="755"/>
      <c r="F170" s="343" t="s">
        <v>20</v>
      </c>
      <c r="G170" s="301">
        <f>SUM(G165:G167)</f>
        <v>322.7</v>
      </c>
      <c r="H170" s="187">
        <f>SUM(H165:H167)</f>
        <v>325.10000000000002</v>
      </c>
      <c r="I170" s="301">
        <f>SUM(I165:I167)</f>
        <v>325.10000000000002</v>
      </c>
      <c r="J170" s="1369"/>
      <c r="K170" s="648"/>
      <c r="L170" s="237"/>
      <c r="M170" s="1362"/>
      <c r="N170" s="2"/>
    </row>
    <row r="171" spans="1:16" s="1" customFormat="1" ht="20.45" customHeight="1" x14ac:dyDescent="0.25">
      <c r="A171" s="358" t="s">
        <v>10</v>
      </c>
      <c r="B171" s="360" t="s">
        <v>28</v>
      </c>
      <c r="C171" s="361" t="s">
        <v>48</v>
      </c>
      <c r="D171" s="1585" t="s">
        <v>92</v>
      </c>
      <c r="E171" s="839" t="s">
        <v>264</v>
      </c>
      <c r="F171" s="989" t="s">
        <v>16</v>
      </c>
      <c r="G171" s="208">
        <v>5.2</v>
      </c>
      <c r="H171" s="200">
        <v>5.2</v>
      </c>
      <c r="I171" s="425">
        <v>5.2</v>
      </c>
      <c r="J171" s="1502" t="s">
        <v>140</v>
      </c>
      <c r="K171" s="13">
        <v>2</v>
      </c>
      <c r="L171" s="509">
        <v>2</v>
      </c>
      <c r="M171" s="469">
        <v>2</v>
      </c>
    </row>
    <row r="172" spans="1:16" s="1" customFormat="1" ht="16.5" customHeight="1" thickBot="1" x14ac:dyDescent="0.3">
      <c r="A172" s="359"/>
      <c r="B172" s="357"/>
      <c r="C172" s="363"/>
      <c r="D172" s="1586"/>
      <c r="E172" s="396"/>
      <c r="F172" s="1122" t="s">
        <v>20</v>
      </c>
      <c r="G172" s="301">
        <f t="shared" ref="G172:I172" si="5">G171</f>
        <v>5.2</v>
      </c>
      <c r="H172" s="187">
        <f t="shared" si="5"/>
        <v>5.2</v>
      </c>
      <c r="I172" s="176">
        <f t="shared" si="5"/>
        <v>5.2</v>
      </c>
      <c r="J172" s="1504"/>
      <c r="K172" s="11"/>
      <c r="L172" s="510"/>
      <c r="M172" s="470"/>
    </row>
    <row r="173" spans="1:16" s="1" customFormat="1" ht="15" customHeight="1" x14ac:dyDescent="0.25">
      <c r="A173" s="1379" t="s">
        <v>10</v>
      </c>
      <c r="B173" s="1382" t="s">
        <v>28</v>
      </c>
      <c r="C173" s="1389" t="s">
        <v>49</v>
      </c>
      <c r="D173" s="1392" t="s">
        <v>94</v>
      </c>
      <c r="E173" s="1395" t="s">
        <v>264</v>
      </c>
      <c r="F173" s="1086" t="s">
        <v>14</v>
      </c>
      <c r="G173" s="718">
        <v>11.9</v>
      </c>
      <c r="H173" s="719"/>
      <c r="I173" s="426"/>
      <c r="J173" s="785" t="s">
        <v>93</v>
      </c>
      <c r="K173" s="13">
        <v>900</v>
      </c>
      <c r="L173" s="509"/>
      <c r="M173" s="466"/>
    </row>
    <row r="174" spans="1:16" s="1" customFormat="1" ht="15" customHeight="1" x14ac:dyDescent="0.25">
      <c r="A174" s="1380"/>
      <c r="B174" s="1383"/>
      <c r="C174" s="1390"/>
      <c r="D174" s="1393"/>
      <c r="E174" s="1396"/>
      <c r="F174" s="548" t="s">
        <v>158</v>
      </c>
      <c r="G174" s="720">
        <v>4</v>
      </c>
      <c r="H174" s="721"/>
      <c r="I174" s="410"/>
      <c r="J174" s="786"/>
      <c r="K174" s="12"/>
      <c r="L174" s="239"/>
      <c r="M174" s="467"/>
    </row>
    <row r="175" spans="1:16" s="1" customFormat="1" ht="15" customHeight="1" x14ac:dyDescent="0.25">
      <c r="A175" s="1380"/>
      <c r="B175" s="1383"/>
      <c r="C175" s="1390"/>
      <c r="D175" s="1393"/>
      <c r="E175" s="1396"/>
      <c r="F175" s="548" t="s">
        <v>111</v>
      </c>
      <c r="G175" s="720">
        <v>285</v>
      </c>
      <c r="H175" s="721"/>
      <c r="I175" s="410"/>
      <c r="J175" s="786"/>
      <c r="K175" s="12"/>
      <c r="L175" s="239"/>
      <c r="M175" s="467"/>
    </row>
    <row r="176" spans="1:16" s="1" customFormat="1" ht="15" customHeight="1" x14ac:dyDescent="0.25">
      <c r="A176" s="1380"/>
      <c r="B176" s="1383"/>
      <c r="C176" s="1390"/>
      <c r="D176" s="1393"/>
      <c r="E176" s="1396"/>
      <c r="F176" s="548" t="s">
        <v>116</v>
      </c>
      <c r="G176" s="710">
        <v>36.6</v>
      </c>
      <c r="H176" s="186"/>
      <c r="I176" s="427"/>
      <c r="J176" s="786"/>
      <c r="K176" s="12"/>
      <c r="L176" s="239"/>
      <c r="M176" s="467"/>
    </row>
    <row r="177" spans="1:18" s="1" customFormat="1" ht="15" customHeight="1" thickBot="1" x14ac:dyDescent="0.3">
      <c r="A177" s="1381"/>
      <c r="B177" s="1384"/>
      <c r="C177" s="1391"/>
      <c r="D177" s="1394"/>
      <c r="E177" s="1397"/>
      <c r="F177" s="341" t="s">
        <v>20</v>
      </c>
      <c r="G177" s="301">
        <f t="shared" ref="G177:I177" si="6">SUM(G173:G176)</f>
        <v>337.5</v>
      </c>
      <c r="H177" s="187">
        <f t="shared" si="6"/>
        <v>0</v>
      </c>
      <c r="I177" s="176">
        <f t="shared" si="6"/>
        <v>0</v>
      </c>
      <c r="J177" s="1154"/>
      <c r="K177" s="11"/>
      <c r="L177" s="510"/>
      <c r="M177" s="471"/>
    </row>
    <row r="178" spans="1:18" s="1" customFormat="1" ht="30" customHeight="1" x14ac:dyDescent="0.25">
      <c r="A178" s="1379" t="s">
        <v>10</v>
      </c>
      <c r="B178" s="1382" t="s">
        <v>28</v>
      </c>
      <c r="C178" s="1389" t="s">
        <v>80</v>
      </c>
      <c r="D178" s="1427" t="s">
        <v>115</v>
      </c>
      <c r="E178" s="1395" t="s">
        <v>264</v>
      </c>
      <c r="F178" s="1233" t="s">
        <v>16</v>
      </c>
      <c r="G178" s="1234">
        <v>21.3</v>
      </c>
      <c r="H178" s="304"/>
      <c r="I178" s="1235"/>
      <c r="J178" s="1002" t="s">
        <v>305</v>
      </c>
      <c r="K178" s="1143">
        <v>120</v>
      </c>
      <c r="L178" s="861"/>
      <c r="M178" s="862"/>
    </row>
    <row r="179" spans="1:18" s="1" customFormat="1" ht="53.25" customHeight="1" x14ac:dyDescent="0.25">
      <c r="A179" s="1380"/>
      <c r="B179" s="1383"/>
      <c r="C179" s="1390"/>
      <c r="D179" s="1428"/>
      <c r="E179" s="1396"/>
      <c r="F179" s="313" t="s">
        <v>111</v>
      </c>
      <c r="G179" s="710">
        <v>134.9</v>
      </c>
      <c r="H179" s="199"/>
      <c r="I179" s="1236"/>
      <c r="J179" s="1147" t="s">
        <v>304</v>
      </c>
      <c r="K179" s="522">
        <v>1</v>
      </c>
      <c r="L179" s="1029"/>
      <c r="M179" s="988"/>
    </row>
    <row r="180" spans="1:18" s="1" customFormat="1" ht="46.15" customHeight="1" x14ac:dyDescent="0.25">
      <c r="A180" s="1380"/>
      <c r="B180" s="1383"/>
      <c r="C180" s="1390"/>
      <c r="D180" s="1428"/>
      <c r="E180" s="1396"/>
      <c r="F180" s="529"/>
      <c r="G180" s="1237"/>
      <c r="H180" s="709"/>
      <c r="I180" s="1238"/>
      <c r="J180" s="1361" t="s">
        <v>279</v>
      </c>
      <c r="K180" s="1026">
        <v>1</v>
      </c>
      <c r="L180" s="967"/>
      <c r="M180" s="951"/>
    </row>
    <row r="181" spans="1:18" s="1" customFormat="1" ht="15.75" customHeight="1" thickBot="1" x14ac:dyDescent="0.3">
      <c r="A181" s="1380"/>
      <c r="B181" s="1383"/>
      <c r="C181" s="1390"/>
      <c r="D181" s="1393"/>
      <c r="E181" s="1397"/>
      <c r="F181" s="1125" t="s">
        <v>20</v>
      </c>
      <c r="G181" s="1121">
        <f>SUM(G178:G179)</f>
        <v>156.20000000000002</v>
      </c>
      <c r="H181" s="187">
        <f>SUM(H178:H179)</f>
        <v>0</v>
      </c>
      <c r="I181" s="1121">
        <f>SUM(I178:I179)</f>
        <v>0</v>
      </c>
      <c r="J181" s="1595"/>
      <c r="K181" s="522"/>
      <c r="L181" s="510"/>
      <c r="M181" s="444"/>
    </row>
    <row r="182" spans="1:18" s="1" customFormat="1" ht="16.5" customHeight="1" thickBot="1" x14ac:dyDescent="0.3">
      <c r="A182" s="57" t="s">
        <v>10</v>
      </c>
      <c r="B182" s="3" t="s">
        <v>28</v>
      </c>
      <c r="C182" s="1436" t="s">
        <v>35</v>
      </c>
      <c r="D182" s="1436"/>
      <c r="E182" s="1436"/>
      <c r="F182" s="1436"/>
      <c r="G182" s="194">
        <f>+G181+G177+G172+G170+G164+G156+G140+G134</f>
        <v>12650.400000000001</v>
      </c>
      <c r="H182" s="204">
        <f>+H181+H177+H172+H170+H164+H156+H140+H134</f>
        <v>12083.6</v>
      </c>
      <c r="I182" s="191">
        <f>+I181+I177+I172+I170+I164+I156+I140+I134</f>
        <v>12054.5</v>
      </c>
      <c r="J182" s="1438"/>
      <c r="K182" s="1438"/>
      <c r="L182" s="1438"/>
      <c r="M182" s="1439"/>
    </row>
    <row r="183" spans="1:18" s="1" customFormat="1" ht="14.25" customHeight="1" thickBot="1" x14ac:dyDescent="0.3">
      <c r="A183" s="58" t="s">
        <v>10</v>
      </c>
      <c r="B183" s="3" t="s">
        <v>31</v>
      </c>
      <c r="C183" s="1354" t="s">
        <v>178</v>
      </c>
      <c r="D183" s="1354"/>
      <c r="E183" s="1354"/>
      <c r="F183" s="1354"/>
      <c r="G183" s="1354"/>
      <c r="H183" s="1354"/>
      <c r="I183" s="1354"/>
      <c r="J183" s="1354"/>
      <c r="K183" s="1354"/>
      <c r="L183" s="1354"/>
      <c r="M183" s="1355"/>
    </row>
    <row r="184" spans="1:18" s="2" customFormat="1" ht="16.5" customHeight="1" x14ac:dyDescent="0.25">
      <c r="A184" s="358" t="s">
        <v>10</v>
      </c>
      <c r="B184" s="360" t="s">
        <v>31</v>
      </c>
      <c r="C184" s="111" t="s">
        <v>10</v>
      </c>
      <c r="D184" s="1340" t="s">
        <v>51</v>
      </c>
      <c r="E184" s="398"/>
      <c r="F184" s="636" t="s">
        <v>16</v>
      </c>
      <c r="G184" s="1247">
        <v>201.8</v>
      </c>
      <c r="H184" s="1248">
        <v>170</v>
      </c>
      <c r="I184" s="1249">
        <v>365.2</v>
      </c>
      <c r="J184" s="1127"/>
      <c r="K184" s="524"/>
      <c r="L184" s="224"/>
      <c r="M184" s="472"/>
    </row>
    <row r="185" spans="1:18" s="2" customFormat="1" ht="15" customHeight="1" x14ac:dyDescent="0.25">
      <c r="A185" s="1010"/>
      <c r="B185" s="1011"/>
      <c r="C185" s="68"/>
      <c r="D185" s="1341"/>
      <c r="E185" s="1242"/>
      <c r="F185" s="1246" t="s">
        <v>109</v>
      </c>
      <c r="G185" s="1250">
        <v>49</v>
      </c>
      <c r="H185" s="1251"/>
      <c r="I185" s="1252"/>
      <c r="J185" s="1244"/>
      <c r="K185" s="523"/>
      <c r="L185" s="331"/>
      <c r="M185" s="1245"/>
    </row>
    <row r="186" spans="1:18" s="2" customFormat="1" ht="15" customHeight="1" x14ac:dyDescent="0.25">
      <c r="A186" s="1010"/>
      <c r="B186" s="1011"/>
      <c r="C186" s="68"/>
      <c r="D186" s="1341"/>
      <c r="E186" s="1242"/>
      <c r="F186" s="1246" t="s">
        <v>111</v>
      </c>
      <c r="G186" s="1250">
        <v>419.6</v>
      </c>
      <c r="H186" s="1251"/>
      <c r="I186" s="1252"/>
      <c r="J186" s="1244"/>
      <c r="K186" s="523"/>
      <c r="L186" s="331"/>
      <c r="M186" s="1245"/>
    </row>
    <row r="187" spans="1:18" s="2" customFormat="1" ht="16.5" customHeight="1" x14ac:dyDescent="0.25">
      <c r="A187" s="1010"/>
      <c r="B187" s="1011"/>
      <c r="C187" s="68"/>
      <c r="D187" s="1341"/>
      <c r="E187" s="1242"/>
      <c r="F187" s="1246" t="s">
        <v>116</v>
      </c>
      <c r="G187" s="1250">
        <v>0.3</v>
      </c>
      <c r="H187" s="1251"/>
      <c r="I187" s="1252"/>
      <c r="J187" s="1244"/>
      <c r="K187" s="523"/>
      <c r="L187" s="331"/>
      <c r="M187" s="1245"/>
    </row>
    <row r="188" spans="1:18" s="2" customFormat="1" ht="17.25" customHeight="1" x14ac:dyDescent="0.25">
      <c r="A188" s="1010"/>
      <c r="B188" s="1011"/>
      <c r="C188" s="68"/>
      <c r="D188" s="1241"/>
      <c r="E188" s="1242"/>
      <c r="F188" s="1243" t="s">
        <v>50</v>
      </c>
      <c r="G188" s="1253"/>
      <c r="H188" s="1254">
        <v>935</v>
      </c>
      <c r="I188" s="1255">
        <v>1899.8</v>
      </c>
      <c r="J188" s="1244"/>
      <c r="K188" s="523"/>
      <c r="L188" s="331"/>
      <c r="M188" s="1245"/>
    </row>
    <row r="189" spans="1:18" s="2" customFormat="1" ht="27" customHeight="1" x14ac:dyDescent="0.25">
      <c r="A189" s="354"/>
      <c r="B189" s="355"/>
      <c r="C189" s="40"/>
      <c r="D189" s="1601" t="s">
        <v>200</v>
      </c>
      <c r="E189" s="791" t="s">
        <v>52</v>
      </c>
      <c r="F189" s="1223" t="s">
        <v>223</v>
      </c>
      <c r="G189" s="1228">
        <v>19.600000000000001</v>
      </c>
      <c r="H189" s="1261"/>
      <c r="I189" s="1260"/>
      <c r="J189" s="1342" t="s">
        <v>312</v>
      </c>
      <c r="K189" s="1344">
        <v>100</v>
      </c>
      <c r="L189" s="1346"/>
      <c r="M189" s="1348"/>
      <c r="O189" s="1169" t="s">
        <v>16</v>
      </c>
      <c r="P189" s="1170">
        <f>G194+G196</f>
        <v>201.8</v>
      </c>
      <c r="Q189" s="1170">
        <f>H196+H199</f>
        <v>170</v>
      </c>
      <c r="R189" s="1170">
        <f>I196+I199</f>
        <v>365.2</v>
      </c>
    </row>
    <row r="190" spans="1:18" s="2" customFormat="1" ht="24.75" customHeight="1" x14ac:dyDescent="0.25">
      <c r="A190" s="354"/>
      <c r="B190" s="355"/>
      <c r="C190" s="40"/>
      <c r="D190" s="1602"/>
      <c r="E190" s="794"/>
      <c r="F190" s="1223"/>
      <c r="G190" s="1263"/>
      <c r="H190" s="1261"/>
      <c r="I190" s="1260"/>
      <c r="J190" s="1343"/>
      <c r="K190" s="1345"/>
      <c r="L190" s="1347"/>
      <c r="M190" s="1349"/>
      <c r="O190" s="1169" t="s">
        <v>311</v>
      </c>
      <c r="P190" s="1170">
        <f>G191+G195</f>
        <v>419.59999999999997</v>
      </c>
      <c r="Q190" s="1170"/>
      <c r="R190" s="1170"/>
    </row>
    <row r="191" spans="1:18" s="371" customFormat="1" ht="18" customHeight="1" x14ac:dyDescent="0.2">
      <c r="A191" s="354"/>
      <c r="B191" s="355"/>
      <c r="C191" s="362"/>
      <c r="D191" s="1385" t="s">
        <v>168</v>
      </c>
      <c r="E191" s="791" t="s">
        <v>52</v>
      </c>
      <c r="F191" s="1223" t="s">
        <v>221</v>
      </c>
      <c r="G191" s="1228">
        <v>343.4</v>
      </c>
      <c r="H191" s="1256"/>
      <c r="I191" s="1257"/>
      <c r="J191" s="1001" t="s">
        <v>117</v>
      </c>
      <c r="K191" s="54">
        <v>100</v>
      </c>
      <c r="L191" s="732"/>
      <c r="M191" s="460"/>
      <c r="O191" s="1270" t="s">
        <v>109</v>
      </c>
      <c r="P191" s="1271">
        <f>G189+G193</f>
        <v>49</v>
      </c>
      <c r="Q191" s="1271"/>
      <c r="R191" s="1271"/>
    </row>
    <row r="192" spans="1:18" s="371" customFormat="1" ht="55.5" customHeight="1" x14ac:dyDescent="0.2">
      <c r="A192" s="505"/>
      <c r="B192" s="5"/>
      <c r="C192" s="508"/>
      <c r="D192" s="1452"/>
      <c r="E192" s="1064" t="s">
        <v>265</v>
      </c>
      <c r="F192" s="1223" t="s">
        <v>224</v>
      </c>
      <c r="G192" s="1228">
        <v>0.3</v>
      </c>
      <c r="H192" s="1256"/>
      <c r="I192" s="1257"/>
      <c r="J192" s="1001" t="s">
        <v>193</v>
      </c>
      <c r="K192" s="54">
        <v>100</v>
      </c>
      <c r="L192" s="732"/>
      <c r="M192" s="460"/>
      <c r="O192" s="1270" t="s">
        <v>310</v>
      </c>
      <c r="P192" s="1271">
        <f>SUM(P189:P191)</f>
        <v>670.4</v>
      </c>
      <c r="Q192" s="1271"/>
      <c r="R192" s="1271"/>
    </row>
    <row r="193" spans="1:20" s="16" customFormat="1" ht="18" customHeight="1" x14ac:dyDescent="0.25">
      <c r="A193" s="63"/>
      <c r="B193" s="32"/>
      <c r="C193" s="33"/>
      <c r="D193" s="1412" t="s">
        <v>203</v>
      </c>
      <c r="E193" s="734" t="s">
        <v>52</v>
      </c>
      <c r="F193" s="1223" t="s">
        <v>223</v>
      </c>
      <c r="G193" s="1228">
        <v>29.4</v>
      </c>
      <c r="H193" s="1261"/>
      <c r="I193" s="1227"/>
      <c r="J193" s="902" t="s">
        <v>117</v>
      </c>
      <c r="K193" s="136">
        <v>100</v>
      </c>
      <c r="L193" s="241"/>
      <c r="M193" s="801"/>
      <c r="O193" s="1272"/>
      <c r="P193" s="1273">
        <f>P192+G192</f>
        <v>670.69999999999993</v>
      </c>
      <c r="Q193" s="1273">
        <f>Q189+H197</f>
        <v>1105</v>
      </c>
      <c r="R193" s="1273">
        <f>R189+I197</f>
        <v>2265</v>
      </c>
    </row>
    <row r="194" spans="1:20" s="16" customFormat="1" ht="16.5" customHeight="1" x14ac:dyDescent="0.25">
      <c r="A194" s="63"/>
      <c r="B194" s="32"/>
      <c r="C194" s="33"/>
      <c r="D194" s="1393"/>
      <c r="E194" s="704" t="s">
        <v>265</v>
      </c>
      <c r="F194" s="1223" t="s">
        <v>137</v>
      </c>
      <c r="G194" s="1228">
        <v>84.8</v>
      </c>
      <c r="H194" s="1261"/>
      <c r="I194" s="1227"/>
      <c r="J194" s="1477" t="s">
        <v>201</v>
      </c>
      <c r="K194" s="698">
        <v>100</v>
      </c>
      <c r="L194" s="242"/>
      <c r="M194" s="803"/>
      <c r="P194" s="1240"/>
      <c r="Q194" s="1240"/>
      <c r="R194" s="1240"/>
    </row>
    <row r="195" spans="1:20" s="16" customFormat="1" ht="18.75" customHeight="1" x14ac:dyDescent="0.25">
      <c r="A195" s="63"/>
      <c r="B195" s="32"/>
      <c r="C195" s="33"/>
      <c r="D195" s="1413"/>
      <c r="E195" s="733"/>
      <c r="F195" s="1223" t="s">
        <v>221</v>
      </c>
      <c r="G195" s="1228">
        <v>76.2</v>
      </c>
      <c r="H195" s="1261"/>
      <c r="I195" s="1227"/>
      <c r="J195" s="1478"/>
      <c r="K195" s="698"/>
      <c r="L195" s="242"/>
      <c r="M195" s="803"/>
      <c r="P195" s="1240"/>
      <c r="Q195" s="1240"/>
      <c r="R195" s="1240"/>
    </row>
    <row r="196" spans="1:20" s="2" customFormat="1" ht="27" customHeight="1" x14ac:dyDescent="0.25">
      <c r="A196" s="505"/>
      <c r="B196" s="506"/>
      <c r="C196" s="68"/>
      <c r="D196" s="1412" t="s">
        <v>299</v>
      </c>
      <c r="E196" s="807" t="s">
        <v>167</v>
      </c>
      <c r="F196" s="1223" t="s">
        <v>137</v>
      </c>
      <c r="G196" s="1258">
        <v>117</v>
      </c>
      <c r="H196" s="1259">
        <v>165</v>
      </c>
      <c r="I196" s="1267">
        <v>335.2</v>
      </c>
      <c r="J196" s="1133" t="s">
        <v>266</v>
      </c>
      <c r="K196" s="264">
        <v>1</v>
      </c>
      <c r="L196" s="561"/>
      <c r="M196" s="813"/>
    </row>
    <row r="197" spans="1:20" s="2" customFormat="1" ht="15" customHeight="1" x14ac:dyDescent="0.25">
      <c r="A197" s="505"/>
      <c r="B197" s="506"/>
      <c r="C197" s="68"/>
      <c r="D197" s="1393"/>
      <c r="E197" s="814" t="s">
        <v>52</v>
      </c>
      <c r="F197" s="1223" t="s">
        <v>219</v>
      </c>
      <c r="G197" s="1268"/>
      <c r="H197" s="1259">
        <v>935</v>
      </c>
      <c r="I197" s="1227">
        <v>1899.8</v>
      </c>
      <c r="J197" s="1133" t="s">
        <v>117</v>
      </c>
      <c r="K197" s="264"/>
      <c r="L197" s="561">
        <v>30</v>
      </c>
      <c r="M197" s="813">
        <v>100</v>
      </c>
    </row>
    <row r="198" spans="1:20" s="2" customFormat="1" ht="40.5" customHeight="1" x14ac:dyDescent="0.25">
      <c r="A198" s="505"/>
      <c r="B198" s="506"/>
      <c r="C198" s="68"/>
      <c r="D198" s="1413"/>
      <c r="E198" s="816" t="s">
        <v>265</v>
      </c>
      <c r="F198" s="1223"/>
      <c r="G198" s="1264"/>
      <c r="H198" s="1261"/>
      <c r="I198" s="1227"/>
      <c r="J198" s="902" t="s">
        <v>210</v>
      </c>
      <c r="K198" s="264"/>
      <c r="L198" s="815"/>
      <c r="M198" s="813">
        <v>80</v>
      </c>
    </row>
    <row r="199" spans="1:20" s="2" customFormat="1" ht="48.6" customHeight="1" x14ac:dyDescent="0.25">
      <c r="A199" s="505"/>
      <c r="B199" s="506"/>
      <c r="C199" s="68"/>
      <c r="D199" s="1549" t="s">
        <v>194</v>
      </c>
      <c r="E199" s="818" t="s">
        <v>292</v>
      </c>
      <c r="F199" s="1226" t="s">
        <v>137</v>
      </c>
      <c r="G199" s="1262"/>
      <c r="H199" s="1265">
        <v>5</v>
      </c>
      <c r="I199" s="1266">
        <v>30</v>
      </c>
      <c r="J199" s="1477" t="s">
        <v>266</v>
      </c>
      <c r="K199" s="264"/>
      <c r="L199" s="1481"/>
      <c r="M199" s="813">
        <v>1</v>
      </c>
    </row>
    <row r="200" spans="1:20" s="1" customFormat="1" ht="16.5" customHeight="1" thickBot="1" x14ac:dyDescent="0.3">
      <c r="A200" s="359"/>
      <c r="B200" s="357"/>
      <c r="C200" s="41"/>
      <c r="D200" s="1596"/>
      <c r="E200" s="1321"/>
      <c r="F200" s="1317" t="s">
        <v>20</v>
      </c>
      <c r="G200" s="683">
        <f>SUM(G184:G188)</f>
        <v>670.7</v>
      </c>
      <c r="H200" s="214">
        <f>SUM(H184:H188)</f>
        <v>1105</v>
      </c>
      <c r="I200" s="1269">
        <f>SUM(I184:I188)</f>
        <v>2265</v>
      </c>
      <c r="J200" s="1480"/>
      <c r="K200" s="864"/>
      <c r="L200" s="1482"/>
      <c r="M200" s="865"/>
    </row>
    <row r="201" spans="1:20" s="1" customFormat="1" ht="16.5" customHeight="1" thickBot="1" x14ac:dyDescent="0.3">
      <c r="A201" s="57" t="s">
        <v>10</v>
      </c>
      <c r="B201" s="22" t="s">
        <v>31</v>
      </c>
      <c r="C201" s="1483" t="s">
        <v>35</v>
      </c>
      <c r="D201" s="1436"/>
      <c r="E201" s="1436"/>
      <c r="F201" s="1436"/>
      <c r="G201" s="194">
        <f t="shared" ref="G201:I201" si="7">G200</f>
        <v>670.7</v>
      </c>
      <c r="H201" s="204">
        <f t="shared" si="7"/>
        <v>1105</v>
      </c>
      <c r="I201" s="191">
        <f t="shared" si="7"/>
        <v>2265</v>
      </c>
      <c r="J201" s="1437"/>
      <c r="K201" s="1438"/>
      <c r="L201" s="1438"/>
      <c r="M201" s="1439"/>
    </row>
    <row r="202" spans="1:20" s="371" customFormat="1" ht="16.5" customHeight="1" thickBot="1" x14ac:dyDescent="0.25">
      <c r="A202" s="57" t="s">
        <v>10</v>
      </c>
      <c r="B202" s="22" t="s">
        <v>33</v>
      </c>
      <c r="C202" s="1409" t="s">
        <v>53</v>
      </c>
      <c r="D202" s="1410"/>
      <c r="E202" s="1410"/>
      <c r="F202" s="1410"/>
      <c r="G202" s="1410"/>
      <c r="H202" s="1410"/>
      <c r="I202" s="1410"/>
      <c r="J202" s="1410"/>
      <c r="K202" s="1410"/>
      <c r="L202" s="1410"/>
      <c r="M202" s="1411"/>
    </row>
    <row r="203" spans="1:20" s="371" customFormat="1" ht="13.5" customHeight="1" x14ac:dyDescent="0.2">
      <c r="A203" s="358" t="s">
        <v>10</v>
      </c>
      <c r="B203" s="360" t="s">
        <v>33</v>
      </c>
      <c r="C203" s="361" t="s">
        <v>10</v>
      </c>
      <c r="D203" s="399" t="s">
        <v>54</v>
      </c>
      <c r="E203" s="1126"/>
      <c r="F203" s="333" t="s">
        <v>16</v>
      </c>
      <c r="G203" s="1200"/>
      <c r="H203" s="1201"/>
      <c r="I203" s="1249">
        <v>129.9</v>
      </c>
      <c r="J203" s="1127"/>
      <c r="K203" s="524"/>
      <c r="L203" s="224"/>
      <c r="M203" s="466"/>
      <c r="O203" s="1274" t="s">
        <v>141</v>
      </c>
      <c r="P203" s="1271">
        <f>G207+G210</f>
        <v>450</v>
      </c>
      <c r="Q203" s="1271">
        <f>H207+H210</f>
        <v>300</v>
      </c>
      <c r="R203" s="1271">
        <f>I207</f>
        <v>250</v>
      </c>
      <c r="T203" s="372"/>
    </row>
    <row r="204" spans="1:20" s="371" customFormat="1" ht="15" customHeight="1" x14ac:dyDescent="0.2">
      <c r="A204" s="1309"/>
      <c r="B204" s="1308"/>
      <c r="C204" s="1310"/>
      <c r="D204" s="1322"/>
      <c r="E204" s="1323"/>
      <c r="F204" s="531" t="s">
        <v>141</v>
      </c>
      <c r="G204" s="653">
        <v>450</v>
      </c>
      <c r="H204" s="232">
        <v>300</v>
      </c>
      <c r="I204" s="1252">
        <v>250</v>
      </c>
      <c r="J204" s="1244"/>
      <c r="K204" s="523"/>
      <c r="L204" s="331"/>
      <c r="M204" s="467"/>
      <c r="O204" s="1274" t="s">
        <v>145</v>
      </c>
      <c r="P204" s="1271">
        <f>G208+G211</f>
        <v>141.4</v>
      </c>
      <c r="Q204" s="1271">
        <f>H211</f>
        <v>342.2</v>
      </c>
      <c r="R204" s="1271">
        <f>I211</f>
        <v>500</v>
      </c>
      <c r="T204" s="372"/>
    </row>
    <row r="205" spans="1:20" s="371" customFormat="1" ht="15" customHeight="1" x14ac:dyDescent="0.2">
      <c r="A205" s="1309"/>
      <c r="B205" s="1308"/>
      <c r="C205" s="1310"/>
      <c r="D205" s="1322"/>
      <c r="E205" s="1323"/>
      <c r="F205" s="531" t="s">
        <v>145</v>
      </c>
      <c r="G205" s="653">
        <v>141.4</v>
      </c>
      <c r="H205" s="232">
        <v>342.2</v>
      </c>
      <c r="I205" s="1252">
        <v>500</v>
      </c>
      <c r="J205" s="1244"/>
      <c r="K205" s="523"/>
      <c r="L205" s="331"/>
      <c r="M205" s="467"/>
      <c r="P205" s="881"/>
      <c r="Q205" s="881"/>
      <c r="R205" s="881"/>
      <c r="T205" s="372"/>
    </row>
    <row r="206" spans="1:20" s="371" customFormat="1" ht="18" customHeight="1" x14ac:dyDescent="0.2">
      <c r="A206" s="1309"/>
      <c r="B206" s="1308"/>
      <c r="C206" s="1310"/>
      <c r="D206" s="1322"/>
      <c r="E206" s="1323"/>
      <c r="F206" s="1315" t="s">
        <v>50</v>
      </c>
      <c r="G206" s="1326"/>
      <c r="H206" s="650">
        <v>805.2</v>
      </c>
      <c r="I206" s="1327">
        <v>2152.3000000000002</v>
      </c>
      <c r="J206" s="1244"/>
      <c r="K206" s="523"/>
      <c r="L206" s="331"/>
      <c r="M206" s="467"/>
      <c r="P206" s="881"/>
      <c r="Q206" s="881"/>
      <c r="R206" s="881"/>
      <c r="T206" s="372"/>
    </row>
    <row r="207" spans="1:20" s="371" customFormat="1" ht="26.25" customHeight="1" x14ac:dyDescent="0.2">
      <c r="A207" s="354"/>
      <c r="B207" s="355"/>
      <c r="C207" s="362"/>
      <c r="D207" s="1356" t="s">
        <v>231</v>
      </c>
      <c r="E207" s="130" t="s">
        <v>265</v>
      </c>
      <c r="F207" s="1223" t="s">
        <v>225</v>
      </c>
      <c r="G207" s="1325">
        <v>86.5</v>
      </c>
      <c r="H207" s="1224">
        <v>142.19999999999999</v>
      </c>
      <c r="I207" s="1328">
        <v>250</v>
      </c>
      <c r="J207" s="1128" t="s">
        <v>266</v>
      </c>
      <c r="K207" s="655">
        <v>1</v>
      </c>
      <c r="L207" s="225"/>
      <c r="M207" s="459"/>
      <c r="P207" s="881"/>
      <c r="Q207" s="881"/>
      <c r="R207" s="881"/>
    </row>
    <row r="208" spans="1:20" s="371" customFormat="1" ht="14.25" customHeight="1" x14ac:dyDescent="0.2">
      <c r="A208" s="971"/>
      <c r="B208" s="970"/>
      <c r="C208" s="972"/>
      <c r="D208" s="1357"/>
      <c r="E208" s="1312" t="s">
        <v>52</v>
      </c>
      <c r="F208" s="1223" t="s">
        <v>226</v>
      </c>
      <c r="G208" s="1228">
        <v>4.9000000000000004</v>
      </c>
      <c r="H208" s="1224"/>
      <c r="I208" s="1328"/>
      <c r="J208" s="1071" t="s">
        <v>117</v>
      </c>
      <c r="K208" s="664"/>
      <c r="L208" s="221">
        <v>30</v>
      </c>
      <c r="M208" s="465">
        <v>100</v>
      </c>
    </row>
    <row r="209" spans="1:18" s="371" customFormat="1" ht="16.5" customHeight="1" x14ac:dyDescent="0.2">
      <c r="A209" s="354"/>
      <c r="B209" s="355"/>
      <c r="C209" s="362"/>
      <c r="D209" s="1357"/>
      <c r="E209" s="933" t="s">
        <v>167</v>
      </c>
      <c r="F209" s="1223" t="s">
        <v>219</v>
      </c>
      <c r="G209" s="1228"/>
      <c r="H209" s="1224">
        <v>805.2</v>
      </c>
      <c r="I209" s="1328">
        <v>2152.3000000000002</v>
      </c>
      <c r="J209" s="1304"/>
      <c r="K209" s="654"/>
      <c r="L209" s="1305"/>
      <c r="M209" s="1306"/>
    </row>
    <row r="210" spans="1:18" s="371" customFormat="1" ht="12.75" customHeight="1" x14ac:dyDescent="0.2">
      <c r="A210" s="695"/>
      <c r="B210" s="696"/>
      <c r="C210" s="697"/>
      <c r="D210" s="1356" t="s">
        <v>280</v>
      </c>
      <c r="E210" s="932" t="s">
        <v>276</v>
      </c>
      <c r="F210" s="1223" t="s">
        <v>225</v>
      </c>
      <c r="G210" s="1280">
        <v>363.5</v>
      </c>
      <c r="H210" s="1332">
        <v>157.80000000000001</v>
      </c>
      <c r="I210" s="1260"/>
      <c r="J210" s="1368" t="s">
        <v>133</v>
      </c>
      <c r="K210" s="664">
        <v>10</v>
      </c>
      <c r="L210" s="221">
        <v>10</v>
      </c>
      <c r="M210" s="873">
        <v>10</v>
      </c>
    </row>
    <row r="211" spans="1:18" s="371" customFormat="1" ht="14.25" customHeight="1" x14ac:dyDescent="0.2">
      <c r="A211" s="893"/>
      <c r="B211" s="894"/>
      <c r="C211" s="895"/>
      <c r="D211" s="1357"/>
      <c r="E211" s="1313" t="s">
        <v>265</v>
      </c>
      <c r="F211" s="1226" t="s">
        <v>226</v>
      </c>
      <c r="G211" s="1331">
        <v>136.5</v>
      </c>
      <c r="H211" s="1330">
        <v>342.2</v>
      </c>
      <c r="I211" s="1329">
        <v>500</v>
      </c>
      <c r="J211" s="1368"/>
      <c r="K211" s="664"/>
      <c r="L211" s="221"/>
      <c r="M211" s="873"/>
    </row>
    <row r="212" spans="1:18" s="371" customFormat="1" ht="15" customHeight="1" thickBot="1" x14ac:dyDescent="0.25">
      <c r="A212" s="359"/>
      <c r="B212" s="357"/>
      <c r="C212" s="363"/>
      <c r="D212" s="1324"/>
      <c r="E212" s="1333"/>
      <c r="F212" s="1311" t="s">
        <v>20</v>
      </c>
      <c r="G212" s="85">
        <f>SUM(G203:G206)</f>
        <v>591.4</v>
      </c>
      <c r="H212" s="214">
        <f>SUM(H203:H206)</f>
        <v>1447.4</v>
      </c>
      <c r="I212" s="1239">
        <f>SUM(I203:I206)</f>
        <v>3032.2000000000003</v>
      </c>
      <c r="J212" s="1129"/>
      <c r="K212" s="668"/>
      <c r="L212" s="669"/>
      <c r="M212" s="474"/>
    </row>
    <row r="213" spans="1:18" s="371" customFormat="1" ht="18" customHeight="1" x14ac:dyDescent="0.2">
      <c r="A213" s="354" t="s">
        <v>10</v>
      </c>
      <c r="B213" s="355" t="s">
        <v>33</v>
      </c>
      <c r="C213" s="40" t="s">
        <v>28</v>
      </c>
      <c r="D213" s="1479" t="s">
        <v>56</v>
      </c>
      <c r="E213" s="887" t="s">
        <v>264</v>
      </c>
      <c r="F213" s="555" t="s">
        <v>38</v>
      </c>
      <c r="G213" s="338">
        <v>1917</v>
      </c>
      <c r="H213" s="216">
        <v>1917</v>
      </c>
      <c r="I213" s="429">
        <v>1917</v>
      </c>
      <c r="J213" s="353"/>
      <c r="K213" s="12"/>
      <c r="L213" s="239"/>
      <c r="M213" s="467"/>
      <c r="N213" s="881"/>
    </row>
    <row r="214" spans="1:18" s="371" customFormat="1" ht="18" customHeight="1" x14ac:dyDescent="0.2">
      <c r="A214" s="354"/>
      <c r="B214" s="355"/>
      <c r="C214" s="40"/>
      <c r="D214" s="1479"/>
      <c r="E214" s="892"/>
      <c r="F214" s="314" t="s">
        <v>79</v>
      </c>
      <c r="G214" s="720">
        <v>231.5</v>
      </c>
      <c r="H214" s="707"/>
      <c r="I214" s="410"/>
      <c r="J214" s="353"/>
      <c r="K214" s="12"/>
      <c r="L214" s="239"/>
      <c r="M214" s="467"/>
    </row>
    <row r="215" spans="1:18" s="371" customFormat="1" ht="18" customHeight="1" x14ac:dyDescent="0.2">
      <c r="A215" s="354"/>
      <c r="B215" s="355"/>
      <c r="C215" s="40"/>
      <c r="D215" s="1479"/>
      <c r="E215" s="892"/>
      <c r="F215" s="312" t="s">
        <v>30</v>
      </c>
      <c r="G215" s="778">
        <v>10</v>
      </c>
      <c r="H215" s="216">
        <v>10</v>
      </c>
      <c r="I215" s="430">
        <v>10</v>
      </c>
      <c r="J215" s="353"/>
      <c r="K215" s="12"/>
      <c r="L215" s="239"/>
      <c r="M215" s="467"/>
      <c r="O215" s="372"/>
    </row>
    <row r="216" spans="1:18" s="371" customFormat="1" ht="21" customHeight="1" x14ac:dyDescent="0.2">
      <c r="A216" s="354"/>
      <c r="B216" s="355"/>
      <c r="C216" s="40"/>
      <c r="D216" s="1474" t="s">
        <v>57</v>
      </c>
      <c r="E216" s="888" t="s">
        <v>265</v>
      </c>
      <c r="F216" s="1275" t="s">
        <v>215</v>
      </c>
      <c r="G216" s="1280">
        <v>955.4</v>
      </c>
      <c r="H216" s="1277">
        <v>955.4</v>
      </c>
      <c r="I216" s="1278">
        <v>955.4</v>
      </c>
      <c r="J216" s="1130" t="s">
        <v>139</v>
      </c>
      <c r="K216" s="665">
        <v>30</v>
      </c>
      <c r="L216" s="259">
        <v>30</v>
      </c>
      <c r="M216" s="456">
        <v>30</v>
      </c>
      <c r="O216" s="1274" t="s">
        <v>38</v>
      </c>
      <c r="P216" s="1271">
        <f>G216+G218+G220+G222+G225</f>
        <v>1917</v>
      </c>
      <c r="Q216" s="1271">
        <f>H216+H218+H220+H222+H225</f>
        <v>1917</v>
      </c>
      <c r="R216" s="1271">
        <f>I216+I218+I220+I222+I225</f>
        <v>1917</v>
      </c>
    </row>
    <row r="217" spans="1:18" s="371" customFormat="1" ht="21" customHeight="1" x14ac:dyDescent="0.2">
      <c r="A217" s="354"/>
      <c r="B217" s="355"/>
      <c r="C217" s="40"/>
      <c r="D217" s="1475"/>
      <c r="E217" s="401"/>
      <c r="F217" s="1275"/>
      <c r="G217" s="1276"/>
      <c r="H217" s="1277"/>
      <c r="I217" s="1278"/>
      <c r="J217" s="1131"/>
      <c r="K217" s="666"/>
      <c r="L217" s="240"/>
      <c r="M217" s="475"/>
      <c r="P217" s="881"/>
      <c r="Q217" s="881"/>
      <c r="R217" s="881"/>
    </row>
    <row r="218" spans="1:18" s="371" customFormat="1" ht="33.75" customHeight="1" x14ac:dyDescent="0.2">
      <c r="A218" s="354"/>
      <c r="B218" s="355"/>
      <c r="C218" s="40"/>
      <c r="D218" s="1474" t="s">
        <v>58</v>
      </c>
      <c r="E218" s="402"/>
      <c r="F218" s="1275" t="s">
        <v>215</v>
      </c>
      <c r="G218" s="1280">
        <v>281</v>
      </c>
      <c r="H218" s="1277">
        <v>281</v>
      </c>
      <c r="I218" s="1278">
        <v>281</v>
      </c>
      <c r="J218" s="1405" t="s">
        <v>306</v>
      </c>
      <c r="K218" s="665">
        <v>260</v>
      </c>
      <c r="L218" s="259">
        <v>270</v>
      </c>
      <c r="M218" s="456">
        <v>280</v>
      </c>
    </row>
    <row r="219" spans="1:18" s="371" customFormat="1" ht="33.75" customHeight="1" x14ac:dyDescent="0.2">
      <c r="A219" s="354"/>
      <c r="B219" s="355"/>
      <c r="C219" s="40"/>
      <c r="D219" s="1475"/>
      <c r="E219" s="402"/>
      <c r="F219" s="1275"/>
      <c r="G219" s="1276"/>
      <c r="H219" s="1277"/>
      <c r="I219" s="1278"/>
      <c r="J219" s="1406"/>
      <c r="K219" s="666"/>
      <c r="L219" s="240"/>
      <c r="M219" s="475"/>
    </row>
    <row r="220" spans="1:18" s="371" customFormat="1" ht="28.5" customHeight="1" x14ac:dyDescent="0.2">
      <c r="A220" s="354"/>
      <c r="B220" s="355"/>
      <c r="C220" s="40"/>
      <c r="D220" s="1474" t="s">
        <v>59</v>
      </c>
      <c r="E220" s="402"/>
      <c r="F220" s="1275" t="s">
        <v>215</v>
      </c>
      <c r="G220" s="1280">
        <v>48.1</v>
      </c>
      <c r="H220" s="1277">
        <v>48.1</v>
      </c>
      <c r="I220" s="1278">
        <v>48.1</v>
      </c>
      <c r="J220" s="1405" t="s">
        <v>90</v>
      </c>
      <c r="K220" s="665">
        <v>35</v>
      </c>
      <c r="L220" s="259">
        <v>35</v>
      </c>
      <c r="M220" s="456">
        <v>35</v>
      </c>
    </row>
    <row r="221" spans="1:18" s="371" customFormat="1" ht="26.25" customHeight="1" x14ac:dyDescent="0.2">
      <c r="A221" s="354"/>
      <c r="B221" s="355"/>
      <c r="C221" s="40"/>
      <c r="D221" s="1475"/>
      <c r="E221" s="402"/>
      <c r="F221" s="1275"/>
      <c r="G221" s="1276"/>
      <c r="H221" s="1277"/>
      <c r="I221" s="1278"/>
      <c r="J221" s="1476"/>
      <c r="K221" s="666"/>
      <c r="L221" s="240"/>
      <c r="M221" s="475"/>
    </row>
    <row r="222" spans="1:18" s="371" customFormat="1" ht="15" customHeight="1" x14ac:dyDescent="0.2">
      <c r="A222" s="354"/>
      <c r="B222" s="355"/>
      <c r="C222" s="40"/>
      <c r="D222" s="1474" t="s">
        <v>60</v>
      </c>
      <c r="E222" s="402"/>
      <c r="F222" s="1275" t="s">
        <v>215</v>
      </c>
      <c r="G222" s="1280">
        <v>359.4</v>
      </c>
      <c r="H222" s="1277">
        <v>359.4</v>
      </c>
      <c r="I222" s="1278">
        <v>359.4</v>
      </c>
      <c r="J222" s="1405" t="s">
        <v>61</v>
      </c>
      <c r="K222" s="665">
        <v>95</v>
      </c>
      <c r="L222" s="259">
        <v>95</v>
      </c>
      <c r="M222" s="456">
        <v>95</v>
      </c>
    </row>
    <row r="223" spans="1:18" s="371" customFormat="1" ht="24.75" customHeight="1" x14ac:dyDescent="0.2">
      <c r="A223" s="354"/>
      <c r="B223" s="355"/>
      <c r="C223" s="40"/>
      <c r="D223" s="1475"/>
      <c r="E223" s="402"/>
      <c r="F223" s="1275"/>
      <c r="G223" s="1276"/>
      <c r="H223" s="1277"/>
      <c r="I223" s="1278"/>
      <c r="J223" s="1476"/>
      <c r="K223" s="666"/>
      <c r="L223" s="240"/>
      <c r="M223" s="475"/>
    </row>
    <row r="224" spans="1:18" s="371" customFormat="1" ht="40.5" customHeight="1" x14ac:dyDescent="0.2">
      <c r="A224" s="354"/>
      <c r="B224" s="355"/>
      <c r="C224" s="40"/>
      <c r="D224" s="148" t="s">
        <v>62</v>
      </c>
      <c r="E224" s="402"/>
      <c r="F224" s="1275" t="s">
        <v>218</v>
      </c>
      <c r="G224" s="1280">
        <v>10</v>
      </c>
      <c r="H224" s="1277">
        <v>10</v>
      </c>
      <c r="I224" s="1278">
        <v>10</v>
      </c>
      <c r="J224" s="858" t="s">
        <v>130</v>
      </c>
      <c r="K224" s="520">
        <v>12</v>
      </c>
      <c r="L224" s="223">
        <v>12</v>
      </c>
      <c r="M224" s="437">
        <v>12</v>
      </c>
    </row>
    <row r="225" spans="1:13" s="371" customFormat="1" ht="22.5" customHeight="1" x14ac:dyDescent="0.2">
      <c r="A225" s="354"/>
      <c r="B225" s="355"/>
      <c r="C225" s="40"/>
      <c r="D225" s="1433" t="s">
        <v>63</v>
      </c>
      <c r="E225" s="402"/>
      <c r="F225" s="1275" t="s">
        <v>215</v>
      </c>
      <c r="G225" s="1280">
        <v>273.10000000000002</v>
      </c>
      <c r="H225" s="1277">
        <v>273.10000000000002</v>
      </c>
      <c r="I225" s="1278">
        <v>273.10000000000002</v>
      </c>
      <c r="J225" s="1406" t="s">
        <v>64</v>
      </c>
      <c r="K225" s="666">
        <v>100</v>
      </c>
      <c r="L225" s="240">
        <v>100</v>
      </c>
      <c r="M225" s="475">
        <v>100</v>
      </c>
    </row>
    <row r="226" spans="1:13" s="371" customFormat="1" ht="26.45" customHeight="1" x14ac:dyDescent="0.2">
      <c r="A226" s="59"/>
      <c r="B226" s="355"/>
      <c r="C226" s="40"/>
      <c r="D226" s="1433"/>
      <c r="E226" s="402"/>
      <c r="F226" s="1275"/>
      <c r="G226" s="1279"/>
      <c r="H226" s="1277"/>
      <c r="I226" s="1278"/>
      <c r="J226" s="1406"/>
      <c r="K226" s="666"/>
      <c r="L226" s="240"/>
      <c r="M226" s="475"/>
    </row>
    <row r="227" spans="1:13" s="371" customFormat="1" ht="13.5" customHeight="1" thickBot="1" x14ac:dyDescent="0.25">
      <c r="A227" s="60" t="s">
        <v>95</v>
      </c>
      <c r="B227" s="357"/>
      <c r="C227" s="41"/>
      <c r="D227" s="1434"/>
      <c r="E227" s="403"/>
      <c r="F227" s="341" t="s">
        <v>20</v>
      </c>
      <c r="G227" s="301">
        <f>SUM(G213:G215)</f>
        <v>2158.5</v>
      </c>
      <c r="H227" s="187">
        <f>SUM(H213:H215)</f>
        <v>1927</v>
      </c>
      <c r="I227" s="301">
        <f>SUM(I213:I215)</f>
        <v>1927</v>
      </c>
      <c r="J227" s="1435"/>
      <c r="K227" s="667"/>
      <c r="L227" s="260"/>
      <c r="M227" s="476"/>
    </row>
    <row r="228" spans="1:13" s="371" customFormat="1" ht="52.5" customHeight="1" x14ac:dyDescent="0.2">
      <c r="A228" s="358" t="s">
        <v>10</v>
      </c>
      <c r="B228" s="360" t="s">
        <v>33</v>
      </c>
      <c r="C228" s="361" t="s">
        <v>31</v>
      </c>
      <c r="D228" s="399" t="s">
        <v>65</v>
      </c>
      <c r="E228" s="400"/>
      <c r="F228" s="342"/>
      <c r="G228" s="831"/>
      <c r="H228" s="215"/>
      <c r="I228" s="429"/>
      <c r="J228" s="1127"/>
      <c r="K228" s="524"/>
      <c r="L228" s="224"/>
      <c r="M228" s="466"/>
    </row>
    <row r="229" spans="1:13" s="371" customFormat="1" ht="33" customHeight="1" x14ac:dyDescent="0.2">
      <c r="A229" s="354"/>
      <c r="B229" s="355"/>
      <c r="C229" s="362"/>
      <c r="D229" s="1412" t="s">
        <v>108</v>
      </c>
      <c r="E229" s="871" t="s">
        <v>264</v>
      </c>
      <c r="F229" s="340" t="s">
        <v>30</v>
      </c>
      <c r="G229" s="337">
        <v>50</v>
      </c>
      <c r="H229" s="201"/>
      <c r="I229" s="405"/>
      <c r="J229" s="1001" t="s">
        <v>133</v>
      </c>
      <c r="K229" s="54">
        <v>1</v>
      </c>
      <c r="L229" s="874"/>
      <c r="M229" s="875"/>
    </row>
    <row r="230" spans="1:13" s="371" customFormat="1" ht="15" customHeight="1" thickBot="1" x14ac:dyDescent="0.25">
      <c r="A230" s="354"/>
      <c r="B230" s="355"/>
      <c r="C230" s="362"/>
      <c r="D230" s="1393"/>
      <c r="E230" s="403"/>
      <c r="F230" s="343" t="s">
        <v>20</v>
      </c>
      <c r="G230" s="896">
        <f>SUM(G229:G229)</f>
        <v>50</v>
      </c>
      <c r="H230" s="184">
        <f t="shared" ref="H230:I230" si="8">SUM(H229:H229)</f>
        <v>0</v>
      </c>
      <c r="I230" s="177">
        <f t="shared" si="8"/>
        <v>0</v>
      </c>
      <c r="J230" s="1129"/>
      <c r="K230" s="523"/>
      <c r="L230" s="669"/>
      <c r="M230" s="474"/>
    </row>
    <row r="231" spans="1:13" s="1" customFormat="1" ht="16.5" customHeight="1" thickBot="1" x14ac:dyDescent="0.3">
      <c r="A231" s="57" t="s">
        <v>10</v>
      </c>
      <c r="B231" s="3" t="s">
        <v>33</v>
      </c>
      <c r="C231" s="1436" t="s">
        <v>35</v>
      </c>
      <c r="D231" s="1436"/>
      <c r="E231" s="1436"/>
      <c r="F231" s="1436"/>
      <c r="G231" s="211">
        <f t="shared" ref="G231:I231" si="9">+G230+G227+G212</f>
        <v>2799.9</v>
      </c>
      <c r="H231" s="217">
        <f t="shared" si="9"/>
        <v>3374.4</v>
      </c>
      <c r="I231" s="685">
        <f t="shared" si="9"/>
        <v>4959.2000000000007</v>
      </c>
      <c r="J231" s="1437"/>
      <c r="K231" s="1438"/>
      <c r="L231" s="1438"/>
      <c r="M231" s="1439"/>
    </row>
    <row r="232" spans="1:13" s="371" customFormat="1" ht="16.5" customHeight="1" thickBot="1" x14ac:dyDescent="0.25">
      <c r="A232" s="359" t="s">
        <v>10</v>
      </c>
      <c r="B232" s="64"/>
      <c r="C232" s="1432" t="s">
        <v>66</v>
      </c>
      <c r="D232" s="1432"/>
      <c r="E232" s="1432"/>
      <c r="F232" s="1432"/>
      <c r="G232" s="212">
        <f>G231+G201+G182+G58</f>
        <v>71617.600000000006</v>
      </c>
      <c r="H232" s="218">
        <f>H231+H201+H182+H58</f>
        <v>71215.299999999988</v>
      </c>
      <c r="I232" s="209">
        <f>I231+I201+I182+I58</f>
        <v>73931</v>
      </c>
      <c r="J232" s="1440"/>
      <c r="K232" s="1441"/>
      <c r="L232" s="1441"/>
      <c r="M232" s="1442"/>
    </row>
    <row r="233" spans="1:13" s="1" customFormat="1" ht="16.5" customHeight="1" thickBot="1" x14ac:dyDescent="0.3">
      <c r="A233" s="65" t="s">
        <v>67</v>
      </c>
      <c r="B233" s="1425" t="s">
        <v>68</v>
      </c>
      <c r="C233" s="1426"/>
      <c r="D233" s="1426"/>
      <c r="E233" s="1426"/>
      <c r="F233" s="1426"/>
      <c r="G233" s="213">
        <f t="shared" ref="G233:I233" si="10">G232</f>
        <v>71617.600000000006</v>
      </c>
      <c r="H233" s="219">
        <f t="shared" si="10"/>
        <v>71215.299999999988</v>
      </c>
      <c r="I233" s="210">
        <f t="shared" si="10"/>
        <v>73931</v>
      </c>
      <c r="J233" s="1429"/>
      <c r="K233" s="1430"/>
      <c r="L233" s="1430"/>
      <c r="M233" s="1431"/>
    </row>
    <row r="234" spans="1:13" s="1" customFormat="1" ht="16.5" customHeight="1" x14ac:dyDescent="0.25">
      <c r="A234" s="1444" t="s">
        <v>314</v>
      </c>
      <c r="B234" s="1444"/>
      <c r="C234" s="1444"/>
      <c r="D234" s="1444"/>
      <c r="E234" s="1444"/>
      <c r="F234" s="1444"/>
      <c r="G234" s="1444"/>
      <c r="H234" s="1444"/>
      <c r="I234" s="1444"/>
      <c r="J234" s="1444"/>
      <c r="K234" s="1444"/>
      <c r="L234" s="1444"/>
      <c r="M234" s="1444"/>
    </row>
    <row r="235" spans="1:13" s="1" customFormat="1" ht="5.25" customHeight="1" x14ac:dyDescent="0.25">
      <c r="A235" s="620"/>
      <c r="B235" s="620"/>
      <c r="C235" s="620"/>
      <c r="D235" s="620"/>
      <c r="E235" s="620"/>
      <c r="F235" s="620"/>
      <c r="G235" s="620"/>
      <c r="H235" s="620"/>
      <c r="I235" s="620"/>
      <c r="J235" s="620"/>
      <c r="K235" s="620"/>
      <c r="L235" s="620"/>
      <c r="M235" s="620"/>
    </row>
    <row r="236" spans="1:13" s="372" customFormat="1" ht="15.75" customHeight="1" thickBot="1" x14ac:dyDescent="0.25">
      <c r="A236" s="1443" t="s">
        <v>69</v>
      </c>
      <c r="B236" s="1443"/>
      <c r="C236" s="1443"/>
      <c r="D236" s="1443"/>
      <c r="E236" s="1443"/>
      <c r="F236" s="1443"/>
      <c r="G236" s="1443"/>
      <c r="H236" s="1443"/>
      <c r="I236" s="1443"/>
      <c r="J236" s="23"/>
      <c r="K236" s="23"/>
      <c r="L236" s="23"/>
      <c r="M236" s="34"/>
    </row>
    <row r="237" spans="1:13" s="15" customFormat="1" ht="93.75" customHeight="1" thickBot="1" x14ac:dyDescent="0.3">
      <c r="A237" s="1457" t="s">
        <v>70</v>
      </c>
      <c r="B237" s="1458"/>
      <c r="C237" s="1458"/>
      <c r="D237" s="1458"/>
      <c r="E237" s="1458"/>
      <c r="F237" s="1459"/>
      <c r="G237" s="1302" t="s">
        <v>252</v>
      </c>
      <c r="H237" s="624" t="s">
        <v>301</v>
      </c>
      <c r="I237" s="1303" t="s">
        <v>253</v>
      </c>
      <c r="J237" s="147"/>
      <c r="K237" s="147"/>
      <c r="L237" s="147"/>
      <c r="M237" s="147"/>
    </row>
    <row r="238" spans="1:13" s="1" customFormat="1" ht="15.75" customHeight="1" x14ac:dyDescent="0.25">
      <c r="A238" s="1460" t="s">
        <v>315</v>
      </c>
      <c r="B238" s="1461"/>
      <c r="C238" s="1461"/>
      <c r="D238" s="1461"/>
      <c r="E238" s="1461"/>
      <c r="F238" s="1462"/>
      <c r="G238" s="269">
        <f t="shared" ref="G238:I238" si="11">+G239+G247+G248+G249+G250+G251</f>
        <v>30629.500000000004</v>
      </c>
      <c r="H238" s="285">
        <f t="shared" si="11"/>
        <v>28537.000000000004</v>
      </c>
      <c r="I238" s="277">
        <f t="shared" si="11"/>
        <v>28940.800000000003</v>
      </c>
      <c r="J238" s="143"/>
      <c r="K238" s="143"/>
      <c r="L238" s="143"/>
      <c r="M238" s="143"/>
    </row>
    <row r="239" spans="1:13" s="1" customFormat="1" ht="15.75" customHeight="1" x14ac:dyDescent="0.25">
      <c r="A239" s="1472" t="s">
        <v>157</v>
      </c>
      <c r="B239" s="1473"/>
      <c r="C239" s="1473"/>
      <c r="D239" s="1473"/>
      <c r="E239" s="1473"/>
      <c r="F239" s="1473"/>
      <c r="G239" s="270">
        <f t="shared" ref="G239:I239" si="12">SUM(G240:G246)</f>
        <v>29906</v>
      </c>
      <c r="H239" s="286">
        <f t="shared" si="12"/>
        <v>28194.800000000003</v>
      </c>
      <c r="I239" s="278">
        <f t="shared" si="12"/>
        <v>28440.800000000003</v>
      </c>
      <c r="J239" s="143"/>
      <c r="K239" s="143"/>
      <c r="L239" s="143"/>
      <c r="M239" s="143"/>
    </row>
    <row r="240" spans="1:13" s="1" customFormat="1" ht="15.75" customHeight="1" x14ac:dyDescent="0.25">
      <c r="A240" s="1452" t="s">
        <v>72</v>
      </c>
      <c r="B240" s="1453"/>
      <c r="C240" s="1453"/>
      <c r="D240" s="1453"/>
      <c r="E240" s="1453"/>
      <c r="F240" s="1454"/>
      <c r="G240" s="266">
        <f>SUMIF(F15:F229,"sb",G15:G229)</f>
        <v>7628.7000000000007</v>
      </c>
      <c r="H240" s="220">
        <f>SUMIF(F15:F229,"sb",H15:H229)</f>
        <v>7555.7</v>
      </c>
      <c r="I240" s="267">
        <f>SUMIF(F15:F229,"sb",I15:I229)</f>
        <v>7791.4999999999991</v>
      </c>
      <c r="J240" s="146"/>
      <c r="K240" s="146"/>
      <c r="L240" s="146"/>
      <c r="M240" s="146"/>
    </row>
    <row r="241" spans="1:18" s="1" customFormat="1" ht="28.5" customHeight="1" x14ac:dyDescent="0.25">
      <c r="A241" s="1422" t="s">
        <v>205</v>
      </c>
      <c r="B241" s="1423"/>
      <c r="C241" s="1423"/>
      <c r="D241" s="1423"/>
      <c r="E241" s="1423"/>
      <c r="F241" s="1424"/>
      <c r="G241" s="169">
        <f>SUMIF(F15:F229,"sb(S)",G15:G229)</f>
        <v>6842.1999999999989</v>
      </c>
      <c r="H241" s="195">
        <f>SUMIF(F15:F229,"sb(S)",H15:H229)</f>
        <v>7626.7999999999993</v>
      </c>
      <c r="I241" s="189">
        <f>SUMIF(F15:F229,"sb(S)",I15:I229)</f>
        <v>7680</v>
      </c>
      <c r="J241" s="146"/>
      <c r="K241" s="146"/>
      <c r="L241" s="146"/>
      <c r="M241" s="146"/>
    </row>
    <row r="242" spans="1:18" s="1" customFormat="1" ht="26.25" customHeight="1" x14ac:dyDescent="0.25">
      <c r="A242" s="1455" t="s">
        <v>142</v>
      </c>
      <c r="B242" s="1456"/>
      <c r="C242" s="1456"/>
      <c r="D242" s="1456"/>
      <c r="E242" s="1456"/>
      <c r="F242" s="1456"/>
      <c r="G242" s="253">
        <f>SUMIF(F15:F229,"sb(f)",G15:G229)</f>
        <v>450</v>
      </c>
      <c r="H242" s="254">
        <f>SUMIF(F15:F229,"sb(f)",H15:H229)</f>
        <v>300</v>
      </c>
      <c r="I242" s="252">
        <f>SUMIF(F15:F229,"sb(f)",I15:I229)</f>
        <v>250</v>
      </c>
      <c r="J242" s="146"/>
      <c r="K242" s="146"/>
      <c r="L242" s="146"/>
      <c r="M242" s="146"/>
      <c r="R242" s="2"/>
    </row>
    <row r="243" spans="1:18" s="1" customFormat="1" ht="28.5" customHeight="1" x14ac:dyDescent="0.25">
      <c r="A243" s="1455" t="s">
        <v>134</v>
      </c>
      <c r="B243" s="1456"/>
      <c r="C243" s="1456"/>
      <c r="D243" s="1456"/>
      <c r="E243" s="1456"/>
      <c r="F243" s="1456"/>
      <c r="G243" s="253">
        <f>SUMIF(F10:F229,"sb(es)",G10:G229)</f>
        <v>938.1</v>
      </c>
      <c r="H243" s="254">
        <f>SUMIF(F20:F229,"sb(es)",H20:H229)</f>
        <v>0</v>
      </c>
      <c r="I243" s="252">
        <f>SUMIF(F20:F229,"sb(es)",I20:I229)</f>
        <v>0</v>
      </c>
      <c r="J243" s="146"/>
      <c r="K243" s="146"/>
      <c r="L243" s="146"/>
      <c r="M243" s="145"/>
    </row>
    <row r="244" spans="1:18" s="1" customFormat="1" ht="29.65" customHeight="1" x14ac:dyDescent="0.25">
      <c r="A244" s="1455" t="s">
        <v>131</v>
      </c>
      <c r="B244" s="1456"/>
      <c r="C244" s="1456"/>
      <c r="D244" s="1456"/>
      <c r="E244" s="1456"/>
      <c r="F244" s="1456"/>
      <c r="G244" s="253">
        <f>SUMIF(F17:F229,"SB(esa)",G17:G229)</f>
        <v>7.3</v>
      </c>
      <c r="H244" s="254">
        <f>SUMIF(F17:F229,"SB(esa)",H17:H229)</f>
        <v>0</v>
      </c>
      <c r="I244" s="252">
        <f>SUMIF(F17:F229,"SB(esa)",I17:I229)</f>
        <v>0</v>
      </c>
      <c r="J244" s="145"/>
      <c r="K244" s="145"/>
      <c r="L244" s="145"/>
      <c r="M244" s="145"/>
    </row>
    <row r="245" spans="1:18" s="1" customFormat="1" ht="15.75" customHeight="1" x14ac:dyDescent="0.25">
      <c r="A245" s="1414" t="s">
        <v>73</v>
      </c>
      <c r="B245" s="1415"/>
      <c r="C245" s="1415"/>
      <c r="D245" s="1415"/>
      <c r="E245" s="1415"/>
      <c r="F245" s="1416"/>
      <c r="G245" s="255">
        <f>SUMIF(F15:F229,"sb(sp)",G15:G229)</f>
        <v>2708</v>
      </c>
      <c r="H245" s="256">
        <f>SUMIF(F15:F229,"sb(sp)",H15:H229)</f>
        <v>2710.9</v>
      </c>
      <c r="I245" s="257">
        <f>SUMIF(F15:F229,"sb(sp)",I15:I229)</f>
        <v>2717.9</v>
      </c>
      <c r="J245" s="146"/>
      <c r="K245" s="146"/>
      <c r="L245" s="146"/>
      <c r="M245" s="145"/>
    </row>
    <row r="246" spans="1:18" s="1" customFormat="1" ht="29.25" customHeight="1" x14ac:dyDescent="0.25">
      <c r="A246" s="1414" t="s">
        <v>74</v>
      </c>
      <c r="B246" s="1415"/>
      <c r="C246" s="1415"/>
      <c r="D246" s="1415"/>
      <c r="E246" s="1415"/>
      <c r="F246" s="1416"/>
      <c r="G246" s="253">
        <f>SUMIF(F15:F229,"sb(vb)",G15:G229)</f>
        <v>11331.7</v>
      </c>
      <c r="H246" s="254">
        <f>SUMIF(F15:F229,"sb(vb)",H15:H229)</f>
        <v>10001.400000000001</v>
      </c>
      <c r="I246" s="252">
        <f>SUMIF(F15:F229,"sb(vb)",I15:I229)</f>
        <v>10001.400000000001</v>
      </c>
      <c r="J246" s="146"/>
      <c r="K246" s="146"/>
      <c r="L246" s="146"/>
      <c r="M246" s="145"/>
    </row>
    <row r="247" spans="1:18" s="1" customFormat="1" ht="15.75" customHeight="1" x14ac:dyDescent="0.25">
      <c r="A247" s="1417" t="s">
        <v>110</v>
      </c>
      <c r="B247" s="1418"/>
      <c r="C247" s="1418"/>
      <c r="D247" s="1418"/>
      <c r="E247" s="1418"/>
      <c r="F247" s="1419"/>
      <c r="G247" s="271">
        <f>SUMIF(F15:F229,"sb(l)",G15:G229)</f>
        <v>155.69999999999999</v>
      </c>
      <c r="H247" s="287">
        <f>SUMIF(F15:F229,"sb(l)",H15:H229)</f>
        <v>0</v>
      </c>
      <c r="I247" s="279">
        <f>SUMIF(F15:F229,"sb(l)",I15:I229)</f>
        <v>0</v>
      </c>
      <c r="J247" s="146"/>
      <c r="K247" s="146"/>
      <c r="L247" s="146"/>
      <c r="M247" s="146"/>
    </row>
    <row r="248" spans="1:18" s="1" customFormat="1" ht="15.75" customHeight="1" x14ac:dyDescent="0.25">
      <c r="A248" s="1420" t="s">
        <v>181</v>
      </c>
      <c r="B248" s="1421"/>
      <c r="C248" s="1421"/>
      <c r="D248" s="1421"/>
      <c r="E248" s="1421"/>
      <c r="F248" s="1421"/>
      <c r="G248" s="271">
        <f>SUMIF(F15:F229,"sb(spl)",G15:G229)</f>
        <v>335.5</v>
      </c>
      <c r="H248" s="287">
        <f>SUMIF(F15:F229,"sb(spl)",H15:H229)</f>
        <v>0</v>
      </c>
      <c r="I248" s="279">
        <f>SUMIF(F15:F229,"sb(spl)",I15:I229)</f>
        <v>0</v>
      </c>
      <c r="J248" s="146"/>
      <c r="K248" s="146"/>
      <c r="L248" s="146"/>
      <c r="M248" s="146"/>
    </row>
    <row r="249" spans="1:18" s="1" customFormat="1" ht="15.75" customHeight="1" x14ac:dyDescent="0.25">
      <c r="A249" s="1417" t="s">
        <v>155</v>
      </c>
      <c r="B249" s="1418"/>
      <c r="C249" s="1418"/>
      <c r="D249" s="1418"/>
      <c r="E249" s="1418"/>
      <c r="F249" s="1419"/>
      <c r="G249" s="271">
        <f>SUMIF(F15:F229,"sb(vbl)",G15:G229)</f>
        <v>4</v>
      </c>
      <c r="H249" s="287">
        <f>SUMIF(F15:F229,"sb(vbl)",H15:H229)</f>
        <v>0</v>
      </c>
      <c r="I249" s="279">
        <f>SUMIF(F15:F229,"sb(vbl)",I15:I229)</f>
        <v>0</v>
      </c>
      <c r="J249" s="145"/>
      <c r="K249" s="145"/>
      <c r="L249" s="145"/>
      <c r="M249" s="145"/>
    </row>
    <row r="250" spans="1:18" s="1" customFormat="1" ht="26.25" customHeight="1" x14ac:dyDescent="0.25">
      <c r="A250" s="1420" t="s">
        <v>303</v>
      </c>
      <c r="B250" s="1421"/>
      <c r="C250" s="1421"/>
      <c r="D250" s="1421"/>
      <c r="E250" s="1421"/>
      <c r="F250" s="1421"/>
      <c r="G250" s="271">
        <f>SUMIF(F15:F229,"sb(fl)",G15:G229)</f>
        <v>141.4</v>
      </c>
      <c r="H250" s="287">
        <f>SUMIF(F15:F229,"sb(fl)",H15:H229)</f>
        <v>342.2</v>
      </c>
      <c r="I250" s="279">
        <f>SUMIF(F15:F229,"sb(fl)",I15:I229)</f>
        <v>500</v>
      </c>
      <c r="J250" s="146"/>
      <c r="K250" s="146"/>
      <c r="L250" s="146"/>
      <c r="M250" s="146"/>
    </row>
    <row r="251" spans="1:18" s="1" customFormat="1" ht="30" customHeight="1" thickBot="1" x14ac:dyDescent="0.3">
      <c r="A251" s="1466" t="s">
        <v>156</v>
      </c>
      <c r="B251" s="1467"/>
      <c r="C251" s="1467"/>
      <c r="D251" s="1467"/>
      <c r="E251" s="1467"/>
      <c r="F251" s="1468"/>
      <c r="G251" s="272">
        <f>SUMIF(F15:F229,"sb(esl)",G15:G229)</f>
        <v>86.899999999999991</v>
      </c>
      <c r="H251" s="288">
        <f>SUMIF(F15:F229,"sb(esl)",H15:H229)</f>
        <v>0</v>
      </c>
      <c r="I251" s="280">
        <f>SUMIF(F15:F229,"sb(esl)",I15:I229)</f>
        <v>0</v>
      </c>
      <c r="J251" s="145"/>
      <c r="K251" s="145"/>
      <c r="L251" s="145"/>
      <c r="M251" s="145"/>
    </row>
    <row r="252" spans="1:18" s="1" customFormat="1" ht="15.75" customHeight="1" thickBot="1" x14ac:dyDescent="0.3">
      <c r="A252" s="1469" t="s">
        <v>75</v>
      </c>
      <c r="B252" s="1470"/>
      <c r="C252" s="1470"/>
      <c r="D252" s="1470"/>
      <c r="E252" s="1470"/>
      <c r="F252" s="1471"/>
      <c r="G252" s="273">
        <f t="shared" ref="G252:I252" si="13">SUM(G253:G255)</f>
        <v>40988.099999999991</v>
      </c>
      <c r="H252" s="289">
        <f t="shared" si="13"/>
        <v>42678.299999999988</v>
      </c>
      <c r="I252" s="281">
        <f t="shared" si="13"/>
        <v>44990.19999999999</v>
      </c>
      <c r="J252" s="145"/>
      <c r="K252" s="145"/>
      <c r="L252" s="145"/>
      <c r="M252" s="145"/>
    </row>
    <row r="253" spans="1:18" s="1" customFormat="1" ht="15.75" customHeight="1" x14ac:dyDescent="0.25">
      <c r="A253" s="1414" t="s">
        <v>98</v>
      </c>
      <c r="B253" s="1415"/>
      <c r="C253" s="1415"/>
      <c r="D253" s="1415"/>
      <c r="E253" s="1415"/>
      <c r="F253" s="1416"/>
      <c r="G253" s="274">
        <f>SUMIF(F14:F229,"es",G14:G229)</f>
        <v>0</v>
      </c>
      <c r="H253" s="290">
        <f>SUMIF(F14:F229,"es",H14:H229)</f>
        <v>1740.2</v>
      </c>
      <c r="I253" s="282">
        <f>SUMIF(F14:F229,"es",I14:I229)</f>
        <v>4052.1000000000004</v>
      </c>
      <c r="J253" s="31"/>
      <c r="K253" s="31"/>
      <c r="L253" s="31"/>
      <c r="M253" s="143"/>
    </row>
    <row r="254" spans="1:18" s="1" customFormat="1" ht="15.75" customHeight="1" x14ac:dyDescent="0.25">
      <c r="A254" s="1463" t="s">
        <v>76</v>
      </c>
      <c r="B254" s="1464"/>
      <c r="C254" s="1464"/>
      <c r="D254" s="1464"/>
      <c r="E254" s="1464"/>
      <c r="F254" s="1465"/>
      <c r="G254" s="255">
        <f>SUMIF(F15:F229,"lrvb",G15:G229)</f>
        <v>40982.099999999991</v>
      </c>
      <c r="H254" s="256">
        <f>SUMIF(F15:F229,"lrvb",H15:H229)</f>
        <v>40932.099999999991</v>
      </c>
      <c r="I254" s="257">
        <f>SUMIF(F15:F229,"lrvb",I15:I229)</f>
        <v>40932.099999999991</v>
      </c>
      <c r="J254" s="24"/>
      <c r="K254" s="24"/>
      <c r="L254" s="24"/>
      <c r="M254" s="145"/>
    </row>
    <row r="255" spans="1:18" s="1" customFormat="1" ht="15.75" customHeight="1" thickBot="1" x14ac:dyDescent="0.3">
      <c r="A255" s="1446" t="s">
        <v>177</v>
      </c>
      <c r="B255" s="1447"/>
      <c r="C255" s="1447"/>
      <c r="D255" s="1447"/>
      <c r="E255" s="1447"/>
      <c r="F255" s="1448"/>
      <c r="G255" s="275">
        <f>SUMIF(F15:F229,"kt",G15:G229)</f>
        <v>6</v>
      </c>
      <c r="H255" s="291">
        <f>SUMIF(F15:F229,"kt",H15:H229)</f>
        <v>6</v>
      </c>
      <c r="I255" s="283">
        <f>SUMIF(F15:F229,"kt",I15:I229)</f>
        <v>6</v>
      </c>
      <c r="J255" s="24"/>
      <c r="K255" s="24"/>
      <c r="L255" s="24"/>
      <c r="M255" s="145"/>
    </row>
    <row r="256" spans="1:18" s="1" customFormat="1" ht="15.75" customHeight="1" thickBot="1" x14ac:dyDescent="0.3">
      <c r="A256" s="1449" t="s">
        <v>77</v>
      </c>
      <c r="B256" s="1450"/>
      <c r="C256" s="1450"/>
      <c r="D256" s="1450"/>
      <c r="E256" s="1450"/>
      <c r="F256" s="1451"/>
      <c r="G256" s="276">
        <f t="shared" ref="G256:I256" si="14">G238+G252</f>
        <v>71617.599999999991</v>
      </c>
      <c r="H256" s="292">
        <f t="shared" si="14"/>
        <v>71215.299999999988</v>
      </c>
      <c r="I256" s="284">
        <f t="shared" si="14"/>
        <v>73931</v>
      </c>
      <c r="J256" s="30"/>
      <c r="K256" s="30"/>
      <c r="L256" s="30"/>
      <c r="M256" s="143"/>
    </row>
    <row r="257" spans="6:12" x14ac:dyDescent="0.25">
      <c r="F257" s="1445"/>
      <c r="G257" s="1445"/>
      <c r="H257" s="1445"/>
      <c r="I257" s="1445"/>
    </row>
    <row r="258" spans="6:12" x14ac:dyDescent="0.25">
      <c r="F258" s="1096"/>
      <c r="G258" s="1096"/>
      <c r="H258" s="1096"/>
      <c r="I258" s="1098">
        <f>+I233-I256</f>
        <v>0</v>
      </c>
      <c r="J258" s="374"/>
      <c r="K258" s="374"/>
      <c r="L258" s="374"/>
    </row>
    <row r="259" spans="6:12" x14ac:dyDescent="0.25">
      <c r="I259" s="160"/>
      <c r="J259" s="374"/>
      <c r="K259" s="374"/>
      <c r="L259" s="374"/>
    </row>
    <row r="260" spans="6:12" x14ac:dyDescent="0.25">
      <c r="F260" s="375"/>
      <c r="G260" s="375"/>
      <c r="H260" s="375"/>
      <c r="I260" s="56"/>
      <c r="J260" s="144"/>
      <c r="K260" s="144"/>
      <c r="L260" s="144"/>
    </row>
    <row r="261" spans="6:12" x14ac:dyDescent="0.25">
      <c r="I261" s="160"/>
      <c r="J261" s="374"/>
      <c r="K261" s="374"/>
      <c r="L261" s="374"/>
    </row>
    <row r="262" spans="6:12" x14ac:dyDescent="0.25">
      <c r="I262" s="160"/>
      <c r="J262" s="374" t="s">
        <v>176</v>
      </c>
      <c r="K262" s="374"/>
      <c r="L262" s="374"/>
    </row>
    <row r="264" spans="6:12" x14ac:dyDescent="0.25">
      <c r="I264" s="161"/>
    </row>
  </sheetData>
  <mergeCells count="227">
    <mergeCell ref="J52:J53"/>
    <mergeCell ref="D162:D164"/>
    <mergeCell ref="J180:J181"/>
    <mergeCell ref="D199:D200"/>
    <mergeCell ref="J82:J83"/>
    <mergeCell ref="D104:D105"/>
    <mergeCell ref="D106:D107"/>
    <mergeCell ref="J1:M1"/>
    <mergeCell ref="A7:M7"/>
    <mergeCell ref="D189:D190"/>
    <mergeCell ref="J98:J99"/>
    <mergeCell ref="K98:K99"/>
    <mergeCell ref="L98:L99"/>
    <mergeCell ref="M98:M99"/>
    <mergeCell ref="J72:J74"/>
    <mergeCell ref="J109:J111"/>
    <mergeCell ref="K109:K111"/>
    <mergeCell ref="L109:L111"/>
    <mergeCell ref="M110:M111"/>
    <mergeCell ref="D135:D136"/>
    <mergeCell ref="D160:D161"/>
    <mergeCell ref="M122:M123"/>
    <mergeCell ref="B135:B137"/>
    <mergeCell ref="D137:D138"/>
    <mergeCell ref="J77:J78"/>
    <mergeCell ref="E79:E80"/>
    <mergeCell ref="D92:D95"/>
    <mergeCell ref="D122:D128"/>
    <mergeCell ref="D108:D113"/>
    <mergeCell ref="J93:J94"/>
    <mergeCell ref="A35:A38"/>
    <mergeCell ref="B35:B38"/>
    <mergeCell ref="J182:M182"/>
    <mergeCell ref="L146:L147"/>
    <mergeCell ref="C182:F182"/>
    <mergeCell ref="E101:E103"/>
    <mergeCell ref="J160:J161"/>
    <mergeCell ref="J171:J172"/>
    <mergeCell ref="K122:K123"/>
    <mergeCell ref="L122:L123"/>
    <mergeCell ref="J146:J147"/>
    <mergeCell ref="J169:J170"/>
    <mergeCell ref="D141:D142"/>
    <mergeCell ref="D171:D172"/>
    <mergeCell ref="D154:D156"/>
    <mergeCell ref="D144:D145"/>
    <mergeCell ref="D146:D148"/>
    <mergeCell ref="K146:K147"/>
    <mergeCell ref="A101:A103"/>
    <mergeCell ref="B101:B103"/>
    <mergeCell ref="C101:C103"/>
    <mergeCell ref="B44:B45"/>
    <mergeCell ref="A48:A50"/>
    <mergeCell ref="B48:B50"/>
    <mergeCell ref="A54:A55"/>
    <mergeCell ref="A56:A57"/>
    <mergeCell ref="B56:B57"/>
    <mergeCell ref="B54:B55"/>
    <mergeCell ref="E43:F43"/>
    <mergeCell ref="D51:D52"/>
    <mergeCell ref="D48:D50"/>
    <mergeCell ref="D46:D47"/>
    <mergeCell ref="A44:A45"/>
    <mergeCell ref="C44:C45"/>
    <mergeCell ref="D39:D41"/>
    <mergeCell ref="D44:D45"/>
    <mergeCell ref="D82:D83"/>
    <mergeCell ref="D42:D43"/>
    <mergeCell ref="A4:M4"/>
    <mergeCell ref="A5:M5"/>
    <mergeCell ref="A33:A34"/>
    <mergeCell ref="B33:B34"/>
    <mergeCell ref="A6:M6"/>
    <mergeCell ref="I8:I10"/>
    <mergeCell ref="A8:A10"/>
    <mergeCell ref="B8:B10"/>
    <mergeCell ref="G8:G10"/>
    <mergeCell ref="H8:H10"/>
    <mergeCell ref="A11:M11"/>
    <mergeCell ref="A12:M12"/>
    <mergeCell ref="B13:M13"/>
    <mergeCell ref="C14:M14"/>
    <mergeCell ref="J18:J19"/>
    <mergeCell ref="J15:J17"/>
    <mergeCell ref="E25:E26"/>
    <mergeCell ref="D21:D23"/>
    <mergeCell ref="C8:C10"/>
    <mergeCell ref="D8:D10"/>
    <mergeCell ref="E8:E10"/>
    <mergeCell ref="F8:F10"/>
    <mergeCell ref="J9:J10"/>
    <mergeCell ref="K9:M9"/>
    <mergeCell ref="J29:J30"/>
    <mergeCell ref="E44:E45"/>
    <mergeCell ref="D15:D20"/>
    <mergeCell ref="J35:J38"/>
    <mergeCell ref="D60:D61"/>
    <mergeCell ref="C58:F58"/>
    <mergeCell ref="C59:M59"/>
    <mergeCell ref="D33:D34"/>
    <mergeCell ref="D54:D55"/>
    <mergeCell ref="E54:E55"/>
    <mergeCell ref="J54:J55"/>
    <mergeCell ref="J48:J50"/>
    <mergeCell ref="K54:K55"/>
    <mergeCell ref="L54:L55"/>
    <mergeCell ref="M54:M55"/>
    <mergeCell ref="C54:C55"/>
    <mergeCell ref="D35:D38"/>
    <mergeCell ref="M40:M41"/>
    <mergeCell ref="J56:J57"/>
    <mergeCell ref="C56:C57"/>
    <mergeCell ref="C48:C50"/>
    <mergeCell ref="J46:J47"/>
    <mergeCell ref="J33:J34"/>
    <mergeCell ref="J39:J41"/>
    <mergeCell ref="M70:M71"/>
    <mergeCell ref="D56:D57"/>
    <mergeCell ref="J75:J76"/>
    <mergeCell ref="D75:D76"/>
    <mergeCell ref="J58:M58"/>
    <mergeCell ref="D70:D73"/>
    <mergeCell ref="J70:J71"/>
    <mergeCell ref="K70:K71"/>
    <mergeCell ref="L70:L71"/>
    <mergeCell ref="D222:D223"/>
    <mergeCell ref="J222:J223"/>
    <mergeCell ref="J194:J195"/>
    <mergeCell ref="D191:D192"/>
    <mergeCell ref="J220:J221"/>
    <mergeCell ref="J201:M201"/>
    <mergeCell ref="D193:D195"/>
    <mergeCell ref="D213:D215"/>
    <mergeCell ref="J199:J200"/>
    <mergeCell ref="L199:L200"/>
    <mergeCell ref="D220:D221"/>
    <mergeCell ref="D218:D219"/>
    <mergeCell ref="D210:D211"/>
    <mergeCell ref="J210:J211"/>
    <mergeCell ref="C201:F201"/>
    <mergeCell ref="D207:D209"/>
    <mergeCell ref="J218:J219"/>
    <mergeCell ref="D216:D217"/>
    <mergeCell ref="F257:I257"/>
    <mergeCell ref="A255:F255"/>
    <mergeCell ref="A256:F256"/>
    <mergeCell ref="A240:F240"/>
    <mergeCell ref="A242:F242"/>
    <mergeCell ref="A243:F243"/>
    <mergeCell ref="A244:F244"/>
    <mergeCell ref="A237:F237"/>
    <mergeCell ref="A238:F238"/>
    <mergeCell ref="A254:F254"/>
    <mergeCell ref="A249:F249"/>
    <mergeCell ref="A250:F250"/>
    <mergeCell ref="A251:F251"/>
    <mergeCell ref="A252:F252"/>
    <mergeCell ref="A239:F239"/>
    <mergeCell ref="A178:A181"/>
    <mergeCell ref="C202:M202"/>
    <mergeCell ref="D196:D198"/>
    <mergeCell ref="A253:F253"/>
    <mergeCell ref="A247:F247"/>
    <mergeCell ref="A248:F248"/>
    <mergeCell ref="A241:F241"/>
    <mergeCell ref="A246:F246"/>
    <mergeCell ref="A245:F245"/>
    <mergeCell ref="B233:F233"/>
    <mergeCell ref="B178:B181"/>
    <mergeCell ref="C178:C181"/>
    <mergeCell ref="D178:D181"/>
    <mergeCell ref="E178:E181"/>
    <mergeCell ref="J233:M233"/>
    <mergeCell ref="C232:F232"/>
    <mergeCell ref="D225:D227"/>
    <mergeCell ref="J225:J227"/>
    <mergeCell ref="D229:D230"/>
    <mergeCell ref="C231:F231"/>
    <mergeCell ref="J231:M231"/>
    <mergeCell ref="J232:M232"/>
    <mergeCell ref="A236:I236"/>
    <mergeCell ref="A234:M234"/>
    <mergeCell ref="L151:L152"/>
    <mergeCell ref="M151:M152"/>
    <mergeCell ref="D134:F134"/>
    <mergeCell ref="B162:B163"/>
    <mergeCell ref="A162:A163"/>
    <mergeCell ref="D149:D150"/>
    <mergeCell ref="D157:D158"/>
    <mergeCell ref="A173:A177"/>
    <mergeCell ref="B173:B177"/>
    <mergeCell ref="D151:D152"/>
    <mergeCell ref="E151:E152"/>
    <mergeCell ref="C173:C177"/>
    <mergeCell ref="D173:D177"/>
    <mergeCell ref="E173:E177"/>
    <mergeCell ref="A135:A137"/>
    <mergeCell ref="C135:C137"/>
    <mergeCell ref="J165:J166"/>
    <mergeCell ref="J137:J138"/>
    <mergeCell ref="J162:J163"/>
    <mergeCell ref="J149:J150"/>
    <mergeCell ref="K151:K152"/>
    <mergeCell ref="J8:M8"/>
    <mergeCell ref="D184:D187"/>
    <mergeCell ref="J189:J190"/>
    <mergeCell ref="K189:K190"/>
    <mergeCell ref="L189:L190"/>
    <mergeCell ref="M189:M190"/>
    <mergeCell ref="N72:P72"/>
    <mergeCell ref="N77:P77"/>
    <mergeCell ref="N104:P104"/>
    <mergeCell ref="N114:P116"/>
    <mergeCell ref="N137:P138"/>
    <mergeCell ref="N154:P156"/>
    <mergeCell ref="C183:M183"/>
    <mergeCell ref="D114:D121"/>
    <mergeCell ref="J117:J119"/>
    <mergeCell ref="J114:J116"/>
    <mergeCell ref="M169:M170"/>
    <mergeCell ref="J144:J145"/>
    <mergeCell ref="J122:J123"/>
    <mergeCell ref="J124:J127"/>
    <mergeCell ref="D101:D103"/>
    <mergeCell ref="J154:J156"/>
    <mergeCell ref="J151:J152"/>
    <mergeCell ref="M146:M147"/>
  </mergeCells>
  <printOptions horizontalCentered="1"/>
  <pageMargins left="0.78740157480314965" right="0.11811023622047245" top="0.39370078740157483" bottom="0.39370078740157483" header="0.31496062992125984" footer="0.31496062992125984"/>
  <pageSetup paperSize="9" scale="78" fitToHeight="0" orientation="portrait" r:id="rId1"/>
  <rowBreaks count="7" manualBreakCount="7">
    <brk id="28" max="12" man="1"/>
    <brk id="58" max="12" man="1"/>
    <brk id="94" max="12" man="1"/>
    <brk id="128" max="12" man="1"/>
    <brk id="156" max="12" man="1"/>
    <brk id="195" max="12" man="1"/>
    <brk id="23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1"/>
  <sheetViews>
    <sheetView zoomScaleNormal="100" zoomScaleSheetLayoutView="100" workbookViewId="0">
      <selection activeCell="A4" sqref="A4:Q4"/>
    </sheetView>
  </sheetViews>
  <sheetFormatPr defaultColWidth="9.28515625" defaultRowHeight="15" x14ac:dyDescent="0.25"/>
  <cols>
    <col min="1" max="4" width="3.28515625" style="29" customWidth="1"/>
    <col min="5" max="5" width="25.28515625" style="373" customWidth="1"/>
    <col min="6" max="6" width="4" style="1072" customWidth="1"/>
    <col min="7" max="7" width="14.28515625" style="1072" customWidth="1"/>
    <col min="8" max="10" width="8.5703125" style="373" customWidth="1"/>
    <col min="11" max="11" width="8.28515625" style="373" customWidth="1"/>
    <col min="12" max="12" width="7.7109375" style="1072" customWidth="1"/>
    <col min="13" max="13" width="25.28515625" style="373" customWidth="1"/>
    <col min="14" max="16" width="7.42578125" style="373" customWidth="1"/>
    <col min="17" max="17" width="6.7109375" style="74" customWidth="1"/>
    <col min="18" max="16384" width="9.28515625" style="373"/>
  </cols>
  <sheetData>
    <row r="1" spans="1:19" s="45" customFormat="1" ht="15.75" x14ac:dyDescent="0.25">
      <c r="A1" s="43"/>
      <c r="B1" s="43"/>
      <c r="C1" s="43"/>
      <c r="D1" s="43"/>
      <c r="E1" s="43"/>
      <c r="F1" s="44"/>
      <c r="G1" s="1617" t="s">
        <v>308</v>
      </c>
      <c r="H1" s="1617"/>
      <c r="I1" s="1617"/>
      <c r="J1" s="1617"/>
      <c r="K1" s="1617"/>
      <c r="L1" s="1617"/>
      <c r="M1" s="1617"/>
      <c r="N1" s="1617"/>
      <c r="O1" s="1617"/>
      <c r="P1" s="1617"/>
      <c r="Q1" s="1617"/>
    </row>
    <row r="2" spans="1:19" s="45" customFormat="1" ht="18" customHeight="1" x14ac:dyDescent="0.25">
      <c r="A2" s="43"/>
      <c r="B2" s="43"/>
      <c r="C2" s="43"/>
      <c r="D2" s="43"/>
      <c r="E2" s="43"/>
      <c r="F2" s="44"/>
      <c r="G2" s="1088"/>
      <c r="H2" s="1088"/>
      <c r="I2" s="1088"/>
      <c r="J2" s="1088"/>
      <c r="K2" s="1088"/>
      <c r="L2" s="1088"/>
      <c r="M2" s="1088"/>
      <c r="N2" s="1088"/>
      <c r="O2" s="1088"/>
      <c r="P2" s="1088"/>
      <c r="Q2" s="1088"/>
    </row>
    <row r="3" spans="1:19" s="370" customFormat="1" ht="16.5" customHeight="1" x14ac:dyDescent="0.25">
      <c r="A3" s="1516" t="s">
        <v>247</v>
      </c>
      <c r="B3" s="1516"/>
      <c r="C3" s="1516"/>
      <c r="D3" s="1516"/>
      <c r="E3" s="1516"/>
      <c r="F3" s="1516"/>
      <c r="G3" s="1516"/>
      <c r="H3" s="1516"/>
      <c r="I3" s="1516"/>
      <c r="J3" s="1516"/>
      <c r="K3" s="1516"/>
      <c r="L3" s="1516"/>
      <c r="M3" s="1516"/>
      <c r="N3" s="1516"/>
      <c r="O3" s="1516"/>
      <c r="P3" s="1516"/>
      <c r="Q3" s="1516"/>
    </row>
    <row r="4" spans="1:19" s="28" customFormat="1" ht="16.5" customHeight="1" x14ac:dyDescent="0.25">
      <c r="A4" s="1517" t="s">
        <v>0</v>
      </c>
      <c r="B4" s="1517"/>
      <c r="C4" s="1517"/>
      <c r="D4" s="1517"/>
      <c r="E4" s="1517"/>
      <c r="F4" s="1517"/>
      <c r="G4" s="1517"/>
      <c r="H4" s="1517"/>
      <c r="I4" s="1517"/>
      <c r="J4" s="1517"/>
      <c r="K4" s="1517"/>
      <c r="L4" s="1517"/>
      <c r="M4" s="1517"/>
      <c r="N4" s="1517"/>
      <c r="O4" s="1517"/>
      <c r="P4" s="1517"/>
      <c r="Q4" s="1517"/>
    </row>
    <row r="5" spans="1:19" s="28" customFormat="1" ht="16.5" customHeight="1" x14ac:dyDescent="0.25">
      <c r="A5" s="1518" t="s">
        <v>1</v>
      </c>
      <c r="B5" s="1518"/>
      <c r="C5" s="1518"/>
      <c r="D5" s="1518"/>
      <c r="E5" s="1518"/>
      <c r="F5" s="1518"/>
      <c r="G5" s="1518"/>
      <c r="H5" s="1518"/>
      <c r="I5" s="1518"/>
      <c r="J5" s="1518"/>
      <c r="K5" s="1518"/>
      <c r="L5" s="1518"/>
      <c r="M5" s="1518"/>
      <c r="N5" s="1518"/>
      <c r="O5" s="1518"/>
      <c r="P5" s="1518"/>
      <c r="Q5" s="1518"/>
    </row>
    <row r="6" spans="1:19" s="1" customFormat="1" ht="21.75" customHeight="1" thickBot="1" x14ac:dyDescent="0.25">
      <c r="A6" s="1600" t="s">
        <v>2</v>
      </c>
      <c r="B6" s="1600"/>
      <c r="C6" s="1600"/>
      <c r="D6" s="1600"/>
      <c r="E6" s="1600"/>
      <c r="F6" s="1600"/>
      <c r="G6" s="1600"/>
      <c r="H6" s="1600"/>
      <c r="I6" s="1600"/>
      <c r="J6" s="1600"/>
      <c r="K6" s="1600"/>
      <c r="L6" s="1600"/>
      <c r="M6" s="1600"/>
      <c r="N6" s="1600"/>
      <c r="O6" s="1600"/>
      <c r="P6" s="1600"/>
      <c r="Q6" s="1600"/>
    </row>
    <row r="7" spans="1:19" s="2" customFormat="1" ht="16.899999999999999" customHeight="1" thickBot="1" x14ac:dyDescent="0.3">
      <c r="A7" s="1522" t="s">
        <v>248</v>
      </c>
      <c r="B7" s="1525" t="s">
        <v>3</v>
      </c>
      <c r="C7" s="1552" t="s">
        <v>4</v>
      </c>
      <c r="D7" s="1552" t="s">
        <v>159</v>
      </c>
      <c r="E7" s="1555" t="s">
        <v>5</v>
      </c>
      <c r="F7" s="1558" t="s">
        <v>249</v>
      </c>
      <c r="G7" s="1621" t="s">
        <v>250</v>
      </c>
      <c r="H7" s="1561" t="s">
        <v>6</v>
      </c>
      <c r="I7" s="1624" t="s">
        <v>251</v>
      </c>
      <c r="J7" s="1528" t="s">
        <v>252</v>
      </c>
      <c r="K7" s="1531" t="s">
        <v>301</v>
      </c>
      <c r="L7" s="1519" t="s">
        <v>253</v>
      </c>
      <c r="M7" s="1337" t="s">
        <v>7</v>
      </c>
      <c r="N7" s="1338"/>
      <c r="O7" s="1338"/>
      <c r="P7" s="1338"/>
      <c r="Q7" s="1339"/>
      <c r="R7" s="880"/>
    </row>
    <row r="8" spans="1:19" s="2" customFormat="1" ht="17.25" customHeight="1" x14ac:dyDescent="0.25">
      <c r="A8" s="1523"/>
      <c r="B8" s="1526"/>
      <c r="C8" s="1553"/>
      <c r="D8" s="1553"/>
      <c r="E8" s="1556"/>
      <c r="F8" s="1559"/>
      <c r="G8" s="1622"/>
      <c r="H8" s="1562"/>
      <c r="I8" s="1625"/>
      <c r="J8" s="1529"/>
      <c r="K8" s="1532"/>
      <c r="L8" s="1520"/>
      <c r="M8" s="1564" t="s">
        <v>5</v>
      </c>
      <c r="N8" s="1562" t="s">
        <v>254</v>
      </c>
      <c r="O8" s="1566" t="s">
        <v>239</v>
      </c>
      <c r="P8" s="1567"/>
      <c r="Q8" s="1568"/>
    </row>
    <row r="9" spans="1:19" s="2" customFormat="1" ht="100.5" customHeight="1" thickBot="1" x14ac:dyDescent="0.3">
      <c r="A9" s="1524"/>
      <c r="B9" s="1527"/>
      <c r="C9" s="1554"/>
      <c r="D9" s="1554"/>
      <c r="E9" s="1557"/>
      <c r="F9" s="1560"/>
      <c r="G9" s="1623"/>
      <c r="H9" s="1563"/>
      <c r="I9" s="1626"/>
      <c r="J9" s="1530"/>
      <c r="K9" s="1533"/>
      <c r="L9" s="1521"/>
      <c r="M9" s="1565"/>
      <c r="N9" s="1563"/>
      <c r="O9" s="1050" t="s">
        <v>255</v>
      </c>
      <c r="P9" s="1049" t="s">
        <v>256</v>
      </c>
      <c r="Q9" s="525" t="s">
        <v>257</v>
      </c>
    </row>
    <row r="10" spans="1:19" s="1" customFormat="1" ht="16.899999999999999" customHeight="1" x14ac:dyDescent="0.25">
      <c r="A10" s="1534" t="s">
        <v>8</v>
      </c>
      <c r="B10" s="1535"/>
      <c r="C10" s="1535"/>
      <c r="D10" s="1535"/>
      <c r="E10" s="1535"/>
      <c r="F10" s="1535"/>
      <c r="G10" s="1535"/>
      <c r="H10" s="1535"/>
      <c r="I10" s="1535"/>
      <c r="J10" s="1535"/>
      <c r="K10" s="1535"/>
      <c r="L10" s="1535"/>
      <c r="M10" s="1535"/>
      <c r="N10" s="1535"/>
      <c r="O10" s="1535"/>
      <c r="P10" s="1535"/>
      <c r="Q10" s="1536"/>
    </row>
    <row r="11" spans="1:19" s="1" customFormat="1" ht="16.899999999999999" customHeight="1" x14ac:dyDescent="0.25">
      <c r="A11" s="1537" t="s">
        <v>9</v>
      </c>
      <c r="B11" s="1538"/>
      <c r="C11" s="1538"/>
      <c r="D11" s="1538"/>
      <c r="E11" s="1538"/>
      <c r="F11" s="1538"/>
      <c r="G11" s="1538"/>
      <c r="H11" s="1538"/>
      <c r="I11" s="1538"/>
      <c r="J11" s="1538"/>
      <c r="K11" s="1538"/>
      <c r="L11" s="1538"/>
      <c r="M11" s="1538"/>
      <c r="N11" s="1538"/>
      <c r="O11" s="1538"/>
      <c r="P11" s="1538"/>
      <c r="Q11" s="1539"/>
      <c r="S11" s="2"/>
    </row>
    <row r="12" spans="1:19" s="2" customFormat="1" ht="16.899999999999999" customHeight="1" x14ac:dyDescent="0.25">
      <c r="A12" s="90" t="s">
        <v>10</v>
      </c>
      <c r="B12" s="1540" t="s">
        <v>11</v>
      </c>
      <c r="C12" s="1540"/>
      <c r="D12" s="1540"/>
      <c r="E12" s="1540"/>
      <c r="F12" s="1540"/>
      <c r="G12" s="1540"/>
      <c r="H12" s="1540"/>
      <c r="I12" s="1540"/>
      <c r="J12" s="1540"/>
      <c r="K12" s="1540"/>
      <c r="L12" s="1540"/>
      <c r="M12" s="1540"/>
      <c r="N12" s="1540"/>
      <c r="O12" s="1540"/>
      <c r="P12" s="1540"/>
      <c r="Q12" s="1541"/>
    </row>
    <row r="13" spans="1:19" s="2" customFormat="1" ht="16.899999999999999" customHeight="1" thickBot="1" x14ac:dyDescent="0.3">
      <c r="A13" s="1014" t="s">
        <v>10</v>
      </c>
      <c r="B13" s="89" t="s">
        <v>10</v>
      </c>
      <c r="C13" s="1542" t="s">
        <v>12</v>
      </c>
      <c r="D13" s="1543"/>
      <c r="E13" s="1543"/>
      <c r="F13" s="1543"/>
      <c r="G13" s="1543"/>
      <c r="H13" s="1543"/>
      <c r="I13" s="1543"/>
      <c r="J13" s="1543"/>
      <c r="K13" s="1543"/>
      <c r="L13" s="1543"/>
      <c r="M13" s="1543"/>
      <c r="N13" s="1543"/>
      <c r="O13" s="1543"/>
      <c r="P13" s="1543"/>
      <c r="Q13" s="1544"/>
    </row>
    <row r="14" spans="1:19" s="2" customFormat="1" ht="16.5" customHeight="1" x14ac:dyDescent="0.25">
      <c r="A14" s="1010" t="s">
        <v>10</v>
      </c>
      <c r="B14" s="5" t="s">
        <v>10</v>
      </c>
      <c r="C14" s="1056" t="s">
        <v>10</v>
      </c>
      <c r="D14" s="105"/>
      <c r="E14" s="1428" t="s">
        <v>13</v>
      </c>
      <c r="F14" s="1063"/>
      <c r="G14" s="1618" t="s">
        <v>172</v>
      </c>
      <c r="H14" s="168" t="s">
        <v>206</v>
      </c>
      <c r="I14" s="589">
        <f>882.7+370</f>
        <v>1252.7</v>
      </c>
      <c r="J14" s="46">
        <v>1231.9000000000001</v>
      </c>
      <c r="K14" s="180">
        <v>1331.9</v>
      </c>
      <c r="L14" s="406">
        <v>1331.9</v>
      </c>
      <c r="M14" s="1357" t="s">
        <v>17</v>
      </c>
      <c r="N14" s="1065">
        <v>1348</v>
      </c>
      <c r="O14" s="139">
        <v>1329</v>
      </c>
      <c r="P14" s="235">
        <v>1329</v>
      </c>
      <c r="Q14" s="951">
        <v>1329</v>
      </c>
    </row>
    <row r="15" spans="1:19" s="2" customFormat="1" ht="16.5" customHeight="1" x14ac:dyDescent="0.25">
      <c r="A15" s="1010"/>
      <c r="B15" s="5"/>
      <c r="C15" s="1056"/>
      <c r="D15" s="105"/>
      <c r="E15" s="1428"/>
      <c r="F15" s="385"/>
      <c r="G15" s="1618"/>
      <c r="H15" s="73" t="s">
        <v>109</v>
      </c>
      <c r="I15" s="590">
        <f>200+15.4</f>
        <v>215.4</v>
      </c>
      <c r="J15" s="706">
        <v>100</v>
      </c>
      <c r="K15" s="181"/>
      <c r="L15" s="404"/>
      <c r="M15" s="1358"/>
      <c r="N15" s="992"/>
      <c r="O15" s="522"/>
      <c r="P15" s="1029"/>
      <c r="Q15" s="988"/>
      <c r="R15" s="46"/>
    </row>
    <row r="16" spans="1:19" s="2" customFormat="1" ht="15" customHeight="1" x14ac:dyDescent="0.25">
      <c r="A16" s="1010"/>
      <c r="B16" s="5"/>
      <c r="C16" s="1056"/>
      <c r="D16" s="105"/>
      <c r="E16" s="1428"/>
      <c r="F16" s="385"/>
      <c r="G16" s="1618"/>
      <c r="H16" s="72" t="s">
        <v>206</v>
      </c>
      <c r="I16" s="581">
        <f>199-40-42.8</f>
        <v>116.2</v>
      </c>
      <c r="J16" s="174">
        <v>507</v>
      </c>
      <c r="K16" s="182">
        <v>1155</v>
      </c>
      <c r="L16" s="405">
        <v>1155</v>
      </c>
      <c r="M16" s="1619" t="s">
        <v>18</v>
      </c>
      <c r="N16" s="991">
        <v>2647</v>
      </c>
      <c r="O16" s="54">
        <v>3161</v>
      </c>
      <c r="P16" s="1028">
        <v>3161</v>
      </c>
      <c r="Q16" s="987">
        <v>3161</v>
      </c>
      <c r="R16" s="46"/>
    </row>
    <row r="17" spans="1:18" s="2" customFormat="1" ht="15" customHeight="1" x14ac:dyDescent="0.25">
      <c r="A17" s="1010"/>
      <c r="B17" s="5"/>
      <c r="C17" s="1056"/>
      <c r="D17" s="105"/>
      <c r="E17" s="1428"/>
      <c r="F17" s="385"/>
      <c r="G17" s="1058"/>
      <c r="H17" s="70" t="s">
        <v>14</v>
      </c>
      <c r="I17" s="581"/>
      <c r="J17" s="174">
        <v>648</v>
      </c>
      <c r="K17" s="182"/>
      <c r="L17" s="405"/>
      <c r="M17" s="1350"/>
      <c r="N17" s="1065"/>
      <c r="O17" s="139"/>
      <c r="P17" s="967"/>
      <c r="Q17" s="951"/>
      <c r="R17" s="46"/>
    </row>
    <row r="18" spans="1:18" s="2" customFormat="1" ht="15" customHeight="1" x14ac:dyDescent="0.25">
      <c r="A18" s="1010"/>
      <c r="B18" s="5"/>
      <c r="C18" s="1056"/>
      <c r="D18" s="105"/>
      <c r="E18" s="1428"/>
      <c r="F18" s="385"/>
      <c r="G18" s="353"/>
      <c r="H18" s="128" t="s">
        <v>109</v>
      </c>
      <c r="I18" s="591">
        <v>595</v>
      </c>
      <c r="J18" s="46"/>
      <c r="K18" s="183"/>
      <c r="L18" s="406"/>
      <c r="M18" s="1620"/>
      <c r="N18" s="992"/>
      <c r="O18" s="519"/>
      <c r="P18" s="563"/>
      <c r="Q18" s="988"/>
    </row>
    <row r="19" spans="1:18" s="2" customFormat="1" ht="27.6" customHeight="1" x14ac:dyDescent="0.25">
      <c r="A19" s="1010"/>
      <c r="B19" s="5"/>
      <c r="C19" s="1056"/>
      <c r="D19" s="105"/>
      <c r="E19" s="1428"/>
      <c r="F19" s="385"/>
      <c r="G19" s="353"/>
      <c r="H19" s="72" t="s">
        <v>206</v>
      </c>
      <c r="I19" s="581">
        <f>174.2+64+42.8</f>
        <v>281</v>
      </c>
      <c r="J19" s="174">
        <v>195.7</v>
      </c>
      <c r="K19" s="182">
        <v>195.7</v>
      </c>
      <c r="L19" s="405">
        <v>195.7</v>
      </c>
      <c r="M19" s="1474" t="s">
        <v>19</v>
      </c>
      <c r="N19" s="991">
        <v>65</v>
      </c>
      <c r="O19" s="638">
        <v>70</v>
      </c>
      <c r="P19" s="245">
        <v>70</v>
      </c>
      <c r="Q19" s="987">
        <v>70</v>
      </c>
    </row>
    <row r="20" spans="1:18" s="2" customFormat="1" ht="27.6" customHeight="1" x14ac:dyDescent="0.25">
      <c r="A20" s="1010"/>
      <c r="B20" s="5"/>
      <c r="C20" s="1056"/>
      <c r="D20" s="105"/>
      <c r="E20" s="1060"/>
      <c r="F20" s="385"/>
      <c r="G20" s="353"/>
      <c r="H20" s="168" t="s">
        <v>109</v>
      </c>
      <c r="I20" s="590">
        <v>5</v>
      </c>
      <c r="J20" s="46"/>
      <c r="K20" s="183"/>
      <c r="L20" s="404"/>
      <c r="M20" s="1475"/>
      <c r="N20" s="992"/>
      <c r="O20" s="639"/>
      <c r="P20" s="236"/>
      <c r="Q20" s="988"/>
    </row>
    <row r="21" spans="1:18" s="2" customFormat="1" ht="55.15" customHeight="1" x14ac:dyDescent="0.25">
      <c r="A21" s="1010"/>
      <c r="B21" s="5"/>
      <c r="C21" s="1056"/>
      <c r="D21" s="1078" t="s">
        <v>10</v>
      </c>
      <c r="E21" s="1412" t="s">
        <v>15</v>
      </c>
      <c r="F21" s="1008" t="s">
        <v>264</v>
      </c>
      <c r="G21" s="353"/>
      <c r="H21" s="961" t="s">
        <v>14</v>
      </c>
      <c r="I21" s="590">
        <f>780-0.5+95.8</f>
        <v>875.3</v>
      </c>
      <c r="J21" s="962">
        <v>870.1</v>
      </c>
      <c r="K21" s="963">
        <v>870.1</v>
      </c>
      <c r="L21" s="404">
        <v>870.1</v>
      </c>
      <c r="M21" s="19" t="s">
        <v>85</v>
      </c>
      <c r="N21" s="527">
        <v>4</v>
      </c>
      <c r="O21" s="640">
        <v>4</v>
      </c>
      <c r="P21" s="641">
        <v>4</v>
      </c>
      <c r="Q21" s="437">
        <v>4</v>
      </c>
      <c r="R21" s="46"/>
    </row>
    <row r="22" spans="1:18" s="2" customFormat="1" ht="42.6" customHeight="1" x14ac:dyDescent="0.25">
      <c r="A22" s="1010"/>
      <c r="B22" s="5"/>
      <c r="C22" s="1056"/>
      <c r="D22" s="105"/>
      <c r="E22" s="1393"/>
      <c r="F22" s="385"/>
      <c r="G22" s="844"/>
      <c r="H22" s="162"/>
      <c r="I22" s="592"/>
      <c r="J22" s="960"/>
      <c r="K22" s="709"/>
      <c r="L22" s="407"/>
      <c r="M22" s="156" t="s">
        <v>84</v>
      </c>
      <c r="N22" s="991">
        <v>185</v>
      </c>
      <c r="O22" s="521">
        <v>190</v>
      </c>
      <c r="P22" s="588">
        <v>190</v>
      </c>
      <c r="Q22" s="987">
        <v>190</v>
      </c>
    </row>
    <row r="23" spans="1:18" s="2" customFormat="1" ht="51" customHeight="1" x14ac:dyDescent="0.25">
      <c r="A23" s="1010"/>
      <c r="B23" s="5"/>
      <c r="C23" s="1056"/>
      <c r="D23" s="105"/>
      <c r="E23" s="1393"/>
      <c r="F23" s="385"/>
      <c r="G23" s="1065" t="s">
        <v>190</v>
      </c>
      <c r="H23" s="73" t="s">
        <v>14</v>
      </c>
      <c r="I23" s="593">
        <f>168.3+50</f>
        <v>218.3</v>
      </c>
      <c r="J23" s="46">
        <v>281.7</v>
      </c>
      <c r="K23" s="183">
        <v>281.7</v>
      </c>
      <c r="L23" s="408">
        <v>281.7</v>
      </c>
      <c r="M23" s="1627" t="s">
        <v>86</v>
      </c>
      <c r="N23" s="528">
        <v>75</v>
      </c>
      <c r="O23" s="521">
        <v>100</v>
      </c>
      <c r="P23" s="588">
        <v>100</v>
      </c>
      <c r="Q23" s="842">
        <v>105</v>
      </c>
    </row>
    <row r="24" spans="1:18" s="2" customFormat="1" ht="17.25" customHeight="1" x14ac:dyDescent="0.25">
      <c r="A24" s="1010"/>
      <c r="B24" s="5"/>
      <c r="C24" s="1056"/>
      <c r="D24" s="1079"/>
      <c r="E24" s="1413"/>
      <c r="F24" s="385"/>
      <c r="G24" s="844"/>
      <c r="H24" s="164" t="s">
        <v>20</v>
      </c>
      <c r="I24" s="594">
        <f>SUM(I14:I23)</f>
        <v>3558.9000000000005</v>
      </c>
      <c r="J24" s="670">
        <f t="shared" ref="J24:L24" si="0">SUM(J14:J23)</f>
        <v>3834.3999999999996</v>
      </c>
      <c r="K24" s="672">
        <f t="shared" si="0"/>
        <v>3834.3999999999996</v>
      </c>
      <c r="L24" s="671">
        <f t="shared" si="0"/>
        <v>3834.3999999999996</v>
      </c>
      <c r="M24" s="1628"/>
      <c r="N24" s="1065"/>
      <c r="O24" s="523"/>
      <c r="P24" s="331"/>
      <c r="Q24" s="951"/>
    </row>
    <row r="25" spans="1:18" s="2" customFormat="1" ht="57.6" customHeight="1" x14ac:dyDescent="0.25">
      <c r="A25" s="1010"/>
      <c r="B25" s="5"/>
      <c r="C25" s="1056"/>
      <c r="D25" s="105" t="s">
        <v>28</v>
      </c>
      <c r="E25" s="996" t="s">
        <v>21</v>
      </c>
      <c r="F25" s="835" t="s">
        <v>264</v>
      </c>
      <c r="G25" s="353" t="s">
        <v>233</v>
      </c>
      <c r="H25" s="165" t="s">
        <v>14</v>
      </c>
      <c r="I25" s="590">
        <f>1145.7+2004.8</f>
        <v>3150.5</v>
      </c>
      <c r="J25" s="339">
        <v>2884.6</v>
      </c>
      <c r="K25" s="202">
        <v>2884.6</v>
      </c>
      <c r="L25" s="404">
        <v>2884.6</v>
      </c>
      <c r="M25" s="995" t="s">
        <v>161</v>
      </c>
      <c r="N25" s="527">
        <v>518</v>
      </c>
      <c r="O25" s="54">
        <v>723</v>
      </c>
      <c r="P25" s="1028">
        <v>723</v>
      </c>
      <c r="Q25" s="437">
        <v>723</v>
      </c>
    </row>
    <row r="26" spans="1:18" s="2" customFormat="1" ht="56.65" customHeight="1" x14ac:dyDescent="0.25">
      <c r="A26" s="1010"/>
      <c r="B26" s="5"/>
      <c r="C26" s="1056"/>
      <c r="D26" s="105"/>
      <c r="E26" s="996"/>
      <c r="F26" s="1629" t="s">
        <v>265</v>
      </c>
      <c r="G26" s="353"/>
      <c r="H26" s="165" t="s">
        <v>14</v>
      </c>
      <c r="I26" s="590">
        <v>329.7</v>
      </c>
      <c r="J26" s="339">
        <v>399.3</v>
      </c>
      <c r="K26" s="202">
        <v>399.3</v>
      </c>
      <c r="L26" s="404">
        <v>399.3</v>
      </c>
      <c r="M26" s="148" t="s">
        <v>162</v>
      </c>
      <c r="N26" s="527">
        <v>60</v>
      </c>
      <c r="O26" s="640">
        <v>65</v>
      </c>
      <c r="P26" s="641">
        <v>65</v>
      </c>
      <c r="Q26" s="437">
        <v>65</v>
      </c>
    </row>
    <row r="27" spans="1:18" s="2" customFormat="1" ht="57" customHeight="1" x14ac:dyDescent="0.25">
      <c r="A27" s="1010"/>
      <c r="B27" s="5"/>
      <c r="C27" s="1056"/>
      <c r="D27" s="105"/>
      <c r="E27" s="996"/>
      <c r="F27" s="1629"/>
      <c r="G27" s="353"/>
      <c r="H27" s="165" t="s">
        <v>14</v>
      </c>
      <c r="I27" s="590">
        <v>840.4</v>
      </c>
      <c r="J27" s="339">
        <v>1047.8</v>
      </c>
      <c r="K27" s="202">
        <v>1047.8</v>
      </c>
      <c r="L27" s="404">
        <v>1047.8</v>
      </c>
      <c r="M27" s="1055" t="s">
        <v>227</v>
      </c>
      <c r="N27" s="527">
        <v>125</v>
      </c>
      <c r="O27" s="639">
        <v>123</v>
      </c>
      <c r="P27" s="236">
        <v>123</v>
      </c>
      <c r="Q27" s="437">
        <v>123</v>
      </c>
    </row>
    <row r="28" spans="1:18" s="2" customFormat="1" ht="56.65" customHeight="1" x14ac:dyDescent="0.25">
      <c r="A28" s="1010"/>
      <c r="B28" s="5"/>
      <c r="C28" s="1056"/>
      <c r="D28" s="105"/>
      <c r="E28" s="996"/>
      <c r="F28" s="730"/>
      <c r="G28" s="353"/>
      <c r="H28" s="165" t="s">
        <v>14</v>
      </c>
      <c r="I28" s="590">
        <v>197.9</v>
      </c>
      <c r="J28" s="339">
        <v>254</v>
      </c>
      <c r="K28" s="202">
        <v>254</v>
      </c>
      <c r="L28" s="404">
        <v>254</v>
      </c>
      <c r="M28" s="997" t="s">
        <v>163</v>
      </c>
      <c r="N28" s="527">
        <v>32</v>
      </c>
      <c r="O28" s="522">
        <v>32</v>
      </c>
      <c r="P28" s="1029">
        <v>32</v>
      </c>
      <c r="Q28" s="437">
        <v>32</v>
      </c>
    </row>
    <row r="29" spans="1:18" s="2" customFormat="1" ht="56.65" customHeight="1" x14ac:dyDescent="0.25">
      <c r="A29" s="1010"/>
      <c r="B29" s="5"/>
      <c r="C29" s="1056"/>
      <c r="D29" s="105"/>
      <c r="E29" s="996"/>
      <c r="F29" s="730"/>
      <c r="G29" s="353"/>
      <c r="H29" s="165" t="s">
        <v>14</v>
      </c>
      <c r="I29" s="590">
        <v>367.3</v>
      </c>
      <c r="J29" s="339">
        <v>476.7</v>
      </c>
      <c r="K29" s="202">
        <v>476.7</v>
      </c>
      <c r="L29" s="404">
        <v>476.7</v>
      </c>
      <c r="M29" s="148" t="s">
        <v>228</v>
      </c>
      <c r="N29" s="527">
        <v>35</v>
      </c>
      <c r="O29" s="640">
        <v>35</v>
      </c>
      <c r="P29" s="641">
        <v>35</v>
      </c>
      <c r="Q29" s="437">
        <v>35</v>
      </c>
    </row>
    <row r="30" spans="1:18" s="2" customFormat="1" ht="26.25" customHeight="1" x14ac:dyDescent="0.25">
      <c r="A30" s="1010"/>
      <c r="B30" s="5"/>
      <c r="C30" s="1056"/>
      <c r="D30" s="105"/>
      <c r="E30" s="996"/>
      <c r="F30" s="730"/>
      <c r="G30" s="353"/>
      <c r="H30" s="165" t="s">
        <v>14</v>
      </c>
      <c r="I30" s="590">
        <v>32.9</v>
      </c>
      <c r="J30" s="339">
        <v>41.4</v>
      </c>
      <c r="K30" s="202">
        <v>41.4</v>
      </c>
      <c r="L30" s="404">
        <v>41.4</v>
      </c>
      <c r="M30" s="1474" t="s">
        <v>164</v>
      </c>
      <c r="N30" s="1065">
        <v>8</v>
      </c>
      <c r="O30" s="12">
        <v>8</v>
      </c>
      <c r="P30" s="239">
        <v>8</v>
      </c>
      <c r="Q30" s="951">
        <v>8</v>
      </c>
    </row>
    <row r="31" spans="1:18" s="2" customFormat="1" ht="39" customHeight="1" x14ac:dyDescent="0.25">
      <c r="A31" s="1010"/>
      <c r="B31" s="5"/>
      <c r="C31" s="1056"/>
      <c r="D31" s="105"/>
      <c r="E31" s="996"/>
      <c r="F31" s="730"/>
      <c r="G31" s="353"/>
      <c r="H31" s="162"/>
      <c r="I31" s="591"/>
      <c r="J31" s="338"/>
      <c r="K31" s="216"/>
      <c r="L31" s="406"/>
      <c r="M31" s="1433"/>
      <c r="N31" s="1065"/>
      <c r="O31" s="12"/>
      <c r="P31" s="239"/>
      <c r="Q31" s="951"/>
    </row>
    <row r="32" spans="1:18" s="2" customFormat="1" ht="16.5" customHeight="1" x14ac:dyDescent="0.25">
      <c r="A32" s="1010"/>
      <c r="B32" s="5"/>
      <c r="C32" s="1056"/>
      <c r="D32" s="105"/>
      <c r="E32" s="997"/>
      <c r="F32" s="731"/>
      <c r="G32" s="353"/>
      <c r="H32" s="166" t="s">
        <v>20</v>
      </c>
      <c r="I32" s="594">
        <f>SUM(I25:I31)</f>
        <v>4918.6999999999989</v>
      </c>
      <c r="J32" s="670">
        <f t="shared" ref="J32:L32" si="1">SUM(J25:J31)</f>
        <v>5103.7999999999993</v>
      </c>
      <c r="K32" s="672">
        <f t="shared" si="1"/>
        <v>5103.7999999999993</v>
      </c>
      <c r="L32" s="671">
        <f t="shared" si="1"/>
        <v>5103.7999999999993</v>
      </c>
      <c r="M32" s="1475"/>
      <c r="N32" s="992"/>
      <c r="O32" s="639"/>
      <c r="P32" s="236"/>
      <c r="Q32" s="988"/>
    </row>
    <row r="33" spans="1:17" s="2" customFormat="1" ht="39.75" customHeight="1" x14ac:dyDescent="0.25">
      <c r="A33" s="1010"/>
      <c r="B33" s="5"/>
      <c r="C33" s="1056"/>
      <c r="D33" s="1078" t="s">
        <v>31</v>
      </c>
      <c r="E33" s="1357" t="s">
        <v>22</v>
      </c>
      <c r="F33" s="1008" t="s">
        <v>264</v>
      </c>
      <c r="G33" s="353"/>
      <c r="H33" s="163" t="s">
        <v>14</v>
      </c>
      <c r="I33" s="567">
        <f>929.6+14+32</f>
        <v>975.6</v>
      </c>
      <c r="J33" s="708">
        <v>1290.5999999999999</v>
      </c>
      <c r="K33" s="709">
        <v>1290.5999999999999</v>
      </c>
      <c r="L33" s="679">
        <v>1290.5999999999999</v>
      </c>
      <c r="M33" s="1433" t="s">
        <v>23</v>
      </c>
      <c r="N33" s="1065">
        <v>51</v>
      </c>
      <c r="O33" s="12">
        <v>53</v>
      </c>
      <c r="P33" s="239">
        <v>53</v>
      </c>
      <c r="Q33" s="951">
        <v>53</v>
      </c>
    </row>
    <row r="34" spans="1:17" s="2" customFormat="1" ht="16.5" customHeight="1" x14ac:dyDescent="0.25">
      <c r="A34" s="1010"/>
      <c r="B34" s="5"/>
      <c r="C34" s="1056"/>
      <c r="D34" s="105"/>
      <c r="E34" s="1358"/>
      <c r="F34" s="728"/>
      <c r="G34" s="353"/>
      <c r="H34" s="166" t="s">
        <v>20</v>
      </c>
      <c r="I34" s="594">
        <f t="shared" ref="I34:L34" si="2">+I33</f>
        <v>975.6</v>
      </c>
      <c r="J34" s="670">
        <f t="shared" si="2"/>
        <v>1290.5999999999999</v>
      </c>
      <c r="K34" s="672">
        <f t="shared" si="2"/>
        <v>1290.5999999999999</v>
      </c>
      <c r="L34" s="671">
        <f t="shared" si="2"/>
        <v>1290.5999999999999</v>
      </c>
      <c r="M34" s="1475"/>
      <c r="N34" s="992"/>
      <c r="O34" s="639"/>
      <c r="P34" s="236"/>
      <c r="Q34" s="988"/>
    </row>
    <row r="35" spans="1:17" s="2" customFormat="1" ht="38.25" customHeight="1" x14ac:dyDescent="0.25">
      <c r="A35" s="1010"/>
      <c r="B35" s="5"/>
      <c r="C35" s="1056"/>
      <c r="D35" s="1078" t="s">
        <v>33</v>
      </c>
      <c r="E35" s="1357" t="s">
        <v>24</v>
      </c>
      <c r="F35" s="889" t="s">
        <v>264</v>
      </c>
      <c r="G35" s="353"/>
      <c r="H35" s="163" t="s">
        <v>14</v>
      </c>
      <c r="I35" s="567">
        <f>1799-20</f>
        <v>1779</v>
      </c>
      <c r="J35" s="708">
        <v>2027.7</v>
      </c>
      <c r="K35" s="709">
        <v>2027.7</v>
      </c>
      <c r="L35" s="679">
        <v>2027.7</v>
      </c>
      <c r="M35" s="1433" t="s">
        <v>25</v>
      </c>
      <c r="N35" s="1065">
        <v>5293</v>
      </c>
      <c r="O35" s="642">
        <v>5720</v>
      </c>
      <c r="P35" s="641">
        <v>5720</v>
      </c>
      <c r="Q35" s="951">
        <v>5720</v>
      </c>
    </row>
    <row r="36" spans="1:17" s="2" customFormat="1" ht="16.5" customHeight="1" x14ac:dyDescent="0.25">
      <c r="A36" s="1010"/>
      <c r="B36" s="5"/>
      <c r="C36" s="1056"/>
      <c r="D36" s="105"/>
      <c r="E36" s="1357"/>
      <c r="F36" s="1081" t="s">
        <v>265</v>
      </c>
      <c r="G36" s="353"/>
      <c r="H36" s="166" t="s">
        <v>20</v>
      </c>
      <c r="I36" s="582">
        <f t="shared" ref="I36:L36" si="3">+I35</f>
        <v>1779</v>
      </c>
      <c r="J36" s="7">
        <f t="shared" si="3"/>
        <v>2027.7</v>
      </c>
      <c r="K36" s="672">
        <f t="shared" si="3"/>
        <v>2027.7</v>
      </c>
      <c r="L36" s="177">
        <f t="shared" si="3"/>
        <v>2027.7</v>
      </c>
      <c r="M36" s="1433"/>
      <c r="N36" s="527">
        <v>841</v>
      </c>
      <c r="O36" s="12">
        <v>871</v>
      </c>
      <c r="P36" s="239">
        <v>871</v>
      </c>
      <c r="Q36" s="437">
        <v>871</v>
      </c>
    </row>
    <row r="37" spans="1:17" s="2" customFormat="1" ht="16.899999999999999" customHeight="1" x14ac:dyDescent="0.25">
      <c r="A37" s="1376"/>
      <c r="B37" s="1375"/>
      <c r="C37" s="1012"/>
      <c r="D37" s="108" t="s">
        <v>34</v>
      </c>
      <c r="E37" s="1356" t="s">
        <v>26</v>
      </c>
      <c r="F37" s="1080" t="s">
        <v>264</v>
      </c>
      <c r="G37" s="42"/>
      <c r="H37" s="499" t="s">
        <v>16</v>
      </c>
      <c r="I37" s="566">
        <v>423.8</v>
      </c>
      <c r="J37" s="710">
        <v>466.1</v>
      </c>
      <c r="K37" s="186">
        <v>466.1</v>
      </c>
      <c r="L37" s="409">
        <v>466.1</v>
      </c>
      <c r="M37" s="1477" t="s">
        <v>87</v>
      </c>
      <c r="N37" s="528">
        <v>5386</v>
      </c>
      <c r="O37" s="264">
        <v>5470</v>
      </c>
      <c r="P37" s="1069">
        <v>5470</v>
      </c>
      <c r="Q37" s="842">
        <v>5470</v>
      </c>
    </row>
    <row r="38" spans="1:17" s="2" customFormat="1" ht="16.899999999999999" customHeight="1" x14ac:dyDescent="0.25">
      <c r="A38" s="1376"/>
      <c r="B38" s="1375"/>
      <c r="C38" s="1012"/>
      <c r="D38" s="634"/>
      <c r="E38" s="1357"/>
      <c r="F38" s="889" t="s">
        <v>265</v>
      </c>
      <c r="G38" s="42"/>
      <c r="H38" s="150"/>
      <c r="I38" s="1084"/>
      <c r="J38" s="866"/>
      <c r="K38" s="867"/>
      <c r="L38" s="1085"/>
      <c r="M38" s="1515"/>
      <c r="N38" s="353"/>
      <c r="O38" s="901"/>
      <c r="P38" s="242"/>
      <c r="Q38" s="440"/>
    </row>
    <row r="39" spans="1:17" s="2" customFormat="1" ht="21" customHeight="1" x14ac:dyDescent="0.25">
      <c r="A39" s="1376"/>
      <c r="B39" s="1375"/>
      <c r="C39" s="1012"/>
      <c r="D39" s="106"/>
      <c r="E39" s="1358"/>
      <c r="F39" s="836"/>
      <c r="G39" s="42"/>
      <c r="H39" s="167" t="s">
        <v>20</v>
      </c>
      <c r="I39" s="594">
        <f>SUM(I37:I38)</f>
        <v>423.8</v>
      </c>
      <c r="J39" s="670">
        <f t="shared" ref="J39:L39" si="4">SUM(J37:J38)</f>
        <v>466.1</v>
      </c>
      <c r="K39" s="672">
        <f t="shared" si="4"/>
        <v>466.1</v>
      </c>
      <c r="L39" s="671">
        <f t="shared" si="4"/>
        <v>466.1</v>
      </c>
      <c r="M39" s="25"/>
      <c r="N39" s="529"/>
      <c r="O39" s="639"/>
      <c r="P39" s="236"/>
      <c r="Q39" s="441"/>
    </row>
    <row r="40" spans="1:17" s="1" customFormat="1" ht="17.25" customHeight="1" x14ac:dyDescent="0.25">
      <c r="A40" s="1376"/>
      <c r="B40" s="1375"/>
      <c r="C40" s="1012"/>
      <c r="D40" s="634" t="s">
        <v>48</v>
      </c>
      <c r="E40" s="1385" t="s">
        <v>135</v>
      </c>
      <c r="F40" s="1080" t="s">
        <v>264</v>
      </c>
      <c r="G40" s="42"/>
      <c r="H40" s="128" t="s">
        <v>14</v>
      </c>
      <c r="I40" s="595">
        <f>507.5+33</f>
        <v>540.5</v>
      </c>
      <c r="J40" s="868">
        <v>667.4</v>
      </c>
      <c r="K40" s="711"/>
      <c r="L40" s="410"/>
      <c r="M40" s="1361" t="s">
        <v>101</v>
      </c>
      <c r="N40" s="530">
        <v>108</v>
      </c>
      <c r="O40" s="139">
        <v>108</v>
      </c>
      <c r="P40" s="967"/>
      <c r="Q40" s="442"/>
    </row>
    <row r="41" spans="1:17" s="1" customFormat="1" ht="17.25" customHeight="1" x14ac:dyDescent="0.25">
      <c r="A41" s="1376"/>
      <c r="B41" s="1375"/>
      <c r="C41" s="1012"/>
      <c r="D41" s="634"/>
      <c r="E41" s="1452"/>
      <c r="F41" s="889" t="s">
        <v>265</v>
      </c>
      <c r="G41" s="42"/>
      <c r="H41" s="168" t="s">
        <v>16</v>
      </c>
      <c r="I41" s="576"/>
      <c r="J41" s="46">
        <v>124.8</v>
      </c>
      <c r="K41" s="183"/>
      <c r="L41" s="427"/>
      <c r="M41" s="1359"/>
      <c r="N41" s="530"/>
      <c r="O41" s="139"/>
      <c r="P41" s="967"/>
      <c r="Q41" s="442"/>
    </row>
    <row r="42" spans="1:17" s="1" customFormat="1" ht="17.25" customHeight="1" x14ac:dyDescent="0.25">
      <c r="A42" s="1376"/>
      <c r="B42" s="1375"/>
      <c r="C42" s="1012"/>
      <c r="D42" s="634"/>
      <c r="E42" s="1452"/>
      <c r="F42" s="389"/>
      <c r="G42" s="42"/>
      <c r="H42" s="73" t="s">
        <v>111</v>
      </c>
      <c r="I42" s="566">
        <v>256.10000000000002</v>
      </c>
      <c r="J42" s="706">
        <v>2.1</v>
      </c>
      <c r="K42" s="181"/>
      <c r="L42" s="409"/>
      <c r="M42" s="1359"/>
      <c r="N42" s="530"/>
      <c r="O42" s="139"/>
      <c r="P42" s="967"/>
      <c r="Q42" s="442"/>
    </row>
    <row r="43" spans="1:17" s="1" customFormat="1" ht="17.25" customHeight="1" x14ac:dyDescent="0.25">
      <c r="A43" s="1376"/>
      <c r="B43" s="1375"/>
      <c r="C43" s="1012"/>
      <c r="D43" s="634"/>
      <c r="E43" s="1452"/>
      <c r="F43" s="389"/>
      <c r="G43" s="42"/>
      <c r="H43" s="73" t="s">
        <v>116</v>
      </c>
      <c r="I43" s="566">
        <v>74</v>
      </c>
      <c r="J43" s="706">
        <v>50</v>
      </c>
      <c r="K43" s="181"/>
      <c r="L43" s="409"/>
      <c r="M43" s="1359"/>
      <c r="N43" s="530"/>
      <c r="O43" s="139"/>
      <c r="P43" s="967"/>
      <c r="Q43" s="442"/>
    </row>
    <row r="44" spans="1:17" s="1" customFormat="1" ht="17.25" customHeight="1" x14ac:dyDescent="0.25">
      <c r="A44" s="1010"/>
      <c r="B44" s="1011"/>
      <c r="C44" s="1012"/>
      <c r="D44" s="634"/>
      <c r="E44" s="1386"/>
      <c r="F44" s="727" t="s">
        <v>167</v>
      </c>
      <c r="G44" s="42"/>
      <c r="H44" s="166" t="s">
        <v>20</v>
      </c>
      <c r="I44" s="582">
        <f>SUM(I40:I43)</f>
        <v>870.6</v>
      </c>
      <c r="J44" s="670">
        <f t="shared" ref="J44:L44" si="5">SUM(J40:J43)</f>
        <v>844.3</v>
      </c>
      <c r="K44" s="672">
        <f t="shared" si="5"/>
        <v>0</v>
      </c>
      <c r="L44" s="177">
        <f t="shared" si="5"/>
        <v>0</v>
      </c>
      <c r="M44" s="1033"/>
      <c r="N44" s="353"/>
      <c r="O44" s="12"/>
      <c r="P44" s="239"/>
      <c r="Q44" s="440"/>
    </row>
    <row r="45" spans="1:17" s="1" customFormat="1" ht="27" customHeight="1" x14ac:dyDescent="0.25">
      <c r="A45" s="1010"/>
      <c r="B45" s="1011"/>
      <c r="C45" s="1012"/>
      <c r="D45" s="108" t="s">
        <v>49</v>
      </c>
      <c r="E45" s="1357" t="s">
        <v>138</v>
      </c>
      <c r="F45" s="889" t="s">
        <v>167</v>
      </c>
      <c r="G45" s="42"/>
      <c r="H45" s="128" t="s">
        <v>206</v>
      </c>
      <c r="I45" s="568">
        <f>97.4+4-24</f>
        <v>77.400000000000006</v>
      </c>
      <c r="J45" s="897">
        <v>101.8</v>
      </c>
      <c r="K45" s="711">
        <v>101.8</v>
      </c>
      <c r="L45" s="673">
        <v>101.8</v>
      </c>
      <c r="M45" s="157" t="s">
        <v>146</v>
      </c>
      <c r="N45" s="531">
        <v>12</v>
      </c>
      <c r="O45" s="136">
        <v>11</v>
      </c>
      <c r="P45" s="241">
        <v>11</v>
      </c>
      <c r="Q45" s="443">
        <v>11</v>
      </c>
    </row>
    <row r="46" spans="1:17" s="1" customFormat="1" ht="17.25" customHeight="1" x14ac:dyDescent="0.25">
      <c r="A46" s="1010"/>
      <c r="B46" s="1011"/>
      <c r="C46" s="1012"/>
      <c r="D46" s="634"/>
      <c r="E46" s="1357"/>
      <c r="F46" s="889" t="s">
        <v>264</v>
      </c>
      <c r="G46" s="42"/>
      <c r="H46" s="128" t="s">
        <v>16</v>
      </c>
      <c r="I46" s="568">
        <v>2.7</v>
      </c>
      <c r="J46" s="21"/>
      <c r="K46" s="182"/>
      <c r="L46" s="673"/>
      <c r="M46" s="1412" t="s">
        <v>169</v>
      </c>
      <c r="N46" s="1630">
        <v>10</v>
      </c>
      <c r="O46" s="264"/>
      <c r="P46" s="1069"/>
      <c r="Q46" s="1633"/>
    </row>
    <row r="47" spans="1:17" s="1" customFormat="1" ht="17.25" customHeight="1" x14ac:dyDescent="0.25">
      <c r="A47" s="1010"/>
      <c r="B47" s="1011"/>
      <c r="C47" s="1012"/>
      <c r="D47" s="634"/>
      <c r="E47" s="1357"/>
      <c r="F47" s="889" t="s">
        <v>265</v>
      </c>
      <c r="G47" s="42"/>
      <c r="H47" s="128" t="s">
        <v>109</v>
      </c>
      <c r="I47" s="568">
        <v>6.3</v>
      </c>
      <c r="J47" s="21"/>
      <c r="K47" s="182"/>
      <c r="L47" s="673"/>
      <c r="M47" s="1393"/>
      <c r="N47" s="1631"/>
      <c r="O47" s="901"/>
      <c r="P47" s="242"/>
      <c r="Q47" s="1512"/>
    </row>
    <row r="48" spans="1:17" s="1" customFormat="1" ht="15" customHeight="1" x14ac:dyDescent="0.25">
      <c r="A48" s="1010"/>
      <c r="B48" s="1011"/>
      <c r="C48" s="1012"/>
      <c r="D48" s="634"/>
      <c r="E48" s="1357"/>
      <c r="F48" s="389"/>
      <c r="G48" s="42"/>
      <c r="H48" s="128" t="s">
        <v>206</v>
      </c>
      <c r="I48" s="568">
        <v>48.2</v>
      </c>
      <c r="J48" s="46">
        <v>60</v>
      </c>
      <c r="K48" s="183">
        <v>60</v>
      </c>
      <c r="L48" s="673">
        <v>60</v>
      </c>
      <c r="M48" s="1393"/>
      <c r="N48" s="1631"/>
      <c r="O48" s="901"/>
      <c r="P48" s="242"/>
      <c r="Q48" s="1512"/>
    </row>
    <row r="49" spans="1:17" s="1" customFormat="1" ht="15.75" customHeight="1" x14ac:dyDescent="0.25">
      <c r="A49" s="1010"/>
      <c r="B49" s="1011"/>
      <c r="C49" s="1012"/>
      <c r="D49" s="106"/>
      <c r="E49" s="1358"/>
      <c r="F49" s="836"/>
      <c r="G49" s="42"/>
      <c r="H49" s="166" t="s">
        <v>20</v>
      </c>
      <c r="I49" s="596">
        <f>SUM(I45:I48)</f>
        <v>134.60000000000002</v>
      </c>
      <c r="J49" s="677">
        <f t="shared" ref="J49:L49" si="6">SUM(J45:J48)</f>
        <v>161.80000000000001</v>
      </c>
      <c r="K49" s="678">
        <f t="shared" si="6"/>
        <v>161.80000000000001</v>
      </c>
      <c r="L49" s="674">
        <f t="shared" si="6"/>
        <v>161.80000000000001</v>
      </c>
      <c r="M49" s="1413"/>
      <c r="N49" s="1632"/>
      <c r="O49" s="137"/>
      <c r="P49" s="564"/>
      <c r="Q49" s="1634"/>
    </row>
    <row r="50" spans="1:17" s="1" customFormat="1" ht="77.25" customHeight="1" x14ac:dyDescent="0.25">
      <c r="A50" s="1010"/>
      <c r="B50" s="1011"/>
      <c r="C50" s="1012"/>
      <c r="D50" s="872" t="s">
        <v>80</v>
      </c>
      <c r="E50" s="498" t="s">
        <v>237</v>
      </c>
      <c r="F50" s="728" t="s">
        <v>264</v>
      </c>
      <c r="G50" s="501"/>
      <c r="H50" s="500"/>
      <c r="I50" s="597"/>
      <c r="J50" s="712"/>
      <c r="K50" s="713"/>
      <c r="L50" s="675"/>
      <c r="M50" s="157" t="s">
        <v>118</v>
      </c>
      <c r="N50" s="532">
        <v>2800</v>
      </c>
      <c r="O50" s="136">
        <v>3200</v>
      </c>
      <c r="P50" s="241">
        <v>3200</v>
      </c>
      <c r="Q50" s="473">
        <v>3200</v>
      </c>
    </row>
    <row r="51" spans="1:17" s="1" customFormat="1" ht="42.75" customHeight="1" x14ac:dyDescent="0.25">
      <c r="A51" s="1010"/>
      <c r="B51" s="1011"/>
      <c r="C51" s="1012"/>
      <c r="D51" s="634" t="s">
        <v>284</v>
      </c>
      <c r="E51" s="172" t="s">
        <v>186</v>
      </c>
      <c r="F51" s="496"/>
      <c r="G51" s="502" t="s">
        <v>187</v>
      </c>
      <c r="H51" s="497"/>
      <c r="I51" s="598"/>
      <c r="J51" s="714"/>
      <c r="K51" s="715"/>
      <c r="L51" s="676"/>
      <c r="M51" s="158" t="s">
        <v>188</v>
      </c>
      <c r="N51" s="1058">
        <v>1</v>
      </c>
      <c r="O51" s="901"/>
      <c r="P51" s="242"/>
      <c r="Q51" s="477"/>
    </row>
    <row r="52" spans="1:17" s="1" customFormat="1" ht="19.5" customHeight="1" thickBot="1" x14ac:dyDescent="0.3">
      <c r="A52" s="1014"/>
      <c r="B52" s="1016"/>
      <c r="C52" s="1054"/>
      <c r="D52" s="1042"/>
      <c r="E52" s="387"/>
      <c r="F52" s="1569" t="s">
        <v>27</v>
      </c>
      <c r="G52" s="1570"/>
      <c r="H52" s="1635"/>
      <c r="I52" s="100">
        <f>I44+I39+I36+I34+I32+I24+I49</f>
        <v>12661.199999999999</v>
      </c>
      <c r="J52" s="9">
        <f t="shared" ref="J52:L52" si="7">J44+J39+J36+J34+J32+J24+J49</f>
        <v>13728.699999999999</v>
      </c>
      <c r="K52" s="187">
        <f t="shared" si="7"/>
        <v>12884.399999999998</v>
      </c>
      <c r="L52" s="176">
        <f t="shared" si="7"/>
        <v>12884.399999999998</v>
      </c>
      <c r="M52" s="159"/>
      <c r="N52" s="533"/>
      <c r="O52" s="643"/>
      <c r="P52" s="1070"/>
      <c r="Q52" s="493"/>
    </row>
    <row r="53" spans="1:17" s="2" customFormat="1" ht="73.5" customHeight="1" x14ac:dyDescent="0.25">
      <c r="A53" s="1376" t="s">
        <v>10</v>
      </c>
      <c r="B53" s="1375" t="s">
        <v>10</v>
      </c>
      <c r="C53" s="1574" t="s">
        <v>28</v>
      </c>
      <c r="D53" s="105"/>
      <c r="E53" s="1357" t="s">
        <v>29</v>
      </c>
      <c r="F53" s="1496" t="s">
        <v>264</v>
      </c>
      <c r="G53" s="366" t="s">
        <v>172</v>
      </c>
      <c r="H53" s="66" t="s">
        <v>30</v>
      </c>
      <c r="I53" s="599">
        <f>8714.7-260</f>
        <v>8454.7000000000007</v>
      </c>
      <c r="J53" s="338">
        <v>8880.5</v>
      </c>
      <c r="K53" s="709">
        <v>8880.5</v>
      </c>
      <c r="L53" s="305">
        <v>8880.5</v>
      </c>
      <c r="M53" s="67" t="s">
        <v>147</v>
      </c>
      <c r="N53" s="526">
        <v>4255</v>
      </c>
      <c r="O53" s="12">
        <v>4124</v>
      </c>
      <c r="P53" s="239">
        <v>4124</v>
      </c>
      <c r="Q53" s="434">
        <v>4124</v>
      </c>
    </row>
    <row r="54" spans="1:17" s="2" customFormat="1" ht="16.5" customHeight="1" thickBot="1" x14ac:dyDescent="0.3">
      <c r="A54" s="1573"/>
      <c r="B54" s="1576"/>
      <c r="C54" s="1575"/>
      <c r="D54" s="107"/>
      <c r="E54" s="1572"/>
      <c r="F54" s="1497"/>
      <c r="G54" s="117"/>
      <c r="H54" s="49" t="s">
        <v>20</v>
      </c>
      <c r="I54" s="100">
        <f t="shared" ref="I54:L54" si="8">+I53</f>
        <v>8454.7000000000007</v>
      </c>
      <c r="J54" s="9">
        <f t="shared" si="8"/>
        <v>8880.5</v>
      </c>
      <c r="K54" s="187">
        <f t="shared" si="8"/>
        <v>8880.5</v>
      </c>
      <c r="L54" s="176">
        <f t="shared" si="8"/>
        <v>8880.5</v>
      </c>
      <c r="M54" s="26"/>
      <c r="N54" s="534"/>
      <c r="O54" s="11"/>
      <c r="P54" s="510"/>
      <c r="Q54" s="444"/>
    </row>
    <row r="55" spans="1:17" s="2" customFormat="1" ht="27" customHeight="1" x14ac:dyDescent="0.25">
      <c r="A55" s="1013" t="s">
        <v>10</v>
      </c>
      <c r="B55" s="4" t="s">
        <v>10</v>
      </c>
      <c r="C55" s="103" t="s">
        <v>31</v>
      </c>
      <c r="D55" s="104"/>
      <c r="E55" s="1571" t="s">
        <v>32</v>
      </c>
      <c r="F55" s="1059" t="s">
        <v>264</v>
      </c>
      <c r="G55" s="1636" t="s">
        <v>172</v>
      </c>
      <c r="H55" s="39" t="s">
        <v>30</v>
      </c>
      <c r="I55" s="599">
        <f>26167.7+2739</f>
        <v>28906.7</v>
      </c>
      <c r="J55" s="716">
        <v>31200.2</v>
      </c>
      <c r="K55" s="717">
        <v>31200.2</v>
      </c>
      <c r="L55" s="305">
        <v>31200.2</v>
      </c>
      <c r="M55" s="1638" t="s">
        <v>147</v>
      </c>
      <c r="N55" s="526">
        <v>32400</v>
      </c>
      <c r="O55" s="13">
        <v>32400</v>
      </c>
      <c r="P55" s="509">
        <v>32400</v>
      </c>
      <c r="Q55" s="434">
        <v>32400</v>
      </c>
    </row>
    <row r="56" spans="1:17" s="2" customFormat="1" ht="16.5" customHeight="1" thickBot="1" x14ac:dyDescent="0.3">
      <c r="A56" s="1014"/>
      <c r="B56" s="10"/>
      <c r="C56" s="1057"/>
      <c r="D56" s="107"/>
      <c r="E56" s="1572"/>
      <c r="F56" s="510"/>
      <c r="G56" s="1637"/>
      <c r="H56" s="49" t="s">
        <v>20</v>
      </c>
      <c r="I56" s="582">
        <f t="shared" ref="I56:L56" si="9">+I55</f>
        <v>28906.7</v>
      </c>
      <c r="J56" s="7">
        <f t="shared" si="9"/>
        <v>31200.2</v>
      </c>
      <c r="K56" s="184">
        <f t="shared" si="9"/>
        <v>31200.2</v>
      </c>
      <c r="L56" s="177">
        <f t="shared" si="9"/>
        <v>31200.2</v>
      </c>
      <c r="M56" s="1639"/>
      <c r="N56" s="535"/>
      <c r="O56" s="644"/>
      <c r="P56" s="645"/>
      <c r="Q56" s="445"/>
    </row>
    <row r="57" spans="1:17" s="1" customFormat="1" ht="25.15" customHeight="1" x14ac:dyDescent="0.25">
      <c r="A57" s="1577" t="s">
        <v>10</v>
      </c>
      <c r="B57" s="1578" t="s">
        <v>10</v>
      </c>
      <c r="C57" s="1389" t="s">
        <v>33</v>
      </c>
      <c r="D57" s="1041"/>
      <c r="E57" s="1571" t="s">
        <v>113</v>
      </c>
      <c r="F57" s="1059" t="s">
        <v>264</v>
      </c>
      <c r="G57" s="1636" t="s">
        <v>172</v>
      </c>
      <c r="H57" s="55" t="s">
        <v>16</v>
      </c>
      <c r="I57" s="600">
        <f>126.4+110.1</f>
        <v>236.5</v>
      </c>
      <c r="J57" s="718">
        <v>347.4</v>
      </c>
      <c r="K57" s="719">
        <v>347.4</v>
      </c>
      <c r="L57" s="305">
        <v>347.4</v>
      </c>
      <c r="M57" s="1641" t="s">
        <v>114</v>
      </c>
      <c r="N57" s="526">
        <v>780</v>
      </c>
      <c r="O57" s="13">
        <v>780</v>
      </c>
      <c r="P57" s="509">
        <v>780</v>
      </c>
      <c r="Q57" s="434">
        <v>780</v>
      </c>
    </row>
    <row r="58" spans="1:17" s="1" customFormat="1" ht="36.75" customHeight="1" x14ac:dyDescent="0.25">
      <c r="A58" s="1376"/>
      <c r="B58" s="1375"/>
      <c r="C58" s="1390"/>
      <c r="D58" s="634"/>
      <c r="E58" s="1357"/>
      <c r="F58" s="239"/>
      <c r="G58" s="1640"/>
      <c r="H58" s="47" t="s">
        <v>206</v>
      </c>
      <c r="I58" s="581">
        <f>859.6-110.1</f>
        <v>749.5</v>
      </c>
      <c r="J58" s="720">
        <v>638.6</v>
      </c>
      <c r="K58" s="721">
        <v>638.6</v>
      </c>
      <c r="L58" s="679">
        <v>638.6</v>
      </c>
      <c r="M58" s="1433"/>
      <c r="N58" s="1065"/>
      <c r="O58" s="12"/>
      <c r="P58" s="239"/>
      <c r="Q58" s="951"/>
    </row>
    <row r="59" spans="1:17" s="2" customFormat="1" ht="16.5" customHeight="1" thickBot="1" x14ac:dyDescent="0.3">
      <c r="A59" s="1573"/>
      <c r="B59" s="1576"/>
      <c r="C59" s="1391"/>
      <c r="D59" s="1042"/>
      <c r="E59" s="1572"/>
      <c r="F59" s="510"/>
      <c r="G59" s="1637"/>
      <c r="H59" s="49" t="s">
        <v>20</v>
      </c>
      <c r="I59" s="100">
        <f>SUM(I57:I58)</f>
        <v>986</v>
      </c>
      <c r="J59" s="9">
        <f t="shared" ref="J59:L59" si="10">SUM(J57:J58)</f>
        <v>986</v>
      </c>
      <c r="K59" s="187">
        <f t="shared" si="10"/>
        <v>986</v>
      </c>
      <c r="L59" s="176">
        <f t="shared" si="10"/>
        <v>986</v>
      </c>
      <c r="M59" s="1434"/>
      <c r="N59" s="346"/>
      <c r="O59" s="11"/>
      <c r="P59" s="510"/>
      <c r="Q59" s="446"/>
    </row>
    <row r="60" spans="1:17" s="1" customFormat="1" ht="29.25" customHeight="1" x14ac:dyDescent="0.25">
      <c r="A60" s="1577" t="s">
        <v>10</v>
      </c>
      <c r="B60" s="1578" t="s">
        <v>10</v>
      </c>
      <c r="C60" s="1389" t="s">
        <v>34</v>
      </c>
      <c r="D60" s="1041"/>
      <c r="E60" s="1571" t="s">
        <v>128</v>
      </c>
      <c r="F60" s="1059" t="s">
        <v>264</v>
      </c>
      <c r="G60" s="1023" t="s">
        <v>172</v>
      </c>
      <c r="H60" s="77" t="s">
        <v>14</v>
      </c>
      <c r="I60" s="589">
        <f>261.5</f>
        <v>261.5</v>
      </c>
      <c r="J60" s="722">
        <v>302.2</v>
      </c>
      <c r="K60" s="723">
        <v>302.2</v>
      </c>
      <c r="L60" s="178">
        <v>302.2</v>
      </c>
      <c r="M60" s="344" t="s">
        <v>127</v>
      </c>
      <c r="N60" s="1044">
        <v>120</v>
      </c>
      <c r="O60" s="646">
        <v>100</v>
      </c>
      <c r="P60" s="1045">
        <v>100</v>
      </c>
      <c r="Q60" s="1047">
        <v>100</v>
      </c>
    </row>
    <row r="61" spans="1:17" s="1" customFormat="1" ht="39.6" customHeight="1" x14ac:dyDescent="0.25">
      <c r="A61" s="1376"/>
      <c r="B61" s="1375"/>
      <c r="C61" s="1390"/>
      <c r="D61" s="634"/>
      <c r="E61" s="1357"/>
      <c r="F61" s="239"/>
      <c r="G61" s="1062"/>
      <c r="H61" s="78"/>
      <c r="I61" s="601"/>
      <c r="J61" s="724"/>
      <c r="K61" s="725"/>
      <c r="L61" s="179"/>
      <c r="M61" s="261" t="s">
        <v>209</v>
      </c>
      <c r="N61" s="1020">
        <v>50</v>
      </c>
      <c r="O61" s="647">
        <v>50</v>
      </c>
      <c r="P61" s="1037">
        <v>50</v>
      </c>
      <c r="Q61" s="1035">
        <v>50</v>
      </c>
    </row>
    <row r="62" spans="1:17" s="1" customFormat="1" ht="26.65" customHeight="1" x14ac:dyDescent="0.25">
      <c r="A62" s="1376"/>
      <c r="B62" s="1375"/>
      <c r="C62" s="1390"/>
      <c r="D62" s="634"/>
      <c r="E62" s="1357"/>
      <c r="F62" s="239"/>
      <c r="G62" s="1005" t="s">
        <v>187</v>
      </c>
      <c r="H62" s="173"/>
      <c r="I62" s="590"/>
      <c r="J62" s="710"/>
      <c r="K62" s="186"/>
      <c r="L62" s="207"/>
      <c r="M62" s="261" t="s">
        <v>232</v>
      </c>
      <c r="N62" s="1020">
        <v>1</v>
      </c>
      <c r="O62" s="647"/>
      <c r="P62" s="1037"/>
      <c r="Q62" s="1035"/>
    </row>
    <row r="63" spans="1:17" s="2" customFormat="1" ht="16.5" customHeight="1" thickBot="1" x14ac:dyDescent="0.3">
      <c r="A63" s="1573"/>
      <c r="B63" s="1576"/>
      <c r="C63" s="1391"/>
      <c r="D63" s="1042"/>
      <c r="E63" s="1572"/>
      <c r="F63" s="510"/>
      <c r="G63" s="351"/>
      <c r="H63" s="49" t="s">
        <v>20</v>
      </c>
      <c r="I63" s="100">
        <f>+I60+I61+I62</f>
        <v>261.5</v>
      </c>
      <c r="J63" s="9">
        <f t="shared" ref="J63:L63" si="11">+J60+J61+J62</f>
        <v>302.2</v>
      </c>
      <c r="K63" s="187">
        <f t="shared" si="11"/>
        <v>302.2</v>
      </c>
      <c r="L63" s="176">
        <f t="shared" si="11"/>
        <v>302.2</v>
      </c>
      <c r="M63" s="330"/>
      <c r="N63" s="536"/>
      <c r="O63" s="648"/>
      <c r="P63" s="1046"/>
      <c r="Q63" s="449"/>
    </row>
    <row r="64" spans="1:17" s="1" customFormat="1" ht="30.75" customHeight="1" x14ac:dyDescent="0.25">
      <c r="A64" s="1577" t="s">
        <v>10</v>
      </c>
      <c r="B64" s="1578" t="s">
        <v>10</v>
      </c>
      <c r="C64" s="1510" t="s">
        <v>48</v>
      </c>
      <c r="D64" s="1642"/>
      <c r="E64" s="1486" t="s">
        <v>207</v>
      </c>
      <c r="F64" s="1395" t="s">
        <v>264</v>
      </c>
      <c r="G64" s="1636" t="s">
        <v>172</v>
      </c>
      <c r="H64" s="846" t="s">
        <v>14</v>
      </c>
      <c r="I64" s="600">
        <v>50.4</v>
      </c>
      <c r="J64" s="847">
        <v>57.9</v>
      </c>
      <c r="K64" s="848">
        <v>57.9</v>
      </c>
      <c r="L64" s="300">
        <v>57.9</v>
      </c>
      <c r="M64" s="1402" t="s">
        <v>208</v>
      </c>
      <c r="N64" s="1644">
        <v>3</v>
      </c>
      <c r="O64" s="1646">
        <v>3</v>
      </c>
      <c r="P64" s="1507">
        <v>3</v>
      </c>
      <c r="Q64" s="1509">
        <v>3</v>
      </c>
    </row>
    <row r="65" spans="1:20" s="1" customFormat="1" ht="13.5" thickBot="1" x14ac:dyDescent="0.3">
      <c r="A65" s="1573"/>
      <c r="B65" s="1576"/>
      <c r="C65" s="1511"/>
      <c r="D65" s="1643"/>
      <c r="E65" s="1487"/>
      <c r="F65" s="1397"/>
      <c r="G65" s="1637"/>
      <c r="H65" s="850" t="s">
        <v>20</v>
      </c>
      <c r="I65" s="851">
        <f>I64</f>
        <v>50.4</v>
      </c>
      <c r="J65" s="852">
        <f>J64</f>
        <v>57.9</v>
      </c>
      <c r="K65" s="853">
        <f>K64</f>
        <v>57.9</v>
      </c>
      <c r="L65" s="854">
        <f>L64</f>
        <v>57.9</v>
      </c>
      <c r="M65" s="1369"/>
      <c r="N65" s="1645"/>
      <c r="O65" s="1647"/>
      <c r="P65" s="1508"/>
      <c r="Q65" s="1362"/>
    </row>
    <row r="66" spans="1:20" s="1" customFormat="1" ht="27" customHeight="1" x14ac:dyDescent="0.25">
      <c r="A66" s="1577" t="s">
        <v>10</v>
      </c>
      <c r="B66" s="1578" t="s">
        <v>10</v>
      </c>
      <c r="C66" s="1510" t="s">
        <v>49</v>
      </c>
      <c r="D66" s="1041"/>
      <c r="E66" s="1486" t="s">
        <v>259</v>
      </c>
      <c r="F66" s="849" t="s">
        <v>264</v>
      </c>
      <c r="G66" s="1636" t="s">
        <v>172</v>
      </c>
      <c r="H66" s="77" t="s">
        <v>30</v>
      </c>
      <c r="I66" s="589">
        <v>75.8</v>
      </c>
      <c r="J66" s="722">
        <v>341.1</v>
      </c>
      <c r="K66" s="723">
        <v>341.1</v>
      </c>
      <c r="L66" s="178">
        <v>341.1</v>
      </c>
      <c r="M66" s="1402" t="s">
        <v>260</v>
      </c>
      <c r="N66" s="1044">
        <v>30</v>
      </c>
      <c r="O66" s="646">
        <v>44</v>
      </c>
      <c r="P66" s="1045">
        <v>44</v>
      </c>
      <c r="Q66" s="1047">
        <v>44</v>
      </c>
    </row>
    <row r="67" spans="1:20" s="2" customFormat="1" ht="16.5" customHeight="1" thickBot="1" x14ac:dyDescent="0.3">
      <c r="A67" s="1573"/>
      <c r="B67" s="1576"/>
      <c r="C67" s="1511"/>
      <c r="D67" s="1042"/>
      <c r="E67" s="1487"/>
      <c r="F67" s="890" t="s">
        <v>265</v>
      </c>
      <c r="G67" s="1637"/>
      <c r="H67" s="49" t="s">
        <v>20</v>
      </c>
      <c r="I67" s="100">
        <f>I66</f>
        <v>75.8</v>
      </c>
      <c r="J67" s="9">
        <f>J66</f>
        <v>341.1</v>
      </c>
      <c r="K67" s="187">
        <f>K66</f>
        <v>341.1</v>
      </c>
      <c r="L67" s="176">
        <f>L66</f>
        <v>341.1</v>
      </c>
      <c r="M67" s="1369"/>
      <c r="N67" s="1019"/>
      <c r="O67" s="648"/>
      <c r="P67" s="1046"/>
      <c r="Q67" s="1048"/>
    </row>
    <row r="68" spans="1:20" s="1" customFormat="1" ht="16.5" customHeight="1" thickBot="1" x14ac:dyDescent="0.3">
      <c r="A68" s="1014" t="s">
        <v>10</v>
      </c>
      <c r="B68" s="1016" t="s">
        <v>10</v>
      </c>
      <c r="C68" s="1498" t="s">
        <v>35</v>
      </c>
      <c r="D68" s="1498"/>
      <c r="E68" s="1499"/>
      <c r="F68" s="1499"/>
      <c r="G68" s="1500"/>
      <c r="H68" s="1500"/>
      <c r="I68" s="412">
        <f>I59+I56+I54+I52+I63+I67+I65</f>
        <v>51396.3</v>
      </c>
      <c r="J68" s="726">
        <f>J59+J56+J54+J52+J63+J67+J65</f>
        <v>55496.599999999991</v>
      </c>
      <c r="K68" s="217">
        <f>K59+K56+K54+K52+K63+K67+K65</f>
        <v>54652.299999999988</v>
      </c>
      <c r="L68" s="685">
        <f>L59+L56+L54+L52+L63+L67+L65</f>
        <v>54652.299999999988</v>
      </c>
      <c r="M68" s="1437"/>
      <c r="N68" s="1438"/>
      <c r="O68" s="1438"/>
      <c r="P68" s="1438"/>
      <c r="Q68" s="1439"/>
    </row>
    <row r="69" spans="1:20" s="1" customFormat="1" ht="16.5" customHeight="1" thickBot="1" x14ac:dyDescent="0.3">
      <c r="A69" s="58" t="s">
        <v>10</v>
      </c>
      <c r="B69" s="3" t="s">
        <v>28</v>
      </c>
      <c r="C69" s="1410" t="s">
        <v>36</v>
      </c>
      <c r="D69" s="1410"/>
      <c r="E69" s="1410"/>
      <c r="F69" s="1410"/>
      <c r="G69" s="1501"/>
      <c r="H69" s="1501"/>
      <c r="I69" s="1501"/>
      <c r="J69" s="1501"/>
      <c r="K69" s="1501"/>
      <c r="L69" s="1501"/>
      <c r="M69" s="1410"/>
      <c r="N69" s="1410"/>
      <c r="O69" s="1410"/>
      <c r="P69" s="1410"/>
      <c r="Q69" s="1411"/>
    </row>
    <row r="70" spans="1:20" s="2" customFormat="1" ht="15" customHeight="1" x14ac:dyDescent="0.25">
      <c r="A70" s="1013" t="s">
        <v>10</v>
      </c>
      <c r="B70" s="1015" t="s">
        <v>28</v>
      </c>
      <c r="C70" s="1090" t="s">
        <v>10</v>
      </c>
      <c r="D70" s="109"/>
      <c r="E70" s="1427" t="s">
        <v>37</v>
      </c>
      <c r="F70" s="1652" t="s">
        <v>264</v>
      </c>
      <c r="G70" s="1654" t="s">
        <v>234</v>
      </c>
      <c r="H70" s="127"/>
      <c r="I70" s="602"/>
      <c r="J70" s="127"/>
      <c r="K70" s="559"/>
      <c r="L70" s="413"/>
      <c r="M70" s="315"/>
      <c r="N70" s="537"/>
      <c r="O70" s="79"/>
      <c r="P70" s="562"/>
      <c r="Q70" s="451"/>
    </row>
    <row r="71" spans="1:20" s="2" customFormat="1" ht="15" customHeight="1" x14ac:dyDescent="0.25">
      <c r="A71" s="1010"/>
      <c r="B71" s="1011"/>
      <c r="C71" s="1091"/>
      <c r="D71" s="481"/>
      <c r="E71" s="1428"/>
      <c r="F71" s="1653"/>
      <c r="G71" s="1631"/>
      <c r="H71" s="168"/>
      <c r="I71" s="591"/>
      <c r="J71" s="736"/>
      <c r="K71" s="737"/>
      <c r="L71" s="738"/>
      <c r="M71" s="316"/>
      <c r="N71" s="538"/>
      <c r="O71" s="296"/>
      <c r="P71" s="242"/>
      <c r="Q71" s="452"/>
    </row>
    <row r="72" spans="1:20" s="2" customFormat="1" ht="16.899999999999999" customHeight="1" x14ac:dyDescent="0.25">
      <c r="A72" s="1010"/>
      <c r="B72" s="1011"/>
      <c r="C72" s="1012"/>
      <c r="D72" s="108" t="s">
        <v>10</v>
      </c>
      <c r="E72" s="1412" t="s">
        <v>222</v>
      </c>
      <c r="F72" s="1653"/>
      <c r="G72" s="1631"/>
      <c r="H72" s="76" t="s">
        <v>16</v>
      </c>
      <c r="I72" s="590">
        <v>287</v>
      </c>
      <c r="J72" s="739">
        <v>524.4</v>
      </c>
      <c r="K72" s="740">
        <v>524.4</v>
      </c>
      <c r="L72" s="415">
        <v>524.4</v>
      </c>
      <c r="M72" s="1361" t="s">
        <v>78</v>
      </c>
      <c r="N72" s="1655">
        <v>82</v>
      </c>
      <c r="O72" s="1606">
        <v>82</v>
      </c>
      <c r="P72" s="1492">
        <v>82</v>
      </c>
      <c r="Q72" s="1484">
        <v>82</v>
      </c>
    </row>
    <row r="73" spans="1:20" s="2" customFormat="1" ht="16.899999999999999" customHeight="1" x14ac:dyDescent="0.25">
      <c r="A73" s="1010"/>
      <c r="B73" s="1011"/>
      <c r="C73" s="1012"/>
      <c r="D73" s="634"/>
      <c r="E73" s="1393"/>
      <c r="F73" s="1653"/>
      <c r="G73" s="1631"/>
      <c r="H73" s="76" t="s">
        <v>206</v>
      </c>
      <c r="I73" s="590">
        <f>188.4-10.6</f>
        <v>177.8</v>
      </c>
      <c r="J73" s="739">
        <v>56.2</v>
      </c>
      <c r="K73" s="740">
        <v>56.2</v>
      </c>
      <c r="L73" s="415">
        <v>56.2</v>
      </c>
      <c r="M73" s="1360"/>
      <c r="N73" s="1656"/>
      <c r="O73" s="1608"/>
      <c r="P73" s="1493"/>
      <c r="Q73" s="1485"/>
    </row>
    <row r="74" spans="1:20" s="2" customFormat="1" ht="16.899999999999999" customHeight="1" x14ac:dyDescent="0.25">
      <c r="A74" s="1010"/>
      <c r="B74" s="1011"/>
      <c r="C74" s="1012"/>
      <c r="D74" s="634"/>
      <c r="E74" s="1393"/>
      <c r="F74" s="1653"/>
      <c r="G74" s="1631"/>
      <c r="H74" s="76"/>
      <c r="I74" s="590"/>
      <c r="J74" s="739"/>
      <c r="K74" s="740"/>
      <c r="L74" s="415"/>
      <c r="M74" s="71" t="s">
        <v>184</v>
      </c>
      <c r="N74" s="527">
        <v>1</v>
      </c>
      <c r="O74" s="940"/>
      <c r="P74" s="223"/>
      <c r="Q74" s="437"/>
      <c r="R74" s="1350"/>
      <c r="S74" s="1351"/>
      <c r="T74" s="1351"/>
    </row>
    <row r="75" spans="1:20" s="2" customFormat="1" ht="16.899999999999999" customHeight="1" x14ac:dyDescent="0.25">
      <c r="A75" s="1010"/>
      <c r="B75" s="1011"/>
      <c r="C75" s="1012"/>
      <c r="D75" s="634"/>
      <c r="E75" s="1393"/>
      <c r="F75" s="1653"/>
      <c r="G75" s="1631"/>
      <c r="H75" s="70" t="s">
        <v>38</v>
      </c>
      <c r="I75" s="581">
        <v>405</v>
      </c>
      <c r="J75" s="952">
        <v>440</v>
      </c>
      <c r="K75" s="953">
        <v>442</v>
      </c>
      <c r="L75" s="950">
        <v>444</v>
      </c>
      <c r="M75" s="172"/>
      <c r="N75" s="1065"/>
      <c r="O75" s="27"/>
      <c r="P75" s="967"/>
      <c r="Q75" s="951"/>
      <c r="R75" s="1350"/>
      <c r="S75" s="1351"/>
      <c r="T75" s="1351"/>
    </row>
    <row r="76" spans="1:20" s="2" customFormat="1" ht="18" customHeight="1" x14ac:dyDescent="0.25">
      <c r="A76" s="1010"/>
      <c r="B76" s="1011"/>
      <c r="C76" s="1012"/>
      <c r="D76" s="634"/>
      <c r="E76" s="1393"/>
      <c r="F76" s="1653"/>
      <c r="G76" s="1631" t="s">
        <v>235</v>
      </c>
      <c r="H76" s="70" t="s">
        <v>79</v>
      </c>
      <c r="I76" s="593">
        <v>100.5</v>
      </c>
      <c r="J76" s="741">
        <v>62.7</v>
      </c>
      <c r="K76" s="742"/>
      <c r="L76" s="414"/>
      <c r="M76" s="348"/>
      <c r="N76" s="992"/>
      <c r="O76" s="138"/>
      <c r="P76" s="1029"/>
      <c r="Q76" s="988"/>
    </row>
    <row r="77" spans="1:20" s="2" customFormat="1" ht="40.5" customHeight="1" x14ac:dyDescent="0.25">
      <c r="A77" s="1010"/>
      <c r="B77" s="1011"/>
      <c r="C77" s="1012"/>
      <c r="D77" s="634"/>
      <c r="E77" s="999"/>
      <c r="F77" s="889" t="s">
        <v>265</v>
      </c>
      <c r="G77" s="1631"/>
      <c r="H77" s="128" t="s">
        <v>14</v>
      </c>
      <c r="I77" s="593">
        <v>12.5</v>
      </c>
      <c r="J77" s="741">
        <v>0.4</v>
      </c>
      <c r="K77" s="742"/>
      <c r="L77" s="414"/>
      <c r="M77" s="323" t="s">
        <v>261</v>
      </c>
      <c r="N77" s="1065">
        <v>20</v>
      </c>
      <c r="O77" s="27">
        <v>4</v>
      </c>
      <c r="P77" s="967"/>
      <c r="Q77" s="951"/>
    </row>
    <row r="78" spans="1:20" s="2" customFormat="1" ht="15.6" customHeight="1" x14ac:dyDescent="0.25">
      <c r="A78" s="1010"/>
      <c r="B78" s="1011"/>
      <c r="C78" s="1012"/>
      <c r="D78" s="108" t="s">
        <v>28</v>
      </c>
      <c r="E78" s="1412" t="s">
        <v>149</v>
      </c>
      <c r="F78" s="1080" t="s">
        <v>167</v>
      </c>
      <c r="G78" s="1631"/>
      <c r="H78" s="128" t="s">
        <v>16</v>
      </c>
      <c r="I78" s="581">
        <v>804.2</v>
      </c>
      <c r="J78" s="741">
        <v>1171.7</v>
      </c>
      <c r="K78" s="742">
        <v>1171.7</v>
      </c>
      <c r="L78" s="950">
        <v>1171.7</v>
      </c>
      <c r="M78" s="1648" t="s">
        <v>148</v>
      </c>
      <c r="N78" s="539">
        <v>160</v>
      </c>
      <c r="O78" s="246">
        <v>160</v>
      </c>
      <c r="P78" s="231">
        <v>160</v>
      </c>
      <c r="Q78" s="453">
        <v>160</v>
      </c>
    </row>
    <row r="79" spans="1:20" s="2" customFormat="1" ht="15.6" customHeight="1" x14ac:dyDescent="0.25">
      <c r="A79" s="1010"/>
      <c r="B79" s="1011"/>
      <c r="C79" s="1012"/>
      <c r="D79" s="634"/>
      <c r="E79" s="1393"/>
      <c r="F79" s="889" t="s">
        <v>264</v>
      </c>
      <c r="G79" s="1631"/>
      <c r="H79" s="128" t="s">
        <v>206</v>
      </c>
      <c r="I79" s="581">
        <f>393.6-43.3</f>
        <v>350.3</v>
      </c>
      <c r="J79" s="741">
        <v>347.6</v>
      </c>
      <c r="K79" s="742">
        <v>347.6</v>
      </c>
      <c r="L79" s="950">
        <v>347.6</v>
      </c>
      <c r="M79" s="1649"/>
      <c r="N79" s="629"/>
      <c r="O79" s="922"/>
      <c r="P79" s="652"/>
      <c r="Q79" s="630"/>
    </row>
    <row r="80" spans="1:20" s="2" customFormat="1" ht="27" customHeight="1" x14ac:dyDescent="0.25">
      <c r="A80" s="1010"/>
      <c r="B80" s="1011"/>
      <c r="C80" s="1012"/>
      <c r="D80" s="634"/>
      <c r="E80" s="999"/>
      <c r="F80" s="889" t="s">
        <v>167</v>
      </c>
      <c r="G80" s="1631"/>
      <c r="H80" s="72" t="s">
        <v>38</v>
      </c>
      <c r="I80" s="581">
        <f>129.9+22.5</f>
        <v>152.4</v>
      </c>
      <c r="J80" s="952">
        <v>169.1</v>
      </c>
      <c r="K80" s="953">
        <v>170</v>
      </c>
      <c r="L80" s="950">
        <v>175</v>
      </c>
      <c r="M80" s="1650" t="s">
        <v>151</v>
      </c>
      <c r="N80" s="540" t="s">
        <v>166</v>
      </c>
      <c r="O80" s="625" t="s">
        <v>267</v>
      </c>
      <c r="P80" s="627" t="s">
        <v>267</v>
      </c>
      <c r="Q80" s="626" t="s">
        <v>267</v>
      </c>
      <c r="R80" s="1350"/>
      <c r="S80" s="1351"/>
      <c r="T80" s="1351"/>
    </row>
    <row r="81" spans="1:17" s="2" customFormat="1" ht="27" customHeight="1" x14ac:dyDescent="0.25">
      <c r="A81" s="1010"/>
      <c r="B81" s="1011"/>
      <c r="C81" s="1012"/>
      <c r="D81" s="634"/>
      <c r="E81" s="999"/>
      <c r="F81" s="889"/>
      <c r="G81" s="53"/>
      <c r="H81" s="72" t="s">
        <v>79</v>
      </c>
      <c r="I81" s="581">
        <v>15.6</v>
      </c>
      <c r="J81" s="952">
        <v>15.4</v>
      </c>
      <c r="K81" s="953"/>
      <c r="L81" s="950"/>
      <c r="M81" s="1651"/>
      <c r="N81" s="541"/>
      <c r="O81" s="922"/>
      <c r="P81" s="652"/>
      <c r="Q81" s="454"/>
    </row>
    <row r="82" spans="1:17" s="2" customFormat="1" ht="30" customHeight="1" x14ac:dyDescent="0.25">
      <c r="A82" s="1010"/>
      <c r="B82" s="1011"/>
      <c r="C82" s="1012"/>
      <c r="D82" s="634"/>
      <c r="E82" s="999"/>
      <c r="F82" s="1657"/>
      <c r="G82" s="53"/>
      <c r="H82" s="72" t="s">
        <v>39</v>
      </c>
      <c r="I82" s="581">
        <v>6</v>
      </c>
      <c r="J82" s="952">
        <v>6</v>
      </c>
      <c r="K82" s="953">
        <v>6</v>
      </c>
      <c r="L82" s="950">
        <v>6</v>
      </c>
      <c r="M82" s="317" t="s">
        <v>119</v>
      </c>
      <c r="N82" s="306">
        <v>250</v>
      </c>
      <c r="O82" s="298">
        <v>250</v>
      </c>
      <c r="P82" s="241">
        <v>250</v>
      </c>
      <c r="Q82" s="455">
        <v>250</v>
      </c>
    </row>
    <row r="83" spans="1:17" s="2" customFormat="1" ht="30.75" customHeight="1" x14ac:dyDescent="0.25">
      <c r="A83" s="1010"/>
      <c r="B83" s="1011"/>
      <c r="C83" s="1012"/>
      <c r="D83" s="634"/>
      <c r="E83" s="999"/>
      <c r="F83" s="1657"/>
      <c r="G83" s="53"/>
      <c r="H83" s="76" t="s">
        <v>30</v>
      </c>
      <c r="I83" s="568">
        <v>23</v>
      </c>
      <c r="J83" s="739">
        <v>23</v>
      </c>
      <c r="K83" s="740">
        <v>23</v>
      </c>
      <c r="L83" s="416">
        <v>23</v>
      </c>
      <c r="M83" s="318" t="s">
        <v>152</v>
      </c>
      <c r="N83" s="542" t="s">
        <v>189</v>
      </c>
      <c r="O83" s="247" t="s">
        <v>189</v>
      </c>
      <c r="P83" s="628" t="s">
        <v>189</v>
      </c>
      <c r="Q83" s="855" t="s">
        <v>189</v>
      </c>
    </row>
    <row r="84" spans="1:17" s="2" customFormat="1" ht="39.75" customHeight="1" x14ac:dyDescent="0.25">
      <c r="A84" s="1010"/>
      <c r="B84" s="1011"/>
      <c r="C84" s="1012"/>
      <c r="D84" s="634"/>
      <c r="E84" s="999"/>
      <c r="F84" s="994"/>
      <c r="G84" s="53"/>
      <c r="H84" s="76" t="s">
        <v>14</v>
      </c>
      <c r="I84" s="568">
        <v>45</v>
      </c>
      <c r="J84" s="739">
        <v>0.5</v>
      </c>
      <c r="K84" s="740"/>
      <c r="L84" s="416"/>
      <c r="M84" s="318" t="s">
        <v>261</v>
      </c>
      <c r="N84" s="542" t="s">
        <v>262</v>
      </c>
      <c r="O84" s="247" t="s">
        <v>300</v>
      </c>
      <c r="P84" s="628"/>
      <c r="Q84" s="229"/>
    </row>
    <row r="85" spans="1:17" s="2" customFormat="1" ht="39.75" customHeight="1" x14ac:dyDescent="0.25">
      <c r="A85" s="1010"/>
      <c r="B85" s="1011"/>
      <c r="C85" s="1012"/>
      <c r="D85" s="634"/>
      <c r="E85" s="694"/>
      <c r="F85" s="889"/>
      <c r="G85" s="36"/>
      <c r="H85" s="70" t="s">
        <v>14</v>
      </c>
      <c r="I85" s="581">
        <f>24.7-14.4</f>
        <v>10.299999999999999</v>
      </c>
      <c r="J85" s="952"/>
      <c r="K85" s="953"/>
      <c r="L85" s="950"/>
      <c r="M85" s="482" t="s">
        <v>263</v>
      </c>
      <c r="N85" s="543">
        <v>57</v>
      </c>
      <c r="O85" s="248"/>
      <c r="P85" s="232"/>
      <c r="Q85" s="483"/>
    </row>
    <row r="86" spans="1:17" s="2" customFormat="1" ht="38.25" customHeight="1" x14ac:dyDescent="0.25">
      <c r="A86" s="1010"/>
      <c r="B86" s="1011"/>
      <c r="C86" s="1012"/>
      <c r="D86" s="634"/>
      <c r="E86" s="999" t="s">
        <v>246</v>
      </c>
      <c r="F86" s="388"/>
      <c r="G86" s="129"/>
      <c r="H86" s="484" t="s">
        <v>30</v>
      </c>
      <c r="I86" s="591">
        <v>6</v>
      </c>
      <c r="J86" s="743"/>
      <c r="K86" s="744"/>
      <c r="L86" s="738"/>
      <c r="M86" s="319" t="s">
        <v>99</v>
      </c>
      <c r="N86" s="1021" t="s">
        <v>240</v>
      </c>
      <c r="O86" s="205"/>
      <c r="P86" s="631"/>
      <c r="Q86" s="206"/>
    </row>
    <row r="87" spans="1:17" s="2" customFormat="1" ht="21.6" customHeight="1" x14ac:dyDescent="0.25">
      <c r="A87" s="1010"/>
      <c r="B87" s="1011"/>
      <c r="C87" s="1012"/>
      <c r="D87" s="108" t="s">
        <v>31</v>
      </c>
      <c r="E87" s="1412" t="s">
        <v>104</v>
      </c>
      <c r="F87" s="1080" t="s">
        <v>167</v>
      </c>
      <c r="G87" s="53"/>
      <c r="H87" s="70" t="s">
        <v>16</v>
      </c>
      <c r="I87" s="581">
        <v>436.6</v>
      </c>
      <c r="J87" s="952">
        <v>735.8</v>
      </c>
      <c r="K87" s="953">
        <v>735.8</v>
      </c>
      <c r="L87" s="950">
        <v>735.8</v>
      </c>
      <c r="M87" s="1658" t="s">
        <v>120</v>
      </c>
      <c r="N87" s="544">
        <v>70</v>
      </c>
      <c r="O87" s="228">
        <v>70</v>
      </c>
      <c r="P87" s="1037">
        <v>70</v>
      </c>
      <c r="Q87" s="456">
        <v>70</v>
      </c>
    </row>
    <row r="88" spans="1:17" s="2" customFormat="1" ht="21.6" customHeight="1" x14ac:dyDescent="0.25">
      <c r="A88" s="1010"/>
      <c r="B88" s="1011"/>
      <c r="C88" s="1012"/>
      <c r="D88" s="634"/>
      <c r="E88" s="1393"/>
      <c r="F88" s="889" t="s">
        <v>264</v>
      </c>
      <c r="G88" s="53"/>
      <c r="H88" s="70" t="s">
        <v>206</v>
      </c>
      <c r="I88" s="581">
        <f>234-20.1</f>
        <v>213.9</v>
      </c>
      <c r="J88" s="952">
        <v>139.4</v>
      </c>
      <c r="K88" s="953">
        <v>139.4</v>
      </c>
      <c r="L88" s="950">
        <v>139.4</v>
      </c>
      <c r="M88" s="1659"/>
      <c r="N88" s="545"/>
      <c r="O88" s="307"/>
      <c r="P88" s="1038"/>
      <c r="Q88" s="457"/>
    </row>
    <row r="89" spans="1:17" s="2" customFormat="1" ht="24.75" customHeight="1" x14ac:dyDescent="0.25">
      <c r="A89" s="1010"/>
      <c r="B89" s="1011"/>
      <c r="C89" s="1012"/>
      <c r="D89" s="634"/>
      <c r="E89" s="999"/>
      <c r="F89" s="889" t="s">
        <v>265</v>
      </c>
      <c r="G89" s="53"/>
      <c r="H89" s="73" t="s">
        <v>16</v>
      </c>
      <c r="I89" s="590"/>
      <c r="J89" s="739">
        <v>0.7</v>
      </c>
      <c r="K89" s="740"/>
      <c r="L89" s="415"/>
      <c r="M89" s="998" t="s">
        <v>268</v>
      </c>
      <c r="N89" s="545"/>
      <c r="O89" s="307">
        <v>1</v>
      </c>
      <c r="P89" s="1038"/>
      <c r="Q89" s="457"/>
    </row>
    <row r="90" spans="1:17" s="2" customFormat="1" ht="21.6" customHeight="1" x14ac:dyDescent="0.25">
      <c r="A90" s="1010"/>
      <c r="B90" s="1011"/>
      <c r="C90" s="1012"/>
      <c r="D90" s="634"/>
      <c r="E90" s="999"/>
      <c r="F90" s="889"/>
      <c r="G90" s="53"/>
      <c r="H90" s="73" t="s">
        <v>206</v>
      </c>
      <c r="I90" s="590"/>
      <c r="J90" s="739">
        <v>0.7</v>
      </c>
      <c r="K90" s="740"/>
      <c r="L90" s="415"/>
      <c r="M90" s="998" t="s">
        <v>269</v>
      </c>
      <c r="N90" s="545"/>
      <c r="O90" s="307">
        <v>1</v>
      </c>
      <c r="P90" s="1038"/>
      <c r="Q90" s="457"/>
    </row>
    <row r="91" spans="1:17" s="2" customFormat="1" ht="21.6" customHeight="1" x14ac:dyDescent="0.25">
      <c r="A91" s="1010"/>
      <c r="B91" s="1011"/>
      <c r="C91" s="1012"/>
      <c r="D91" s="634"/>
      <c r="E91" s="999"/>
      <c r="F91" s="889"/>
      <c r="G91" s="53"/>
      <c r="H91" s="73" t="s">
        <v>16</v>
      </c>
      <c r="I91" s="590"/>
      <c r="J91" s="739">
        <v>0.8</v>
      </c>
      <c r="K91" s="740"/>
      <c r="L91" s="415"/>
      <c r="M91" s="998" t="s">
        <v>270</v>
      </c>
      <c r="N91" s="545"/>
      <c r="O91" s="307">
        <v>1</v>
      </c>
      <c r="P91" s="1038"/>
      <c r="Q91" s="457"/>
    </row>
    <row r="92" spans="1:17" s="2" customFormat="1" ht="21.6" customHeight="1" x14ac:dyDescent="0.25">
      <c r="A92" s="1010"/>
      <c r="B92" s="1011"/>
      <c r="C92" s="1012"/>
      <c r="D92" s="634"/>
      <c r="E92" s="999"/>
      <c r="F92" s="889"/>
      <c r="G92" s="53"/>
      <c r="H92" s="73" t="s">
        <v>206</v>
      </c>
      <c r="I92" s="590"/>
      <c r="J92" s="739">
        <v>6</v>
      </c>
      <c r="K92" s="740"/>
      <c r="L92" s="415"/>
      <c r="M92" s="998" t="s">
        <v>271</v>
      </c>
      <c r="N92" s="545"/>
      <c r="O92" s="307">
        <v>7</v>
      </c>
      <c r="P92" s="1038"/>
      <c r="Q92" s="457"/>
    </row>
    <row r="93" spans="1:17" s="2" customFormat="1" ht="21.6" customHeight="1" x14ac:dyDescent="0.25">
      <c r="A93" s="1010"/>
      <c r="B93" s="1011"/>
      <c r="C93" s="1012"/>
      <c r="D93" s="634"/>
      <c r="E93" s="999"/>
      <c r="F93" s="889"/>
      <c r="G93" s="53"/>
      <c r="H93" s="73" t="s">
        <v>206</v>
      </c>
      <c r="I93" s="590"/>
      <c r="J93" s="739">
        <v>3</v>
      </c>
      <c r="K93" s="740"/>
      <c r="L93" s="415"/>
      <c r="M93" s="998" t="s">
        <v>272</v>
      </c>
      <c r="N93" s="545"/>
      <c r="O93" s="307">
        <v>33</v>
      </c>
      <c r="P93" s="1038"/>
      <c r="Q93" s="457"/>
    </row>
    <row r="94" spans="1:17" s="2" customFormat="1" ht="38.25" customHeight="1" x14ac:dyDescent="0.25">
      <c r="A94" s="1010"/>
      <c r="B94" s="1011"/>
      <c r="C94" s="1012"/>
      <c r="D94" s="634"/>
      <c r="E94" s="158"/>
      <c r="F94" s="389"/>
      <c r="G94" s="53"/>
      <c r="H94" s="73" t="s">
        <v>38</v>
      </c>
      <c r="I94" s="590">
        <f>107.4+9.5</f>
        <v>116.9</v>
      </c>
      <c r="J94" s="739">
        <v>108.4</v>
      </c>
      <c r="K94" s="740">
        <v>108.4</v>
      </c>
      <c r="L94" s="415">
        <v>108.4</v>
      </c>
      <c r="M94" s="998" t="s">
        <v>273</v>
      </c>
      <c r="N94" s="546">
        <v>66</v>
      </c>
      <c r="O94" s="307">
        <v>42</v>
      </c>
      <c r="P94" s="1038">
        <v>42</v>
      </c>
      <c r="Q94" s="458">
        <v>42</v>
      </c>
    </row>
    <row r="95" spans="1:17" s="2" customFormat="1" ht="53.25" customHeight="1" x14ac:dyDescent="0.25">
      <c r="A95" s="1010"/>
      <c r="B95" s="1011"/>
      <c r="C95" s="1012"/>
      <c r="D95" s="634"/>
      <c r="E95" s="158"/>
      <c r="F95" s="388"/>
      <c r="G95" s="129"/>
      <c r="H95" s="70" t="s">
        <v>79</v>
      </c>
      <c r="I95" s="581">
        <v>18.7</v>
      </c>
      <c r="J95" s="952">
        <v>16.7</v>
      </c>
      <c r="K95" s="953"/>
      <c r="L95" s="950"/>
      <c r="M95" s="320" t="s">
        <v>285</v>
      </c>
      <c r="N95" s="547">
        <v>100</v>
      </c>
      <c r="O95" s="227">
        <v>70</v>
      </c>
      <c r="P95" s="225">
        <v>70</v>
      </c>
      <c r="Q95" s="459">
        <v>70</v>
      </c>
    </row>
    <row r="96" spans="1:17" s="2" customFormat="1" ht="41.25" customHeight="1" x14ac:dyDescent="0.25">
      <c r="A96" s="1010"/>
      <c r="B96" s="1011"/>
      <c r="C96" s="1012"/>
      <c r="D96" s="634"/>
      <c r="E96" s="158"/>
      <c r="F96" s="388"/>
      <c r="G96" s="129"/>
      <c r="H96" s="70" t="s">
        <v>14</v>
      </c>
      <c r="I96" s="581">
        <v>21.9</v>
      </c>
      <c r="J96" s="952">
        <v>0.4</v>
      </c>
      <c r="K96" s="953"/>
      <c r="L96" s="950"/>
      <c r="M96" s="320" t="s">
        <v>261</v>
      </c>
      <c r="N96" s="547">
        <v>31</v>
      </c>
      <c r="O96" s="227">
        <v>4</v>
      </c>
      <c r="P96" s="225"/>
      <c r="Q96" s="459"/>
    </row>
    <row r="97" spans="1:20" s="2" customFormat="1" ht="53.25" customHeight="1" x14ac:dyDescent="0.25">
      <c r="A97" s="1010"/>
      <c r="B97" s="1011"/>
      <c r="C97" s="1012"/>
      <c r="D97" s="634" t="s">
        <v>33</v>
      </c>
      <c r="E97" s="1356" t="s">
        <v>40</v>
      </c>
      <c r="F97" s="1008" t="s">
        <v>264</v>
      </c>
      <c r="G97" s="42"/>
      <c r="H97" s="70" t="s">
        <v>16</v>
      </c>
      <c r="I97" s="603">
        <f>704.8-14.4</f>
        <v>690.4</v>
      </c>
      <c r="J97" s="952">
        <v>1036.8</v>
      </c>
      <c r="K97" s="953">
        <v>1036.8</v>
      </c>
      <c r="L97" s="950">
        <v>1036.8</v>
      </c>
      <c r="M97" s="321" t="s">
        <v>229</v>
      </c>
      <c r="N97" s="527">
        <v>24000</v>
      </c>
      <c r="O97" s="298"/>
      <c r="P97" s="241"/>
      <c r="Q97" s="437"/>
      <c r="R97" s="919"/>
    </row>
    <row r="98" spans="1:20" s="2" customFormat="1" ht="36.75" customHeight="1" x14ac:dyDescent="0.25">
      <c r="A98" s="1010"/>
      <c r="B98" s="1011"/>
      <c r="C98" s="1012"/>
      <c r="D98" s="634"/>
      <c r="E98" s="1357"/>
      <c r="F98" s="390"/>
      <c r="G98" s="42"/>
      <c r="H98" s="70" t="s">
        <v>206</v>
      </c>
      <c r="I98" s="603">
        <f>284.5-13</f>
        <v>271.5</v>
      </c>
      <c r="J98" s="952">
        <v>197.9</v>
      </c>
      <c r="K98" s="953">
        <v>197.9</v>
      </c>
      <c r="L98" s="950">
        <v>197.9</v>
      </c>
      <c r="M98" s="1477" t="s">
        <v>274</v>
      </c>
      <c r="N98" s="550"/>
      <c r="O98" s="135">
        <v>450</v>
      </c>
      <c r="P98" s="1069">
        <v>450</v>
      </c>
      <c r="Q98" s="460">
        <v>450</v>
      </c>
    </row>
    <row r="99" spans="1:20" s="2" customFormat="1" ht="17.25" customHeight="1" x14ac:dyDescent="0.25">
      <c r="A99" s="1010"/>
      <c r="B99" s="1011"/>
      <c r="C99" s="1012"/>
      <c r="D99" s="634"/>
      <c r="E99" s="1357"/>
      <c r="F99" s="390"/>
      <c r="G99" s="42"/>
      <c r="H99" s="70" t="s">
        <v>109</v>
      </c>
      <c r="I99" s="603"/>
      <c r="J99" s="952">
        <v>1.1000000000000001</v>
      </c>
      <c r="K99" s="953"/>
      <c r="L99" s="950"/>
      <c r="M99" s="1478"/>
      <c r="N99" s="1087"/>
      <c r="O99" s="297"/>
      <c r="P99" s="242"/>
      <c r="Q99" s="442"/>
    </row>
    <row r="100" spans="1:20" s="2" customFormat="1" ht="12.75" x14ac:dyDescent="0.25">
      <c r="A100" s="1010"/>
      <c r="B100" s="1011"/>
      <c r="C100" s="1012"/>
      <c r="D100" s="634"/>
      <c r="E100" s="1357"/>
      <c r="F100" s="390"/>
      <c r="G100" s="42"/>
      <c r="H100" s="70"/>
      <c r="I100" s="603"/>
      <c r="J100" s="952"/>
      <c r="K100" s="953"/>
      <c r="L100" s="950"/>
      <c r="M100" s="321" t="s">
        <v>184</v>
      </c>
      <c r="N100" s="548">
        <v>4</v>
      </c>
      <c r="O100" s="298"/>
      <c r="P100" s="1069"/>
      <c r="Q100" s="460"/>
    </row>
    <row r="101" spans="1:20" s="2" customFormat="1" ht="39.75" customHeight="1" x14ac:dyDescent="0.25">
      <c r="A101" s="1010"/>
      <c r="B101" s="1011"/>
      <c r="C101" s="1012"/>
      <c r="D101" s="634"/>
      <c r="E101" s="1357"/>
      <c r="F101" s="390"/>
      <c r="G101" s="42"/>
      <c r="H101" s="70" t="s">
        <v>14</v>
      </c>
      <c r="I101" s="605">
        <f>30.4-19.7</f>
        <v>10.7</v>
      </c>
      <c r="J101" s="739"/>
      <c r="K101" s="740"/>
      <c r="L101" s="415"/>
      <c r="M101" s="993" t="s">
        <v>263</v>
      </c>
      <c r="N101" s="539">
        <v>70</v>
      </c>
      <c r="O101" s="329"/>
      <c r="P101" s="196"/>
      <c r="Q101" s="453"/>
    </row>
    <row r="102" spans="1:20" s="2" customFormat="1" ht="29.25" customHeight="1" x14ac:dyDescent="0.25">
      <c r="A102" s="1010"/>
      <c r="B102" s="1011"/>
      <c r="C102" s="1012"/>
      <c r="D102" s="634"/>
      <c r="E102" s="1357"/>
      <c r="F102" s="87"/>
      <c r="G102" s="86"/>
      <c r="H102" s="73" t="s">
        <v>38</v>
      </c>
      <c r="I102" s="606">
        <v>0.8</v>
      </c>
      <c r="J102" s="739">
        <v>0.7</v>
      </c>
      <c r="K102" s="740">
        <v>0.7</v>
      </c>
      <c r="L102" s="416">
        <v>0.7</v>
      </c>
      <c r="M102" s="318" t="s">
        <v>121</v>
      </c>
      <c r="N102" s="991">
        <v>10</v>
      </c>
      <c r="O102" s="135">
        <v>10</v>
      </c>
      <c r="P102" s="1069">
        <v>10</v>
      </c>
      <c r="Q102" s="987">
        <v>10</v>
      </c>
    </row>
    <row r="103" spans="1:20" s="2" customFormat="1" ht="42" customHeight="1" x14ac:dyDescent="0.25">
      <c r="A103" s="1010"/>
      <c r="B103" s="1011"/>
      <c r="C103" s="1012"/>
      <c r="D103" s="634"/>
      <c r="E103" s="172"/>
      <c r="F103" s="388"/>
      <c r="G103" s="42"/>
      <c r="H103" s="76" t="s">
        <v>79</v>
      </c>
      <c r="I103" s="606">
        <v>0.5</v>
      </c>
      <c r="J103" s="739"/>
      <c r="K103" s="740"/>
      <c r="L103" s="416"/>
      <c r="M103" s="321" t="s">
        <v>291</v>
      </c>
      <c r="N103" s="527">
        <v>5</v>
      </c>
      <c r="O103" s="298">
        <v>5</v>
      </c>
      <c r="P103" s="241">
        <v>5</v>
      </c>
      <c r="Q103" s="437">
        <v>5</v>
      </c>
    </row>
    <row r="104" spans="1:20" s="2" customFormat="1" ht="41.25" customHeight="1" x14ac:dyDescent="0.25">
      <c r="A104" s="1010"/>
      <c r="B104" s="1011"/>
      <c r="C104" s="1012"/>
      <c r="D104" s="634"/>
      <c r="E104" s="172"/>
      <c r="F104" s="388"/>
      <c r="G104" s="42"/>
      <c r="H104" s="901"/>
      <c r="I104" s="607"/>
      <c r="J104" s="649"/>
      <c r="K104" s="650"/>
      <c r="L104" s="417"/>
      <c r="M104" s="321" t="s">
        <v>153</v>
      </c>
      <c r="N104" s="549" t="s">
        <v>165</v>
      </c>
      <c r="O104" s="249" t="s">
        <v>275</v>
      </c>
      <c r="P104" s="633" t="s">
        <v>275</v>
      </c>
      <c r="Q104" s="632" t="s">
        <v>275</v>
      </c>
    </row>
    <row r="105" spans="1:20" s="2" customFormat="1" ht="41.25" customHeight="1" x14ac:dyDescent="0.25">
      <c r="A105" s="1010"/>
      <c r="B105" s="1011"/>
      <c r="C105" s="1012"/>
      <c r="D105" s="634"/>
      <c r="E105" s="172"/>
      <c r="F105" s="388"/>
      <c r="G105" s="42"/>
      <c r="H105" s="137"/>
      <c r="I105" s="686"/>
      <c r="J105" s="651"/>
      <c r="K105" s="652"/>
      <c r="L105" s="687"/>
      <c r="M105" s="318" t="s">
        <v>282</v>
      </c>
      <c r="N105" s="527">
        <v>230</v>
      </c>
      <c r="O105" s="298">
        <v>150</v>
      </c>
      <c r="P105" s="241">
        <v>150</v>
      </c>
      <c r="Q105" s="437">
        <v>150</v>
      </c>
    </row>
    <row r="106" spans="1:20" s="2" customFormat="1" ht="39" customHeight="1" x14ac:dyDescent="0.25">
      <c r="A106" s="1010"/>
      <c r="B106" s="1011"/>
      <c r="C106" s="1012"/>
      <c r="D106" s="634"/>
      <c r="E106" s="751"/>
      <c r="F106" s="388"/>
      <c r="G106" s="42"/>
      <c r="H106" s="298" t="s">
        <v>14</v>
      </c>
      <c r="I106" s="617">
        <v>32.4</v>
      </c>
      <c r="J106" s="653">
        <v>0.6</v>
      </c>
      <c r="K106" s="232"/>
      <c r="L106" s="424"/>
      <c r="M106" s="317" t="s">
        <v>261</v>
      </c>
      <c r="N106" s="527">
        <v>44</v>
      </c>
      <c r="O106" s="298">
        <v>6</v>
      </c>
      <c r="P106" s="241"/>
      <c r="Q106" s="437"/>
    </row>
    <row r="107" spans="1:20" s="2" customFormat="1" ht="39" customHeight="1" x14ac:dyDescent="0.25">
      <c r="A107" s="1010"/>
      <c r="B107" s="1011"/>
      <c r="C107" s="1012"/>
      <c r="D107" s="634"/>
      <c r="E107" s="931" t="s">
        <v>307</v>
      </c>
      <c r="F107" s="889" t="s">
        <v>276</v>
      </c>
      <c r="G107" s="42"/>
      <c r="H107" s="137" t="s">
        <v>16</v>
      </c>
      <c r="I107" s="607"/>
      <c r="J107" s="649">
        <v>50.5</v>
      </c>
      <c r="K107" s="650"/>
      <c r="L107" s="417"/>
      <c r="M107" s="1066" t="s">
        <v>140</v>
      </c>
      <c r="N107" s="1065"/>
      <c r="O107" s="296">
        <v>1</v>
      </c>
      <c r="P107" s="242"/>
      <c r="Q107" s="951"/>
    </row>
    <row r="108" spans="1:20" s="1" customFormat="1" ht="21.75" customHeight="1" x14ac:dyDescent="0.25">
      <c r="A108" s="1380"/>
      <c r="B108" s="1383"/>
      <c r="C108" s="1390"/>
      <c r="D108" s="634"/>
      <c r="E108" s="1365" t="s">
        <v>236</v>
      </c>
      <c r="F108" s="1660" t="s">
        <v>264</v>
      </c>
      <c r="G108" s="42"/>
      <c r="H108" s="136" t="s">
        <v>112</v>
      </c>
      <c r="I108" s="581">
        <v>6.5</v>
      </c>
      <c r="J108" s="653">
        <v>7.3</v>
      </c>
      <c r="K108" s="232"/>
      <c r="L108" s="950"/>
      <c r="M108" s="322" t="s">
        <v>143</v>
      </c>
      <c r="N108" s="550">
        <v>1</v>
      </c>
      <c r="O108" s="1092">
        <v>1</v>
      </c>
      <c r="P108" s="1003"/>
      <c r="Q108" s="460"/>
    </row>
    <row r="109" spans="1:20" s="1" customFormat="1" ht="35.25" customHeight="1" x14ac:dyDescent="0.25">
      <c r="A109" s="1380"/>
      <c r="B109" s="1383"/>
      <c r="C109" s="1390"/>
      <c r="D109" s="634"/>
      <c r="E109" s="1366"/>
      <c r="F109" s="1660"/>
      <c r="G109" s="42"/>
      <c r="H109" s="73" t="s">
        <v>111</v>
      </c>
      <c r="I109" s="590">
        <f>90.6+3.3</f>
        <v>93.899999999999991</v>
      </c>
      <c r="J109" s="739">
        <v>96.5</v>
      </c>
      <c r="K109" s="740"/>
      <c r="L109" s="415"/>
      <c r="M109" s="171" t="s">
        <v>144</v>
      </c>
      <c r="N109" s="550">
        <v>6</v>
      </c>
      <c r="O109" s="1092">
        <v>6</v>
      </c>
      <c r="P109" s="1003"/>
      <c r="Q109" s="460"/>
    </row>
    <row r="110" spans="1:20" s="1" customFormat="1" ht="24.75" customHeight="1" x14ac:dyDescent="0.25">
      <c r="A110" s="1380"/>
      <c r="B110" s="1383"/>
      <c r="C110" s="1390"/>
      <c r="D110" s="634"/>
      <c r="E110" s="1367"/>
      <c r="F110" s="1660"/>
      <c r="G110" s="42"/>
      <c r="H110" s="150"/>
      <c r="I110" s="593"/>
      <c r="J110" s="745"/>
      <c r="K110" s="746"/>
      <c r="L110" s="414"/>
      <c r="M110" s="151"/>
      <c r="N110" s="1087"/>
      <c r="O110" s="205"/>
      <c r="P110" s="1004"/>
      <c r="Q110" s="461"/>
    </row>
    <row r="111" spans="1:20" s="2" customFormat="1" ht="17.25" customHeight="1" x14ac:dyDescent="0.25">
      <c r="A111" s="1010"/>
      <c r="B111" s="1011"/>
      <c r="C111" s="1012"/>
      <c r="D111" s="634"/>
      <c r="E111" s="1597" t="s">
        <v>150</v>
      </c>
      <c r="F111" s="1008" t="s">
        <v>264</v>
      </c>
      <c r="G111" s="42"/>
      <c r="H111" s="946" t="s">
        <v>137</v>
      </c>
      <c r="I111" s="608">
        <v>2.2999999999999998</v>
      </c>
      <c r="J111" s="747">
        <v>0.7</v>
      </c>
      <c r="K111" s="748">
        <v>0.7</v>
      </c>
      <c r="L111" s="749">
        <v>0.7</v>
      </c>
      <c r="M111" s="858" t="s">
        <v>295</v>
      </c>
      <c r="N111" s="858"/>
      <c r="O111" s="93">
        <v>4</v>
      </c>
      <c r="P111" s="223">
        <v>4</v>
      </c>
      <c r="Q111" s="437">
        <v>4</v>
      </c>
      <c r="R111" s="1352"/>
      <c r="S111" s="1353"/>
      <c r="T111" s="1353"/>
    </row>
    <row r="112" spans="1:20" s="2" customFormat="1" ht="27" customHeight="1" x14ac:dyDescent="0.25">
      <c r="A112" s="1010"/>
      <c r="B112" s="1011"/>
      <c r="C112" s="1012"/>
      <c r="D112" s="634"/>
      <c r="E112" s="1598"/>
      <c r="F112" s="1008"/>
      <c r="G112" s="42"/>
      <c r="H112" s="941"/>
      <c r="I112" s="942"/>
      <c r="J112" s="943"/>
      <c r="K112" s="944"/>
      <c r="L112" s="945"/>
      <c r="M112" s="858" t="s">
        <v>140</v>
      </c>
      <c r="N112" s="858"/>
      <c r="O112" s="93">
        <v>1</v>
      </c>
      <c r="P112" s="223">
        <v>1</v>
      </c>
      <c r="Q112" s="437">
        <v>1</v>
      </c>
      <c r="R112" s="1083"/>
      <c r="S112" s="1083"/>
      <c r="T112" s="1083"/>
    </row>
    <row r="113" spans="1:20" s="2" customFormat="1" ht="18.75" customHeight="1" x14ac:dyDescent="0.25">
      <c r="A113" s="1010"/>
      <c r="B113" s="1011"/>
      <c r="C113" s="1012"/>
      <c r="D113" s="634"/>
      <c r="E113" s="1597" t="s">
        <v>96</v>
      </c>
      <c r="F113" s="1008" t="s">
        <v>264</v>
      </c>
      <c r="G113" s="42"/>
      <c r="H113" s="946" t="s">
        <v>137</v>
      </c>
      <c r="I113" s="608">
        <v>1.9</v>
      </c>
      <c r="J113" s="747">
        <v>2.1</v>
      </c>
      <c r="K113" s="748">
        <v>2.1</v>
      </c>
      <c r="L113" s="749">
        <v>2.1</v>
      </c>
      <c r="M113" s="1076" t="s">
        <v>295</v>
      </c>
      <c r="N113" s="527"/>
      <c r="O113" s="93">
        <v>5</v>
      </c>
      <c r="P113" s="223">
        <v>5</v>
      </c>
      <c r="Q113" s="437">
        <v>5</v>
      </c>
    </row>
    <row r="114" spans="1:20" s="2" customFormat="1" ht="26.25" customHeight="1" x14ac:dyDescent="0.25">
      <c r="A114" s="1010"/>
      <c r="B114" s="1011"/>
      <c r="C114" s="1012"/>
      <c r="D114" s="634"/>
      <c r="E114" s="1598"/>
      <c r="F114" s="1008"/>
      <c r="G114" s="42"/>
      <c r="H114" s="941"/>
      <c r="I114" s="942"/>
      <c r="J114" s="943"/>
      <c r="K114" s="944"/>
      <c r="L114" s="945"/>
      <c r="M114" s="1094" t="s">
        <v>140</v>
      </c>
      <c r="N114" s="1065"/>
      <c r="O114" s="27">
        <v>2</v>
      </c>
      <c r="P114" s="967">
        <v>2</v>
      </c>
      <c r="Q114" s="951">
        <v>2</v>
      </c>
    </row>
    <row r="115" spans="1:20" s="2" customFormat="1" ht="18" customHeight="1" x14ac:dyDescent="0.25">
      <c r="A115" s="1010"/>
      <c r="B115" s="1011"/>
      <c r="C115" s="1012"/>
      <c r="D115" s="108" t="s">
        <v>34</v>
      </c>
      <c r="E115" s="1356" t="s">
        <v>105</v>
      </c>
      <c r="F115" s="729" t="s">
        <v>264</v>
      </c>
      <c r="G115" s="42"/>
      <c r="H115" s="70" t="s">
        <v>16</v>
      </c>
      <c r="I115" s="581">
        <v>450.5</v>
      </c>
      <c r="J115" s="952">
        <v>767.3</v>
      </c>
      <c r="K115" s="953">
        <v>767.3</v>
      </c>
      <c r="L115" s="950">
        <v>767.3</v>
      </c>
      <c r="M115" s="170" t="s">
        <v>78</v>
      </c>
      <c r="N115" s="688">
        <v>171</v>
      </c>
      <c r="O115" s="8">
        <v>171</v>
      </c>
      <c r="P115" s="1028">
        <v>171</v>
      </c>
      <c r="Q115" s="842">
        <v>171</v>
      </c>
      <c r="R115" s="92"/>
    </row>
    <row r="116" spans="1:20" s="2" customFormat="1" ht="24" customHeight="1" x14ac:dyDescent="0.25">
      <c r="A116" s="1010"/>
      <c r="B116" s="1011"/>
      <c r="C116" s="1012"/>
      <c r="D116" s="634"/>
      <c r="E116" s="1357"/>
      <c r="F116" s="1008"/>
      <c r="G116" s="42"/>
      <c r="H116" s="73" t="s">
        <v>206</v>
      </c>
      <c r="I116" s="590">
        <f>221.6-17.2</f>
        <v>204.4</v>
      </c>
      <c r="J116" s="739">
        <v>166.4</v>
      </c>
      <c r="K116" s="740">
        <v>166.4</v>
      </c>
      <c r="L116" s="415">
        <v>166.4</v>
      </c>
      <c r="M116" s="1361" t="s">
        <v>296</v>
      </c>
      <c r="N116" s="856"/>
      <c r="O116" s="8">
        <v>3</v>
      </c>
      <c r="P116" s="1028">
        <v>3</v>
      </c>
      <c r="Q116" s="987">
        <v>3</v>
      </c>
      <c r="R116" s="92"/>
    </row>
    <row r="117" spans="1:20" s="2" customFormat="1" ht="21" customHeight="1" x14ac:dyDescent="0.25">
      <c r="A117" s="1010"/>
      <c r="B117" s="1011"/>
      <c r="C117" s="1012"/>
      <c r="D117" s="634"/>
      <c r="E117" s="1357"/>
      <c r="F117" s="1008"/>
      <c r="G117" s="42"/>
      <c r="H117" s="73" t="s">
        <v>109</v>
      </c>
      <c r="I117" s="590"/>
      <c r="J117" s="739">
        <v>4.0999999999999996</v>
      </c>
      <c r="K117" s="740"/>
      <c r="L117" s="415"/>
      <c r="M117" s="1360"/>
      <c r="N117" s="786"/>
      <c r="O117" s="138"/>
      <c r="P117" s="1029"/>
      <c r="Q117" s="230"/>
      <c r="R117" s="92"/>
    </row>
    <row r="118" spans="1:20" s="2" customFormat="1" ht="29.25" customHeight="1" x14ac:dyDescent="0.25">
      <c r="A118" s="1010"/>
      <c r="B118" s="1011"/>
      <c r="C118" s="1012"/>
      <c r="D118" s="634"/>
      <c r="E118" s="1357"/>
      <c r="F118" s="388"/>
      <c r="G118" s="42"/>
      <c r="H118" s="73" t="s">
        <v>38</v>
      </c>
      <c r="I118" s="590">
        <f>4.5+1</f>
        <v>5.5</v>
      </c>
      <c r="J118" s="739">
        <v>10.8</v>
      </c>
      <c r="K118" s="740">
        <v>10.8</v>
      </c>
      <c r="L118" s="415">
        <v>10.8</v>
      </c>
      <c r="M118" s="308" t="s">
        <v>154</v>
      </c>
      <c r="N118" s="688">
        <v>23</v>
      </c>
      <c r="O118" s="138"/>
      <c r="P118" s="236"/>
      <c r="Q118" s="857"/>
    </row>
    <row r="119" spans="1:20" s="2" customFormat="1" ht="67.5" customHeight="1" x14ac:dyDescent="0.25">
      <c r="A119" s="1010"/>
      <c r="B119" s="1011"/>
      <c r="C119" s="1012"/>
      <c r="D119" s="634"/>
      <c r="E119" s="1357"/>
      <c r="F119" s="388"/>
      <c r="G119" s="42"/>
      <c r="H119" s="70" t="s">
        <v>79</v>
      </c>
      <c r="I119" s="581">
        <v>2</v>
      </c>
      <c r="J119" s="739">
        <v>0.7</v>
      </c>
      <c r="K119" s="740"/>
      <c r="L119" s="415"/>
      <c r="M119" s="858" t="s">
        <v>277</v>
      </c>
      <c r="N119" s="688"/>
      <c r="O119" s="93">
        <v>15</v>
      </c>
      <c r="P119" s="641">
        <v>15</v>
      </c>
      <c r="Q119" s="859">
        <v>15</v>
      </c>
    </row>
    <row r="120" spans="1:20" s="2" customFormat="1" ht="39.75" customHeight="1" x14ac:dyDescent="0.25">
      <c r="A120" s="1010"/>
      <c r="B120" s="1011"/>
      <c r="C120" s="1012"/>
      <c r="D120" s="106"/>
      <c r="E120" s="1358"/>
      <c r="F120" s="388"/>
      <c r="G120" s="42"/>
      <c r="H120" s="70" t="s">
        <v>14</v>
      </c>
      <c r="I120" s="581">
        <v>20.399999999999999</v>
      </c>
      <c r="J120" s="952">
        <v>0.3</v>
      </c>
      <c r="K120" s="953"/>
      <c r="L120" s="950"/>
      <c r="M120" s="386" t="s">
        <v>261</v>
      </c>
      <c r="N120" s="844">
        <v>37</v>
      </c>
      <c r="O120" s="138">
        <v>2</v>
      </c>
      <c r="P120" s="1029"/>
      <c r="Q120" s="462"/>
    </row>
    <row r="121" spans="1:20" s="2" customFormat="1" ht="18.600000000000001" customHeight="1" x14ac:dyDescent="0.25">
      <c r="A121" s="1010"/>
      <c r="B121" s="1011"/>
      <c r="C121" s="1012"/>
      <c r="D121" s="108" t="s">
        <v>49</v>
      </c>
      <c r="E121" s="1356" t="s">
        <v>106</v>
      </c>
      <c r="F121" s="837" t="s">
        <v>264</v>
      </c>
      <c r="G121" s="42"/>
      <c r="H121" s="72" t="s">
        <v>206</v>
      </c>
      <c r="I121" s="581">
        <f>476.9-10.2</f>
        <v>466.7</v>
      </c>
      <c r="J121" s="952">
        <v>726.8</v>
      </c>
      <c r="K121" s="953">
        <v>726.8</v>
      </c>
      <c r="L121" s="950">
        <v>726.8</v>
      </c>
      <c r="M121" s="1361" t="s">
        <v>102</v>
      </c>
      <c r="N121" s="1655">
        <v>40</v>
      </c>
      <c r="O121" s="948">
        <v>60</v>
      </c>
      <c r="P121" s="954">
        <v>60</v>
      </c>
      <c r="Q121" s="955">
        <v>60</v>
      </c>
      <c r="R121" s="1350"/>
      <c r="S121" s="1351"/>
      <c r="T121" s="1351"/>
    </row>
    <row r="122" spans="1:20" s="2" customFormat="1" ht="15.75" customHeight="1" x14ac:dyDescent="0.25">
      <c r="A122" s="1010"/>
      <c r="B122" s="1011"/>
      <c r="C122" s="1012"/>
      <c r="D122" s="634"/>
      <c r="E122" s="1357"/>
      <c r="F122" s="837" t="s">
        <v>265</v>
      </c>
      <c r="G122" s="42"/>
      <c r="H122" s="128" t="s">
        <v>38</v>
      </c>
      <c r="I122" s="593">
        <v>62</v>
      </c>
      <c r="J122" s="741">
        <v>62</v>
      </c>
      <c r="K122" s="742">
        <v>62</v>
      </c>
      <c r="L122" s="414">
        <v>62</v>
      </c>
      <c r="M122" s="1359"/>
      <c r="N122" s="1661"/>
      <c r="O122" s="947"/>
      <c r="P122" s="967"/>
      <c r="Q122" s="951"/>
      <c r="R122" s="1350"/>
      <c r="S122" s="1351"/>
      <c r="T122" s="1351"/>
    </row>
    <row r="123" spans="1:20" s="2" customFormat="1" ht="15.75" customHeight="1" x14ac:dyDescent="0.25">
      <c r="A123" s="1010"/>
      <c r="B123" s="1011"/>
      <c r="C123" s="1012"/>
      <c r="D123" s="634"/>
      <c r="E123" s="1357"/>
      <c r="F123" s="837"/>
      <c r="G123" s="42"/>
      <c r="H123" s="128" t="s">
        <v>79</v>
      </c>
      <c r="I123" s="593">
        <v>9.9</v>
      </c>
      <c r="J123" s="741">
        <v>7.4</v>
      </c>
      <c r="K123" s="742"/>
      <c r="L123" s="414"/>
      <c r="M123" s="1360"/>
      <c r="N123" s="992"/>
      <c r="O123" s="751"/>
      <c r="P123" s="920"/>
      <c r="Q123" s="921"/>
      <c r="R123" s="1350"/>
      <c r="S123" s="1351"/>
      <c r="T123" s="1351"/>
    </row>
    <row r="124" spans="1:20" s="2" customFormat="1" ht="17.25" customHeight="1" x14ac:dyDescent="0.25">
      <c r="A124" s="1010"/>
      <c r="B124" s="1011"/>
      <c r="C124" s="1012"/>
      <c r="D124" s="634"/>
      <c r="E124" s="1357"/>
      <c r="F124" s="837"/>
      <c r="G124" s="42"/>
      <c r="H124" s="72" t="s">
        <v>16</v>
      </c>
      <c r="I124" s="581">
        <v>65.7</v>
      </c>
      <c r="J124" s="952">
        <v>282.2</v>
      </c>
      <c r="K124" s="953">
        <v>282.2</v>
      </c>
      <c r="L124" s="950">
        <v>282.2</v>
      </c>
      <c r="M124" s="1359" t="s">
        <v>132</v>
      </c>
      <c r="N124" s="1065">
        <v>20</v>
      </c>
      <c r="O124" s="27">
        <v>12</v>
      </c>
      <c r="P124" s="967">
        <v>12</v>
      </c>
      <c r="Q124" s="951">
        <v>12</v>
      </c>
    </row>
    <row r="125" spans="1:20" s="2" customFormat="1" ht="17.25" customHeight="1" x14ac:dyDescent="0.25">
      <c r="A125" s="1010"/>
      <c r="B125" s="1011"/>
      <c r="C125" s="1012"/>
      <c r="D125" s="634"/>
      <c r="E125" s="1357"/>
      <c r="F125" s="837"/>
      <c r="G125" s="42"/>
      <c r="H125" s="72" t="s">
        <v>206</v>
      </c>
      <c r="I125" s="593">
        <f>276.5-9.7</f>
        <v>266.8</v>
      </c>
      <c r="J125" s="741">
        <v>58.8</v>
      </c>
      <c r="K125" s="742">
        <v>58.8</v>
      </c>
      <c r="L125" s="414">
        <v>58.8</v>
      </c>
      <c r="M125" s="1359"/>
      <c r="N125" s="1065"/>
      <c r="O125" s="27"/>
      <c r="P125" s="967"/>
      <c r="Q125" s="951"/>
    </row>
    <row r="126" spans="1:20" s="2" customFormat="1" ht="17.25" customHeight="1" x14ac:dyDescent="0.25">
      <c r="A126" s="1010"/>
      <c r="B126" s="1011"/>
      <c r="C126" s="1012"/>
      <c r="D126" s="634"/>
      <c r="E126" s="1357"/>
      <c r="F126" s="837"/>
      <c r="G126" s="42"/>
      <c r="H126" s="128" t="s">
        <v>14</v>
      </c>
      <c r="I126" s="593">
        <v>65.7</v>
      </c>
      <c r="J126" s="741">
        <v>50.5</v>
      </c>
      <c r="K126" s="742">
        <v>50.5</v>
      </c>
      <c r="L126" s="414">
        <v>50.5</v>
      </c>
      <c r="M126" s="1360"/>
      <c r="N126" s="992"/>
      <c r="O126" s="138"/>
      <c r="P126" s="1029"/>
      <c r="Q126" s="988"/>
    </row>
    <row r="127" spans="1:20" s="2" customFormat="1" ht="26.25" customHeight="1" x14ac:dyDescent="0.25">
      <c r="A127" s="1010"/>
      <c r="B127" s="1011"/>
      <c r="C127" s="1012"/>
      <c r="D127" s="634"/>
      <c r="E127" s="1357"/>
      <c r="F127" s="837"/>
      <c r="G127" s="42"/>
      <c r="H127" s="128" t="s">
        <v>16</v>
      </c>
      <c r="I127" s="593"/>
      <c r="J127" s="741"/>
      <c r="K127" s="742">
        <v>122</v>
      </c>
      <c r="L127" s="414"/>
      <c r="M127" s="1066" t="s">
        <v>283</v>
      </c>
      <c r="N127" s="531"/>
      <c r="O127" s="298"/>
      <c r="P127" s="223">
        <v>100</v>
      </c>
      <c r="Q127" s="437"/>
    </row>
    <row r="128" spans="1:20" s="2" customFormat="1" ht="41.25" customHeight="1" x14ac:dyDescent="0.25">
      <c r="A128" s="1010"/>
      <c r="B128" s="1011"/>
      <c r="C128" s="1012"/>
      <c r="D128" s="106"/>
      <c r="E128" s="1358"/>
      <c r="F128" s="837"/>
      <c r="G128" s="42"/>
      <c r="H128" s="128" t="s">
        <v>14</v>
      </c>
      <c r="I128" s="593">
        <v>22.2</v>
      </c>
      <c r="J128" s="741">
        <v>0.5</v>
      </c>
      <c r="K128" s="742"/>
      <c r="L128" s="414"/>
      <c r="M128" s="689" t="s">
        <v>261</v>
      </c>
      <c r="N128" s="551">
        <v>36</v>
      </c>
      <c r="O128" s="923">
        <v>5</v>
      </c>
      <c r="P128" s="657"/>
      <c r="Q128" s="463"/>
    </row>
    <row r="129" spans="1:21" s="2" customFormat="1" ht="16.5" customHeight="1" x14ac:dyDescent="0.25">
      <c r="A129" s="1010"/>
      <c r="B129" s="1011"/>
      <c r="C129" s="1012"/>
      <c r="D129" s="634" t="s">
        <v>80</v>
      </c>
      <c r="E129" s="1357" t="s">
        <v>41</v>
      </c>
      <c r="F129" s="837" t="s">
        <v>264</v>
      </c>
      <c r="G129" s="42"/>
      <c r="H129" s="128" t="s">
        <v>16</v>
      </c>
      <c r="I129" s="581">
        <v>26.3</v>
      </c>
      <c r="J129" s="741">
        <v>1088.3</v>
      </c>
      <c r="K129" s="742">
        <v>1088.3</v>
      </c>
      <c r="L129" s="950">
        <v>1088.3</v>
      </c>
      <c r="M129" s="1361" t="s">
        <v>122</v>
      </c>
      <c r="N129" s="1655">
        <v>56</v>
      </c>
      <c r="O129" s="1606">
        <v>56</v>
      </c>
      <c r="P129" s="1492">
        <v>56</v>
      </c>
      <c r="Q129" s="1484">
        <v>56</v>
      </c>
    </row>
    <row r="130" spans="1:21" s="2" customFormat="1" ht="16.5" customHeight="1" x14ac:dyDescent="0.25">
      <c r="A130" s="59"/>
      <c r="B130" s="1011"/>
      <c r="C130" s="1012"/>
      <c r="D130" s="634"/>
      <c r="E130" s="1357"/>
      <c r="F130" s="837" t="s">
        <v>265</v>
      </c>
      <c r="G130" s="42"/>
      <c r="H130" s="128" t="s">
        <v>206</v>
      </c>
      <c r="I130" s="581">
        <f>974.8-30.1+13.6</f>
        <v>958.3</v>
      </c>
      <c r="J130" s="741">
        <v>251.6</v>
      </c>
      <c r="K130" s="742">
        <v>251.6</v>
      </c>
      <c r="L130" s="950">
        <v>251.6</v>
      </c>
      <c r="M130" s="1360"/>
      <c r="N130" s="1656"/>
      <c r="O130" s="1608"/>
      <c r="P130" s="1493"/>
      <c r="Q130" s="1485"/>
    </row>
    <row r="131" spans="1:21" s="2" customFormat="1" ht="16.5" customHeight="1" x14ac:dyDescent="0.25">
      <c r="A131" s="59"/>
      <c r="B131" s="1011"/>
      <c r="C131" s="1012"/>
      <c r="D131" s="634"/>
      <c r="E131" s="1357"/>
      <c r="F131" s="837"/>
      <c r="G131" s="42"/>
      <c r="H131" s="128" t="s">
        <v>38</v>
      </c>
      <c r="I131" s="581">
        <v>8.4</v>
      </c>
      <c r="J131" s="741"/>
      <c r="K131" s="742"/>
      <c r="L131" s="950"/>
      <c r="M131" s="1361" t="s">
        <v>278</v>
      </c>
      <c r="N131" s="1065"/>
      <c r="O131" s="27">
        <v>3</v>
      </c>
      <c r="P131" s="967">
        <v>3</v>
      </c>
      <c r="Q131" s="951">
        <v>3</v>
      </c>
    </row>
    <row r="132" spans="1:21" s="2" customFormat="1" ht="16.5" customHeight="1" x14ac:dyDescent="0.25">
      <c r="A132" s="59"/>
      <c r="B132" s="1011"/>
      <c r="C132" s="1012"/>
      <c r="D132" s="634"/>
      <c r="E132" s="1357"/>
      <c r="F132" s="837"/>
      <c r="G132" s="42"/>
      <c r="H132" s="128" t="s">
        <v>109</v>
      </c>
      <c r="I132" s="581"/>
      <c r="J132" s="741">
        <v>1.5</v>
      </c>
      <c r="K132" s="742"/>
      <c r="L132" s="950"/>
      <c r="M132" s="1359"/>
      <c r="N132" s="1065"/>
      <c r="O132" s="27"/>
      <c r="P132" s="967"/>
      <c r="Q132" s="951"/>
    </row>
    <row r="133" spans="1:21" s="2" customFormat="1" ht="16.5" customHeight="1" x14ac:dyDescent="0.25">
      <c r="A133" s="59"/>
      <c r="B133" s="1011"/>
      <c r="C133" s="1012"/>
      <c r="D133" s="634"/>
      <c r="E133" s="1357"/>
      <c r="F133" s="837"/>
      <c r="G133" s="42"/>
      <c r="H133" s="72" t="s">
        <v>14</v>
      </c>
      <c r="I133" s="581">
        <v>26.3</v>
      </c>
      <c r="J133" s="952">
        <v>16.899999999999999</v>
      </c>
      <c r="K133" s="953">
        <v>16.899999999999999</v>
      </c>
      <c r="L133" s="950">
        <v>16.899999999999999</v>
      </c>
      <c r="M133" s="1359"/>
      <c r="N133" s="1065"/>
      <c r="O133" s="27"/>
      <c r="P133" s="967"/>
      <c r="Q133" s="951"/>
    </row>
    <row r="134" spans="1:21" s="2" customFormat="1" ht="47.25" customHeight="1" x14ac:dyDescent="0.25">
      <c r="A134" s="59"/>
      <c r="B134" s="1011"/>
      <c r="C134" s="1012"/>
      <c r="D134" s="634"/>
      <c r="E134" s="1357"/>
      <c r="F134" s="837"/>
      <c r="G134" s="42"/>
      <c r="H134" s="128" t="s">
        <v>79</v>
      </c>
      <c r="I134" s="567">
        <v>7.1</v>
      </c>
      <c r="J134" s="952">
        <v>1.1000000000000001</v>
      </c>
      <c r="K134" s="953"/>
      <c r="L134" s="950"/>
      <c r="M134" s="1360"/>
      <c r="N134" s="992"/>
      <c r="O134" s="138"/>
      <c r="P134" s="1029"/>
      <c r="Q134" s="988"/>
    </row>
    <row r="135" spans="1:21" s="2" customFormat="1" ht="39" customHeight="1" x14ac:dyDescent="0.25">
      <c r="A135" s="59"/>
      <c r="B135" s="1011"/>
      <c r="C135" s="1012"/>
      <c r="D135" s="634"/>
      <c r="E135" s="1357"/>
      <c r="F135" s="391"/>
      <c r="G135" s="42"/>
      <c r="H135" s="128" t="s">
        <v>14</v>
      </c>
      <c r="I135" s="609">
        <v>32.9</v>
      </c>
      <c r="J135" s="736">
        <v>0.3</v>
      </c>
      <c r="K135" s="737"/>
      <c r="L135" s="750"/>
      <c r="M135" s="902" t="s">
        <v>261</v>
      </c>
      <c r="N135" s="551">
        <v>55</v>
      </c>
      <c r="O135" s="296">
        <v>3</v>
      </c>
      <c r="P135" s="242"/>
      <c r="Q135" s="464"/>
      <c r="R135" s="880"/>
    </row>
    <row r="136" spans="1:21" s="2" customFormat="1" ht="30.75" customHeight="1" x14ac:dyDescent="0.25">
      <c r="A136" s="1010"/>
      <c r="B136" s="1011"/>
      <c r="C136" s="68"/>
      <c r="D136" s="1068" t="s">
        <v>284</v>
      </c>
      <c r="E136" s="878" t="s">
        <v>287</v>
      </c>
      <c r="F136" s="807" t="s">
        <v>264</v>
      </c>
      <c r="G136" s="1630" t="s">
        <v>196</v>
      </c>
      <c r="H136" s="1005"/>
      <c r="I136" s="568"/>
      <c r="J136" s="784"/>
      <c r="K136" s="195"/>
      <c r="L136" s="673"/>
      <c r="M136" s="170"/>
      <c r="N136" s="1005"/>
      <c r="O136" s="8"/>
      <c r="P136" s="1028"/>
      <c r="Q136" s="1051"/>
    </row>
    <row r="137" spans="1:21" s="2" customFormat="1" ht="18.75" customHeight="1" x14ac:dyDescent="0.25">
      <c r="A137" s="1010"/>
      <c r="B137" s="1011"/>
      <c r="C137" s="68"/>
      <c r="D137" s="808"/>
      <c r="E137" s="158" t="s">
        <v>288</v>
      </c>
      <c r="F137" s="814"/>
      <c r="G137" s="1631"/>
      <c r="H137" s="1005" t="s">
        <v>16</v>
      </c>
      <c r="I137" s="568">
        <v>121.8</v>
      </c>
      <c r="J137" s="784">
        <v>203.7</v>
      </c>
      <c r="K137" s="195">
        <v>210</v>
      </c>
      <c r="L137" s="673">
        <v>210</v>
      </c>
      <c r="M137" s="170" t="s">
        <v>97</v>
      </c>
      <c r="N137" s="1005">
        <v>9</v>
      </c>
      <c r="O137" s="8">
        <v>9</v>
      </c>
      <c r="P137" s="1028">
        <v>9</v>
      </c>
      <c r="Q137" s="1051">
        <v>9</v>
      </c>
      <c r="S137" s="901"/>
    </row>
    <row r="138" spans="1:21" s="2" customFormat="1" ht="30.75" customHeight="1" x14ac:dyDescent="0.25">
      <c r="A138" s="1010"/>
      <c r="B138" s="1011"/>
      <c r="C138" s="68"/>
      <c r="D138" s="808"/>
      <c r="E138" s="158"/>
      <c r="F138" s="809"/>
      <c r="G138" s="1631"/>
      <c r="H138" s="1005" t="s">
        <v>109</v>
      </c>
      <c r="I138" s="568">
        <v>16.3</v>
      </c>
      <c r="J138" s="264"/>
      <c r="K138" s="1069"/>
      <c r="L138" s="411"/>
      <c r="M138" s="71" t="s">
        <v>179</v>
      </c>
      <c r="N138" s="531">
        <v>5</v>
      </c>
      <c r="O138" s="93">
        <v>5</v>
      </c>
      <c r="P138" s="223">
        <v>5</v>
      </c>
      <c r="Q138" s="443">
        <v>5</v>
      </c>
    </row>
    <row r="139" spans="1:21" s="2" customFormat="1" ht="43.5" customHeight="1" x14ac:dyDescent="0.25">
      <c r="A139" s="1010"/>
      <c r="B139" s="1011"/>
      <c r="C139" s="68"/>
      <c r="D139" s="808"/>
      <c r="E139" s="877"/>
      <c r="F139" s="876"/>
      <c r="G139" s="1631"/>
      <c r="H139" s="1007"/>
      <c r="I139" s="805"/>
      <c r="J139" s="137"/>
      <c r="K139" s="564"/>
      <c r="L139" s="806"/>
      <c r="M139" s="157" t="s">
        <v>180</v>
      </c>
      <c r="N139" s="531">
        <v>3</v>
      </c>
      <c r="O139" s="298">
        <v>3</v>
      </c>
      <c r="P139" s="241">
        <v>3</v>
      </c>
      <c r="Q139" s="443">
        <v>3</v>
      </c>
    </row>
    <row r="140" spans="1:21" s="2" customFormat="1" ht="42.75" customHeight="1" x14ac:dyDescent="0.25">
      <c r="A140" s="1010"/>
      <c r="B140" s="1011"/>
      <c r="C140" s="68"/>
      <c r="D140" s="808"/>
      <c r="E140" s="1017" t="s">
        <v>289</v>
      </c>
      <c r="F140" s="811"/>
      <c r="G140" s="1632"/>
      <c r="H140" s="1007" t="s">
        <v>16</v>
      </c>
      <c r="I140" s="805"/>
      <c r="J140" s="651">
        <v>54.6</v>
      </c>
      <c r="K140" s="652">
        <v>54.6</v>
      </c>
      <c r="L140" s="687">
        <v>54.6</v>
      </c>
      <c r="M140" s="157" t="s">
        <v>290</v>
      </c>
      <c r="N140" s="531"/>
      <c r="O140" s="298">
        <v>7</v>
      </c>
      <c r="P140" s="241">
        <v>7</v>
      </c>
      <c r="Q140" s="443">
        <v>7</v>
      </c>
    </row>
    <row r="141" spans="1:21" s="14" customFormat="1" ht="16.5" customHeight="1" thickBot="1" x14ac:dyDescent="0.3">
      <c r="A141" s="60"/>
      <c r="B141" s="1016"/>
      <c r="C141" s="48"/>
      <c r="D141" s="20"/>
      <c r="E141" s="1372" t="s">
        <v>27</v>
      </c>
      <c r="F141" s="1373"/>
      <c r="G141" s="1373"/>
      <c r="H141" s="1662"/>
      <c r="I141" s="610">
        <f>SUM(I71:I140)-I111-I113</f>
        <v>7149.4999999999982</v>
      </c>
      <c r="J141" s="680">
        <f>SUM(J71:J140)-J111-J113</f>
        <v>8976.1</v>
      </c>
      <c r="K141" s="682">
        <f>SUM(K71:K140)-K111-K113</f>
        <v>8828.0999999999985</v>
      </c>
      <c r="L141" s="681">
        <f>SUM(L71:L140)-L111-L113</f>
        <v>8713.0999999999985</v>
      </c>
      <c r="M141" s="159"/>
      <c r="N141" s="534"/>
      <c r="O141" s="924"/>
      <c r="P141" s="1070"/>
      <c r="Q141" s="444"/>
    </row>
    <row r="142" spans="1:21" s="14" customFormat="1" ht="41.25" customHeight="1" x14ac:dyDescent="0.25">
      <c r="A142" s="1398" t="s">
        <v>10</v>
      </c>
      <c r="B142" s="1613" t="s">
        <v>28</v>
      </c>
      <c r="C142" s="1400" t="s">
        <v>28</v>
      </c>
      <c r="D142" s="494"/>
      <c r="E142" s="489" t="s">
        <v>241</v>
      </c>
      <c r="F142" s="891" t="s">
        <v>265</v>
      </c>
      <c r="G142" s="1663" t="s">
        <v>172</v>
      </c>
      <c r="H142" s="485"/>
      <c r="I142" s="611"/>
      <c r="J142" s="485"/>
      <c r="K142" s="560"/>
      <c r="L142" s="486"/>
      <c r="M142" s="487"/>
      <c r="N142" s="552"/>
      <c r="O142" s="658"/>
      <c r="P142" s="659"/>
      <c r="Q142" s="488"/>
    </row>
    <row r="143" spans="1:21" s="15" customFormat="1" ht="25.15" customHeight="1" x14ac:dyDescent="0.25">
      <c r="A143" s="1399"/>
      <c r="B143" s="1614"/>
      <c r="C143" s="1401"/>
      <c r="D143" s="468" t="s">
        <v>10</v>
      </c>
      <c r="E143" s="1615" t="s">
        <v>243</v>
      </c>
      <c r="F143" s="835" t="s">
        <v>264</v>
      </c>
      <c r="G143" s="1664"/>
      <c r="H143" s="901" t="s">
        <v>16</v>
      </c>
      <c r="I143" s="593">
        <f>255.9+217</f>
        <v>472.9</v>
      </c>
      <c r="J143" s="759">
        <v>295.5</v>
      </c>
      <c r="K143" s="220">
        <v>321.7</v>
      </c>
      <c r="L143" s="408">
        <v>354.4</v>
      </c>
      <c r="M143" s="1669" t="s">
        <v>88</v>
      </c>
      <c r="N143" s="1671">
        <v>126</v>
      </c>
      <c r="O143" s="264">
        <v>146</v>
      </c>
      <c r="P143" s="1069">
        <v>150</v>
      </c>
      <c r="Q143" s="1051">
        <v>155</v>
      </c>
      <c r="R143" s="1350"/>
      <c r="S143" s="1351"/>
      <c r="T143" s="1351"/>
    </row>
    <row r="144" spans="1:21" s="15" customFormat="1" ht="36" customHeight="1" x14ac:dyDescent="0.25">
      <c r="A144" s="381"/>
      <c r="B144" s="379"/>
      <c r="C144" s="377"/>
      <c r="D144" s="481"/>
      <c r="E144" s="1616"/>
      <c r="F144" s="728"/>
      <c r="G144" s="990"/>
      <c r="H144" s="136" t="s">
        <v>206</v>
      </c>
      <c r="I144" s="581">
        <f>384.1-13.7</f>
        <v>370.40000000000003</v>
      </c>
      <c r="J144" s="760">
        <v>659.7</v>
      </c>
      <c r="K144" s="195">
        <v>659.7</v>
      </c>
      <c r="L144" s="405">
        <v>659.7</v>
      </c>
      <c r="M144" s="1670"/>
      <c r="N144" s="1672"/>
      <c r="O144" s="925"/>
      <c r="P144" s="926"/>
      <c r="Q144" s="927"/>
      <c r="R144" s="1350"/>
      <c r="S144" s="1351"/>
      <c r="T144" s="1351"/>
      <c r="U144" s="16"/>
    </row>
    <row r="145" spans="1:21" s="15" customFormat="1" ht="28.5" customHeight="1" x14ac:dyDescent="0.25">
      <c r="A145" s="381"/>
      <c r="B145" s="379"/>
      <c r="C145" s="377"/>
      <c r="D145" s="481" t="s">
        <v>28</v>
      </c>
      <c r="E145" s="491" t="s">
        <v>242</v>
      </c>
      <c r="F145" s="837" t="s">
        <v>264</v>
      </c>
      <c r="G145" s="990"/>
      <c r="H145" s="264" t="s">
        <v>206</v>
      </c>
      <c r="I145" s="590">
        <v>13.7</v>
      </c>
      <c r="J145" s="761">
        <v>7</v>
      </c>
      <c r="K145" s="762"/>
      <c r="L145" s="404"/>
      <c r="M145" s="491" t="s">
        <v>244</v>
      </c>
      <c r="N145" s="1058">
        <v>1</v>
      </c>
      <c r="O145" s="635">
        <v>1</v>
      </c>
      <c r="P145" s="234"/>
      <c r="Q145" s="477"/>
      <c r="U145" s="16"/>
    </row>
    <row r="146" spans="1:21" s="16" customFormat="1" ht="15.75" customHeight="1" thickBot="1" x14ac:dyDescent="0.3">
      <c r="A146" s="382"/>
      <c r="B146" s="380"/>
      <c r="C146" s="378"/>
      <c r="D146" s="495"/>
      <c r="E146" s="492"/>
      <c r="F146" s="392"/>
      <c r="G146" s="383"/>
      <c r="H146" s="490" t="s">
        <v>20</v>
      </c>
      <c r="I146" s="612">
        <f>SUM(I143:I145)</f>
        <v>857</v>
      </c>
      <c r="J146" s="192">
        <f t="shared" ref="J146:L146" si="12">SUM(J143:J145)</f>
        <v>962.2</v>
      </c>
      <c r="K146" s="197">
        <f t="shared" si="12"/>
        <v>981.40000000000009</v>
      </c>
      <c r="L146" s="188">
        <f t="shared" si="12"/>
        <v>1014.1</v>
      </c>
      <c r="M146" s="492"/>
      <c r="N146" s="533"/>
      <c r="O146" s="660"/>
      <c r="P146" s="250"/>
      <c r="Q146" s="493"/>
    </row>
    <row r="147" spans="1:21" s="1" customFormat="1" ht="42" customHeight="1" x14ac:dyDescent="0.25">
      <c r="A147" s="61" t="s">
        <v>10</v>
      </c>
      <c r="B147" s="17" t="s">
        <v>28</v>
      </c>
      <c r="C147" s="103" t="s">
        <v>31</v>
      </c>
      <c r="D147" s="104"/>
      <c r="E147" s="1377" t="s">
        <v>42</v>
      </c>
      <c r="F147" s="393"/>
      <c r="G147" s="989" t="s">
        <v>172</v>
      </c>
      <c r="H147" s="79"/>
      <c r="I147" s="613"/>
      <c r="J147" s="763"/>
      <c r="K147" s="764"/>
      <c r="L147" s="418"/>
      <c r="M147" s="1025"/>
      <c r="N147" s="526"/>
      <c r="O147" s="13"/>
      <c r="P147" s="509"/>
      <c r="Q147" s="434"/>
    </row>
    <row r="148" spans="1:21" s="1" customFormat="1" ht="52.5" customHeight="1" x14ac:dyDescent="0.25">
      <c r="A148" s="62"/>
      <c r="B148" s="18"/>
      <c r="C148" s="1056"/>
      <c r="D148" s="105"/>
      <c r="E148" s="1584"/>
      <c r="F148" s="705"/>
      <c r="G148" s="990"/>
      <c r="H148" s="132"/>
      <c r="I148" s="614"/>
      <c r="J148" s="765"/>
      <c r="K148" s="766"/>
      <c r="L148" s="419"/>
      <c r="M148" s="349"/>
      <c r="N148" s="844"/>
      <c r="O148" s="639"/>
      <c r="P148" s="236"/>
      <c r="Q148" s="462"/>
    </row>
    <row r="149" spans="1:21" s="1" customFormat="1" ht="55.5" customHeight="1" x14ac:dyDescent="0.25">
      <c r="A149" s="62"/>
      <c r="B149" s="18"/>
      <c r="C149" s="1056"/>
      <c r="D149" s="110" t="s">
        <v>10</v>
      </c>
      <c r="E149" s="386" t="s">
        <v>81</v>
      </c>
      <c r="F149" s="1081" t="s">
        <v>293</v>
      </c>
      <c r="G149" s="990"/>
      <c r="H149" s="298" t="s">
        <v>206</v>
      </c>
      <c r="I149" s="101">
        <v>70</v>
      </c>
      <c r="J149" s="760">
        <v>82.6</v>
      </c>
      <c r="K149" s="195">
        <v>82.6</v>
      </c>
      <c r="L149" s="420">
        <v>82.6</v>
      </c>
      <c r="M149" s="1089" t="s">
        <v>195</v>
      </c>
      <c r="N149" s="844">
        <v>13</v>
      </c>
      <c r="O149" s="639">
        <v>13</v>
      </c>
      <c r="P149" s="236">
        <v>13</v>
      </c>
      <c r="Q149" s="462">
        <v>13</v>
      </c>
    </row>
    <row r="150" spans="1:21" s="1" customFormat="1" ht="41.25" customHeight="1" x14ac:dyDescent="0.25">
      <c r="A150" s="62"/>
      <c r="B150" s="18"/>
      <c r="C150" s="1056"/>
      <c r="D150" s="105" t="s">
        <v>28</v>
      </c>
      <c r="E150" s="1356" t="s">
        <v>82</v>
      </c>
      <c r="F150" s="1080" t="s">
        <v>293</v>
      </c>
      <c r="G150" s="990"/>
      <c r="H150" s="121" t="s">
        <v>16</v>
      </c>
      <c r="I150" s="615">
        <f>72-9</f>
        <v>63</v>
      </c>
      <c r="J150" s="767">
        <v>51.9</v>
      </c>
      <c r="K150" s="768">
        <v>51.9</v>
      </c>
      <c r="L150" s="421">
        <v>51.9</v>
      </c>
      <c r="M150" s="1363" t="s">
        <v>123</v>
      </c>
      <c r="N150" s="544">
        <v>20</v>
      </c>
      <c r="O150" s="661">
        <v>14</v>
      </c>
      <c r="P150" s="662">
        <v>14</v>
      </c>
      <c r="Q150" s="456">
        <v>14</v>
      </c>
    </row>
    <row r="151" spans="1:21" s="1" customFormat="1" ht="16.5" customHeight="1" x14ac:dyDescent="0.25">
      <c r="A151" s="62"/>
      <c r="B151" s="18"/>
      <c r="C151" s="1056"/>
      <c r="D151" s="105"/>
      <c r="E151" s="1358"/>
      <c r="F151" s="889" t="s">
        <v>167</v>
      </c>
      <c r="G151" s="990"/>
      <c r="H151" s="75"/>
      <c r="I151" s="98"/>
      <c r="J151" s="769"/>
      <c r="K151" s="291"/>
      <c r="L151" s="422"/>
      <c r="M151" s="1364"/>
      <c r="N151" s="545"/>
      <c r="O151" s="663"/>
      <c r="P151" s="243"/>
      <c r="Q151" s="457"/>
    </row>
    <row r="152" spans="1:21" s="1" customFormat="1" ht="22.5" customHeight="1" x14ac:dyDescent="0.25">
      <c r="A152" s="62"/>
      <c r="B152" s="18"/>
      <c r="C152" s="1056"/>
      <c r="D152" s="1078" t="s">
        <v>31</v>
      </c>
      <c r="E152" s="1356" t="s">
        <v>230</v>
      </c>
      <c r="F152" s="1080" t="s">
        <v>167</v>
      </c>
      <c r="G152" s="990"/>
      <c r="H152" s="135" t="s">
        <v>16</v>
      </c>
      <c r="I152" s="568">
        <f>80.9+51.5</f>
        <v>132.4</v>
      </c>
      <c r="J152" s="761">
        <v>138.4</v>
      </c>
      <c r="K152" s="762">
        <v>138.4</v>
      </c>
      <c r="L152" s="411">
        <v>138.4</v>
      </c>
      <c r="M152" s="1582" t="s">
        <v>171</v>
      </c>
      <c r="N152" s="1678">
        <v>80</v>
      </c>
      <c r="O152" s="1665">
        <v>80</v>
      </c>
      <c r="P152" s="1580">
        <v>80</v>
      </c>
      <c r="Q152" s="1370">
        <v>80</v>
      </c>
    </row>
    <row r="153" spans="1:21" s="1" customFormat="1" ht="21" customHeight="1" x14ac:dyDescent="0.25">
      <c r="A153" s="62"/>
      <c r="B153" s="18"/>
      <c r="C153" s="1056"/>
      <c r="D153" s="105"/>
      <c r="E153" s="1357"/>
      <c r="F153" s="889" t="s">
        <v>264</v>
      </c>
      <c r="G153" s="990"/>
      <c r="H153" s="298" t="s">
        <v>206</v>
      </c>
      <c r="I153" s="101">
        <f>322.5-51.5</f>
        <v>271</v>
      </c>
      <c r="J153" s="760">
        <v>270.3</v>
      </c>
      <c r="K153" s="195">
        <v>270.3</v>
      </c>
      <c r="L153" s="420">
        <v>270.3</v>
      </c>
      <c r="M153" s="1677"/>
      <c r="N153" s="1679"/>
      <c r="O153" s="1666"/>
      <c r="P153" s="1667"/>
      <c r="Q153" s="1668"/>
    </row>
    <row r="154" spans="1:21" s="1" customFormat="1" ht="42.75" customHeight="1" x14ac:dyDescent="0.25">
      <c r="A154" s="62"/>
      <c r="B154" s="18"/>
      <c r="C154" s="1056"/>
      <c r="D154" s="105"/>
      <c r="E154" s="1357"/>
      <c r="F154" s="889" t="s">
        <v>265</v>
      </c>
      <c r="G154" s="990"/>
      <c r="H154" s="298"/>
      <c r="I154" s="101"/>
      <c r="J154" s="760"/>
      <c r="K154" s="195"/>
      <c r="L154" s="420"/>
      <c r="M154" s="151" t="s">
        <v>185</v>
      </c>
      <c r="N154" s="1021">
        <v>20</v>
      </c>
      <c r="O154" s="656"/>
      <c r="P154" s="1004"/>
      <c r="Q154" s="1036"/>
    </row>
    <row r="155" spans="1:21" s="1" customFormat="1" ht="34.9" customHeight="1" x14ac:dyDescent="0.25">
      <c r="A155" s="62"/>
      <c r="B155" s="18"/>
      <c r="C155" s="1056"/>
      <c r="D155" s="1078" t="s">
        <v>33</v>
      </c>
      <c r="E155" s="1356" t="s">
        <v>83</v>
      </c>
      <c r="F155" s="1080" t="s">
        <v>265</v>
      </c>
      <c r="G155" s="990"/>
      <c r="H155" s="298" t="s">
        <v>206</v>
      </c>
      <c r="I155" s="101">
        <f>422-54.2</f>
        <v>367.8</v>
      </c>
      <c r="J155" s="760">
        <v>544.79999999999995</v>
      </c>
      <c r="K155" s="195">
        <v>544.79999999999995</v>
      </c>
      <c r="L155" s="420">
        <v>544.79999999999995</v>
      </c>
      <c r="M155" s="1658" t="s">
        <v>124</v>
      </c>
      <c r="N155" s="1018">
        <v>200</v>
      </c>
      <c r="O155" s="647">
        <v>200</v>
      </c>
      <c r="P155" s="1037">
        <v>200</v>
      </c>
      <c r="Q155" s="1039">
        <v>200</v>
      </c>
    </row>
    <row r="156" spans="1:21" s="1" customFormat="1" ht="25.5" customHeight="1" x14ac:dyDescent="0.25">
      <c r="A156" s="62"/>
      <c r="B156" s="18"/>
      <c r="C156" s="1056"/>
      <c r="D156" s="105"/>
      <c r="E156" s="1358"/>
      <c r="F156" s="1081" t="s">
        <v>281</v>
      </c>
      <c r="G156" s="990"/>
      <c r="H156" s="297" t="s">
        <v>16</v>
      </c>
      <c r="I156" s="604">
        <v>54.2</v>
      </c>
      <c r="J156" s="770"/>
      <c r="K156" s="771"/>
      <c r="L156" s="408"/>
      <c r="M156" s="1659"/>
      <c r="N156" s="553"/>
      <c r="O156" s="654"/>
      <c r="P156" s="1038"/>
      <c r="Q156" s="293"/>
    </row>
    <row r="157" spans="1:21" s="1" customFormat="1" ht="30" customHeight="1" x14ac:dyDescent="0.25">
      <c r="A157" s="62"/>
      <c r="B157" s="18"/>
      <c r="C157" s="1056"/>
      <c r="D157" s="1673" t="s">
        <v>34</v>
      </c>
      <c r="E157" s="1385" t="s">
        <v>91</v>
      </c>
      <c r="F157" s="1675" t="s">
        <v>264</v>
      </c>
      <c r="G157" s="990"/>
      <c r="H157" s="298" t="s">
        <v>206</v>
      </c>
      <c r="I157" s="101">
        <v>26</v>
      </c>
      <c r="J157" s="760">
        <v>35.200000000000003</v>
      </c>
      <c r="K157" s="195">
        <v>35.200000000000003</v>
      </c>
      <c r="L157" s="420">
        <v>35.200000000000003</v>
      </c>
      <c r="M157" s="1342" t="s">
        <v>125</v>
      </c>
      <c r="N157" s="1680">
        <v>150</v>
      </c>
      <c r="O157" s="1344">
        <v>150</v>
      </c>
      <c r="P157" s="1346">
        <v>150</v>
      </c>
      <c r="Q157" s="1348">
        <v>150</v>
      </c>
    </row>
    <row r="158" spans="1:21" s="1" customFormat="1" ht="48" customHeight="1" x14ac:dyDescent="0.25">
      <c r="A158" s="62"/>
      <c r="B158" s="18"/>
      <c r="C158" s="1056"/>
      <c r="D158" s="1674"/>
      <c r="E158" s="1386"/>
      <c r="F158" s="1676"/>
      <c r="G158" s="990"/>
      <c r="H158" s="298" t="s">
        <v>16</v>
      </c>
      <c r="I158" s="101">
        <v>21.4</v>
      </c>
      <c r="J158" s="760"/>
      <c r="K158" s="195"/>
      <c r="L158" s="420"/>
      <c r="M158" s="1343"/>
      <c r="N158" s="1681"/>
      <c r="O158" s="1345"/>
      <c r="P158" s="1347"/>
      <c r="Q158" s="1349"/>
    </row>
    <row r="159" spans="1:21" s="1" customFormat="1" ht="57" customHeight="1" x14ac:dyDescent="0.25">
      <c r="A159" s="1010"/>
      <c r="B159" s="1011"/>
      <c r="C159" s="1012"/>
      <c r="D159" s="108" t="s">
        <v>48</v>
      </c>
      <c r="E159" s="261" t="s">
        <v>43</v>
      </c>
      <c r="F159" s="1080" t="s">
        <v>264</v>
      </c>
      <c r="G159" s="42"/>
      <c r="H159" s="296" t="s">
        <v>206</v>
      </c>
      <c r="I159" s="95">
        <f>21.2-4-13.6</f>
        <v>3.5999999999999996</v>
      </c>
      <c r="J159" s="759">
        <v>24.4</v>
      </c>
      <c r="K159" s="220">
        <v>24.4</v>
      </c>
      <c r="L159" s="423">
        <v>24.4</v>
      </c>
      <c r="M159" s="350" t="s">
        <v>126</v>
      </c>
      <c r="N159" s="554">
        <v>20</v>
      </c>
      <c r="O159" s="664">
        <v>20</v>
      </c>
      <c r="P159" s="221">
        <v>20</v>
      </c>
      <c r="Q159" s="465">
        <v>20</v>
      </c>
    </row>
    <row r="160" spans="1:21" s="1" customFormat="1" ht="18.600000000000001" customHeight="1" x14ac:dyDescent="0.25">
      <c r="A160" s="1010"/>
      <c r="B160" s="1011"/>
      <c r="C160" s="1012"/>
      <c r="D160" s="108" t="s">
        <v>49</v>
      </c>
      <c r="E160" s="1587" t="s">
        <v>197</v>
      </c>
      <c r="F160" s="1080" t="s">
        <v>264</v>
      </c>
      <c r="G160" s="42"/>
      <c r="H160" s="298" t="s">
        <v>206</v>
      </c>
      <c r="I160" s="603">
        <f>59.6-35.4</f>
        <v>24.200000000000003</v>
      </c>
      <c r="J160" s="760">
        <v>319.3</v>
      </c>
      <c r="K160" s="195">
        <v>372.6</v>
      </c>
      <c r="L160" s="405">
        <v>425.8</v>
      </c>
      <c r="M160" s="1658" t="s">
        <v>198</v>
      </c>
      <c r="N160" s="1018">
        <v>25</v>
      </c>
      <c r="O160" s="647">
        <v>30</v>
      </c>
      <c r="P160" s="1037">
        <v>35</v>
      </c>
      <c r="Q160" s="1039">
        <v>40</v>
      </c>
      <c r="R160" s="1350"/>
      <c r="S160" s="1351"/>
      <c r="T160" s="1351"/>
    </row>
    <row r="161" spans="1:20" s="1" customFormat="1" ht="18.600000000000001" customHeight="1" x14ac:dyDescent="0.25">
      <c r="A161" s="1010"/>
      <c r="B161" s="1011"/>
      <c r="C161" s="1012"/>
      <c r="D161" s="634"/>
      <c r="E161" s="1588"/>
      <c r="F161" s="889" t="s">
        <v>265</v>
      </c>
      <c r="G161" s="42"/>
      <c r="H161" s="135" t="s">
        <v>16</v>
      </c>
      <c r="I161" s="605">
        <v>59.6</v>
      </c>
      <c r="J161" s="761"/>
      <c r="K161" s="762"/>
      <c r="L161" s="207"/>
      <c r="M161" s="1682"/>
      <c r="N161" s="554"/>
      <c r="O161" s="928"/>
      <c r="P161" s="929"/>
      <c r="Q161" s="930"/>
      <c r="R161" s="1350"/>
      <c r="S161" s="1351"/>
      <c r="T161" s="1351"/>
    </row>
    <row r="162" spans="1:20" s="1" customFormat="1" ht="16.149999999999999" customHeight="1" thickBot="1" x14ac:dyDescent="0.3">
      <c r="A162" s="1014"/>
      <c r="B162" s="1016"/>
      <c r="C162" s="1054"/>
      <c r="D162" s="1042"/>
      <c r="E162" s="1589"/>
      <c r="F162" s="394"/>
      <c r="G162" s="133"/>
      <c r="H162" s="49" t="s">
        <v>20</v>
      </c>
      <c r="I162" s="612">
        <f>SUM(I149:I161)</f>
        <v>1093.2</v>
      </c>
      <c r="J162" s="192">
        <f>SUM(J149:J161)</f>
        <v>1466.9</v>
      </c>
      <c r="K162" s="197">
        <f>SUM(K149:K161)</f>
        <v>1520.2000000000003</v>
      </c>
      <c r="L162" s="188">
        <f>SUM(L149:L161)</f>
        <v>1573.4</v>
      </c>
      <c r="M162" s="1683"/>
      <c r="N162" s="1019"/>
      <c r="O162" s="648"/>
      <c r="P162" s="1046"/>
      <c r="Q162" s="1048"/>
      <c r="R162" s="1350"/>
      <c r="S162" s="1351"/>
      <c r="T162" s="1351"/>
    </row>
    <row r="163" spans="1:20" s="1" customFormat="1" ht="15.75" customHeight="1" x14ac:dyDescent="0.25">
      <c r="A163" s="61" t="s">
        <v>10</v>
      </c>
      <c r="B163" s="17" t="s">
        <v>28</v>
      </c>
      <c r="C163" s="103" t="s">
        <v>33</v>
      </c>
      <c r="D163" s="104"/>
      <c r="E163" s="1377" t="s">
        <v>44</v>
      </c>
      <c r="F163" s="141" t="s">
        <v>265</v>
      </c>
      <c r="G163" s="1663" t="s">
        <v>172</v>
      </c>
      <c r="H163" s="81"/>
      <c r="I163" s="616"/>
      <c r="J163" s="772"/>
      <c r="K163" s="200"/>
      <c r="L163" s="781"/>
      <c r="M163" s="785"/>
      <c r="N163" s="555"/>
      <c r="O163" s="13"/>
      <c r="P163" s="509"/>
      <c r="Q163" s="466"/>
    </row>
    <row r="164" spans="1:20" s="1" customFormat="1" ht="15.75" customHeight="1" x14ac:dyDescent="0.25">
      <c r="A164" s="62"/>
      <c r="B164" s="18"/>
      <c r="C164" s="1056"/>
      <c r="D164" s="105"/>
      <c r="E164" s="1378"/>
      <c r="F164" s="395"/>
      <c r="G164" s="1664"/>
      <c r="H164" s="82"/>
      <c r="I164" s="607"/>
      <c r="J164" s="773"/>
      <c r="K164" s="774"/>
      <c r="L164" s="782"/>
      <c r="M164" s="786"/>
      <c r="N164" s="312"/>
      <c r="O164" s="12"/>
      <c r="P164" s="239"/>
      <c r="Q164" s="467"/>
    </row>
    <row r="165" spans="1:20" s="1" customFormat="1" ht="27.6" customHeight="1" x14ac:dyDescent="0.25">
      <c r="A165" s="62"/>
      <c r="B165" s="18"/>
      <c r="C165" s="1056"/>
      <c r="D165" s="1078" t="s">
        <v>10</v>
      </c>
      <c r="E165" s="170" t="s">
        <v>45</v>
      </c>
      <c r="F165" s="1080" t="s">
        <v>167</v>
      </c>
      <c r="G165" s="1664"/>
      <c r="H165" s="93" t="s">
        <v>16</v>
      </c>
      <c r="I165" s="617">
        <v>23.2</v>
      </c>
      <c r="J165" s="175">
        <v>23.2</v>
      </c>
      <c r="K165" s="185">
        <v>23.2</v>
      </c>
      <c r="L165" s="783">
        <v>23.2</v>
      </c>
      <c r="M165" s="1494" t="s">
        <v>238</v>
      </c>
      <c r="N165" s="991">
        <v>20</v>
      </c>
      <c r="O165" s="638">
        <v>20</v>
      </c>
      <c r="P165" s="245">
        <v>20</v>
      </c>
      <c r="Q165" s="987">
        <v>20</v>
      </c>
      <c r="T165" s="2"/>
    </row>
    <row r="166" spans="1:20" s="1" customFormat="1" ht="27.6" customHeight="1" x14ac:dyDescent="0.25">
      <c r="A166" s="62"/>
      <c r="B166" s="18"/>
      <c r="C166" s="1056"/>
      <c r="D166" s="105"/>
      <c r="E166" s="172"/>
      <c r="F166" s="889" t="s">
        <v>264</v>
      </c>
      <c r="G166" s="990"/>
      <c r="H166" s="93" t="s">
        <v>206</v>
      </c>
      <c r="I166" s="617">
        <v>21.8</v>
      </c>
      <c r="J166" s="175">
        <v>76.8</v>
      </c>
      <c r="K166" s="185">
        <v>76.8</v>
      </c>
      <c r="L166" s="783">
        <v>76.8</v>
      </c>
      <c r="M166" s="1495"/>
      <c r="N166" s="1065"/>
      <c r="O166" s="12"/>
      <c r="P166" s="239"/>
      <c r="Q166" s="951"/>
      <c r="T166" s="2"/>
    </row>
    <row r="167" spans="1:20" s="1" customFormat="1" ht="15" customHeight="1" x14ac:dyDescent="0.25">
      <c r="A167" s="1376"/>
      <c r="B167" s="1375"/>
      <c r="C167" s="1012"/>
      <c r="D167" s="108" t="s">
        <v>28</v>
      </c>
      <c r="E167" s="1474" t="s">
        <v>46</v>
      </c>
      <c r="F167" s="835" t="s">
        <v>264</v>
      </c>
      <c r="G167" s="1062"/>
      <c r="H167" s="93" t="s">
        <v>16</v>
      </c>
      <c r="I167" s="101">
        <v>20</v>
      </c>
      <c r="J167" s="175">
        <v>20</v>
      </c>
      <c r="K167" s="185">
        <v>20</v>
      </c>
      <c r="L167" s="783">
        <v>20</v>
      </c>
      <c r="M167" s="1405" t="s">
        <v>160</v>
      </c>
      <c r="N167" s="1018">
        <v>12</v>
      </c>
      <c r="O167" s="665">
        <v>12</v>
      </c>
      <c r="P167" s="259">
        <v>12</v>
      </c>
      <c r="Q167" s="1039">
        <v>12</v>
      </c>
    </row>
    <row r="168" spans="1:20" s="1" customFormat="1" ht="15" customHeight="1" x14ac:dyDescent="0.25">
      <c r="A168" s="1376"/>
      <c r="B168" s="1375"/>
      <c r="C168" s="1012"/>
      <c r="D168" s="634"/>
      <c r="E168" s="1433"/>
      <c r="F168" s="780"/>
      <c r="G168" s="1062"/>
      <c r="H168" s="27" t="s">
        <v>206</v>
      </c>
      <c r="I168" s="95">
        <v>32.799999999999997</v>
      </c>
      <c r="J168" s="332">
        <v>34</v>
      </c>
      <c r="K168" s="295">
        <v>34</v>
      </c>
      <c r="L168" s="782">
        <v>34</v>
      </c>
      <c r="M168" s="1406"/>
      <c r="N168" s="554"/>
      <c r="O168" s="666"/>
      <c r="P168" s="240"/>
      <c r="Q168" s="465"/>
    </row>
    <row r="169" spans="1:20" s="1" customFormat="1" ht="15" customHeight="1" x14ac:dyDescent="0.25">
      <c r="A169" s="1376"/>
      <c r="B169" s="1375"/>
      <c r="C169" s="1012"/>
      <c r="D169" s="634"/>
      <c r="E169" s="1433"/>
      <c r="F169" s="780"/>
      <c r="G169" s="1062"/>
      <c r="H169" s="131" t="s">
        <v>30</v>
      </c>
      <c r="I169" s="606">
        <v>263.7</v>
      </c>
      <c r="J169" s="775">
        <v>269.60000000000002</v>
      </c>
      <c r="K169" s="776">
        <v>269.60000000000002</v>
      </c>
      <c r="L169" s="784">
        <v>269.60000000000002</v>
      </c>
      <c r="M169" s="1476"/>
      <c r="N169" s="788"/>
      <c r="O169" s="663"/>
      <c r="P169" s="243"/>
      <c r="Q169" s="789"/>
    </row>
    <row r="170" spans="1:20" s="1" customFormat="1" ht="19.5" customHeight="1" thickBot="1" x14ac:dyDescent="0.3">
      <c r="A170" s="1014"/>
      <c r="B170" s="1016"/>
      <c r="C170" s="905"/>
      <c r="D170" s="906"/>
      <c r="E170" s="907"/>
      <c r="F170" s="908"/>
      <c r="G170" s="1024"/>
      <c r="H170" s="80" t="s">
        <v>20</v>
      </c>
      <c r="I170" s="612">
        <f>SUM(I165:I169)</f>
        <v>361.5</v>
      </c>
      <c r="J170" s="192">
        <f>SUM(J165:J169)</f>
        <v>423.6</v>
      </c>
      <c r="K170" s="197">
        <f>SUM(K165:K169)</f>
        <v>423.6</v>
      </c>
      <c r="L170" s="302">
        <f>SUM(L165:L169)</f>
        <v>423.6</v>
      </c>
      <c r="M170" s="787"/>
      <c r="N170" s="556"/>
      <c r="O170" s="667"/>
      <c r="P170" s="260"/>
      <c r="Q170" s="20"/>
    </row>
    <row r="171" spans="1:20" s="1" customFormat="1" ht="16.149999999999999" customHeight="1" x14ac:dyDescent="0.25">
      <c r="A171" s="61" t="s">
        <v>10</v>
      </c>
      <c r="B171" s="17" t="s">
        <v>28</v>
      </c>
      <c r="C171" s="122" t="s">
        <v>34</v>
      </c>
      <c r="D171" s="752"/>
      <c r="E171" s="753" t="s">
        <v>47</v>
      </c>
      <c r="F171" s="838" t="s">
        <v>264</v>
      </c>
      <c r="G171" s="1684" t="s">
        <v>199</v>
      </c>
      <c r="H171" s="52" t="s">
        <v>16</v>
      </c>
      <c r="I171" s="754">
        <v>16.7</v>
      </c>
      <c r="J171" s="208">
        <v>16.3</v>
      </c>
      <c r="K171" s="198">
        <v>18.7</v>
      </c>
      <c r="L171" s="426">
        <v>18.7</v>
      </c>
      <c r="M171" s="1686" t="s">
        <v>245</v>
      </c>
      <c r="N171" s="1044">
        <v>25</v>
      </c>
      <c r="O171" s="646">
        <v>26</v>
      </c>
      <c r="P171" s="1045">
        <v>26</v>
      </c>
      <c r="Q171" s="1047">
        <v>26</v>
      </c>
    </row>
    <row r="172" spans="1:20" s="1" customFormat="1" ht="16.149999999999999" customHeight="1" x14ac:dyDescent="0.25">
      <c r="A172" s="62"/>
      <c r="B172" s="18"/>
      <c r="C172" s="123"/>
      <c r="D172" s="1074"/>
      <c r="E172" s="172"/>
      <c r="F172" s="814" t="s">
        <v>265</v>
      </c>
      <c r="G172" s="1685"/>
      <c r="H172" s="93" t="s">
        <v>109</v>
      </c>
      <c r="I172" s="101">
        <v>1.3</v>
      </c>
      <c r="J172" s="175"/>
      <c r="K172" s="185"/>
      <c r="L172" s="410"/>
      <c r="M172" s="1682"/>
      <c r="N172" s="554"/>
      <c r="O172" s="664"/>
      <c r="P172" s="221"/>
      <c r="Q172" s="465"/>
    </row>
    <row r="173" spans="1:20" s="1" customFormat="1" ht="16.149999999999999" customHeight="1" x14ac:dyDescent="0.25">
      <c r="A173" s="62"/>
      <c r="B173" s="18"/>
      <c r="C173" s="123"/>
      <c r="D173" s="1074"/>
      <c r="E173" s="172"/>
      <c r="F173" s="755"/>
      <c r="G173" s="1685"/>
      <c r="H173" s="27" t="s">
        <v>206</v>
      </c>
      <c r="I173" s="95">
        <f>63.3+35.4</f>
        <v>98.699999999999989</v>
      </c>
      <c r="J173" s="332">
        <v>98.7</v>
      </c>
      <c r="K173" s="295">
        <v>98.7</v>
      </c>
      <c r="L173" s="777">
        <v>98.7</v>
      </c>
      <c r="M173" s="152"/>
      <c r="N173" s="1082"/>
      <c r="O173" s="654"/>
      <c r="P173" s="1038"/>
      <c r="Q173" s="1040"/>
    </row>
    <row r="174" spans="1:20" s="1" customFormat="1" ht="27" customHeight="1" x14ac:dyDescent="0.25">
      <c r="A174" s="62"/>
      <c r="B174" s="18"/>
      <c r="C174" s="123"/>
      <c r="D174" s="1074"/>
      <c r="E174" s="172"/>
      <c r="F174" s="755"/>
      <c r="G174" s="1685"/>
      <c r="H174" s="124" t="s">
        <v>30</v>
      </c>
      <c r="I174" s="590">
        <f>106.3+91.9+20.9</f>
        <v>219.1</v>
      </c>
      <c r="J174" s="710">
        <v>207.7</v>
      </c>
      <c r="K174" s="186">
        <v>207.7</v>
      </c>
      <c r="L174" s="409">
        <v>207.7</v>
      </c>
      <c r="M174" s="152" t="s">
        <v>136</v>
      </c>
      <c r="N174" s="1082">
        <v>8</v>
      </c>
      <c r="O174" s="654">
        <v>5</v>
      </c>
      <c r="P174" s="1038">
        <v>5</v>
      </c>
      <c r="Q174" s="1040">
        <v>5</v>
      </c>
      <c r="S174" s="2"/>
    </row>
    <row r="175" spans="1:20" s="1" customFormat="1" ht="42.75" customHeight="1" x14ac:dyDescent="0.25">
      <c r="A175" s="62"/>
      <c r="B175" s="18"/>
      <c r="C175" s="123"/>
      <c r="D175" s="1074"/>
      <c r="E175" s="172"/>
      <c r="F175" s="755"/>
      <c r="G175" s="756"/>
      <c r="H175" s="88"/>
      <c r="I175" s="757"/>
      <c r="J175" s="778"/>
      <c r="K175" s="199"/>
      <c r="L175" s="779"/>
      <c r="M175" s="152" t="s">
        <v>89</v>
      </c>
      <c r="N175" s="1082">
        <v>8</v>
      </c>
      <c r="O175" s="654">
        <v>10</v>
      </c>
      <c r="P175" s="1038">
        <v>10</v>
      </c>
      <c r="Q175" s="1040">
        <v>10</v>
      </c>
    </row>
    <row r="176" spans="1:20" s="1" customFormat="1" ht="25.5" customHeight="1" x14ac:dyDescent="0.25">
      <c r="A176" s="62"/>
      <c r="B176" s="18"/>
      <c r="C176" s="123"/>
      <c r="D176" s="1074"/>
      <c r="E176" s="172"/>
      <c r="F176" s="755"/>
      <c r="G176" s="1065"/>
      <c r="H176" s="88"/>
      <c r="I176" s="609"/>
      <c r="J176" s="778"/>
      <c r="K176" s="199"/>
      <c r="L176" s="758"/>
      <c r="M176" s="1587" t="s">
        <v>100</v>
      </c>
      <c r="N176" s="1680">
        <v>36</v>
      </c>
      <c r="O176" s="647">
        <v>36</v>
      </c>
      <c r="P176" s="1037">
        <v>36</v>
      </c>
      <c r="Q176" s="1348">
        <v>36</v>
      </c>
    </row>
    <row r="177" spans="1:18" s="1" customFormat="1" ht="16.5" customHeight="1" thickBot="1" x14ac:dyDescent="0.3">
      <c r="A177" s="62"/>
      <c r="B177" s="18"/>
      <c r="C177" s="123"/>
      <c r="D177" s="1074"/>
      <c r="E177" s="387"/>
      <c r="F177" s="755"/>
      <c r="G177" s="346"/>
      <c r="H177" s="83" t="s">
        <v>20</v>
      </c>
      <c r="I177" s="100">
        <f>SUM(I171:I176)</f>
        <v>335.79999999999995</v>
      </c>
      <c r="J177" s="9">
        <f t="shared" ref="J177:L177" si="13">SUM(J171:J176)</f>
        <v>322.7</v>
      </c>
      <c r="K177" s="187">
        <f t="shared" si="13"/>
        <v>325.10000000000002</v>
      </c>
      <c r="L177" s="176">
        <f t="shared" si="13"/>
        <v>325.10000000000002</v>
      </c>
      <c r="M177" s="1589"/>
      <c r="N177" s="1645"/>
      <c r="O177" s="648"/>
      <c r="P177" s="1046"/>
      <c r="Q177" s="1362"/>
      <c r="R177" s="2"/>
    </row>
    <row r="178" spans="1:18" s="1" customFormat="1" ht="27" customHeight="1" x14ac:dyDescent="0.25">
      <c r="A178" s="1013" t="s">
        <v>10</v>
      </c>
      <c r="B178" s="1015" t="s">
        <v>28</v>
      </c>
      <c r="C178" s="1053" t="s">
        <v>48</v>
      </c>
      <c r="D178" s="1041"/>
      <c r="E178" s="1585" t="s">
        <v>92</v>
      </c>
      <c r="F178" s="1043" t="s">
        <v>264</v>
      </c>
      <c r="G178" s="1636" t="s">
        <v>172</v>
      </c>
      <c r="H178" s="81" t="s">
        <v>16</v>
      </c>
      <c r="I178" s="618">
        <v>5.2</v>
      </c>
      <c r="J178" s="208">
        <v>5.2</v>
      </c>
      <c r="K178" s="200">
        <v>5.2</v>
      </c>
      <c r="L178" s="425">
        <v>5.2</v>
      </c>
      <c r="M178" s="1687" t="s">
        <v>140</v>
      </c>
      <c r="N178" s="557">
        <v>2</v>
      </c>
      <c r="O178" s="13">
        <v>2</v>
      </c>
      <c r="P178" s="509">
        <v>2</v>
      </c>
      <c r="Q178" s="469">
        <v>2</v>
      </c>
    </row>
    <row r="179" spans="1:18" s="1" customFormat="1" ht="16.5" customHeight="1" thickBot="1" x14ac:dyDescent="0.3">
      <c r="A179" s="1014"/>
      <c r="B179" s="1016"/>
      <c r="C179" s="1054"/>
      <c r="D179" s="1042"/>
      <c r="E179" s="1586"/>
      <c r="F179" s="396"/>
      <c r="G179" s="1637"/>
      <c r="H179" s="80" t="s">
        <v>20</v>
      </c>
      <c r="I179" s="100">
        <f>I178</f>
        <v>5.2</v>
      </c>
      <c r="J179" s="9">
        <f t="shared" ref="J179:L179" si="14">J178</f>
        <v>5.2</v>
      </c>
      <c r="K179" s="187">
        <f t="shared" si="14"/>
        <v>5.2</v>
      </c>
      <c r="L179" s="176">
        <f t="shared" si="14"/>
        <v>5.2</v>
      </c>
      <c r="M179" s="1688"/>
      <c r="N179" s="117"/>
      <c r="O179" s="11"/>
      <c r="P179" s="510"/>
      <c r="Q179" s="470"/>
    </row>
    <row r="180" spans="1:18" s="1" customFormat="1" ht="15" customHeight="1" x14ac:dyDescent="0.25">
      <c r="A180" s="1379" t="s">
        <v>10</v>
      </c>
      <c r="B180" s="1382" t="s">
        <v>28</v>
      </c>
      <c r="C180" s="1389" t="s">
        <v>49</v>
      </c>
      <c r="D180" s="1041"/>
      <c r="E180" s="1392" t="s">
        <v>94</v>
      </c>
      <c r="F180" s="1496" t="s">
        <v>264</v>
      </c>
      <c r="G180" s="1636" t="s">
        <v>172</v>
      </c>
      <c r="H180" s="55" t="s">
        <v>14</v>
      </c>
      <c r="I180" s="586">
        <v>88.9</v>
      </c>
      <c r="J180" s="718">
        <v>11.9</v>
      </c>
      <c r="K180" s="719"/>
      <c r="L180" s="426"/>
      <c r="M180" s="153" t="s">
        <v>93</v>
      </c>
      <c r="N180" s="555">
        <v>350</v>
      </c>
      <c r="O180" s="13">
        <v>900</v>
      </c>
      <c r="P180" s="509"/>
      <c r="Q180" s="466"/>
    </row>
    <row r="181" spans="1:18" s="1" customFormat="1" ht="15" customHeight="1" x14ac:dyDescent="0.25">
      <c r="A181" s="1380"/>
      <c r="B181" s="1383"/>
      <c r="C181" s="1390"/>
      <c r="D181" s="634"/>
      <c r="E181" s="1393"/>
      <c r="F181" s="1660"/>
      <c r="G181" s="1640"/>
      <c r="H181" s="47" t="s">
        <v>158</v>
      </c>
      <c r="I181" s="595">
        <v>0.5</v>
      </c>
      <c r="J181" s="720">
        <v>4</v>
      </c>
      <c r="K181" s="721"/>
      <c r="L181" s="410"/>
      <c r="M181" s="154"/>
      <c r="N181" s="312"/>
      <c r="O181" s="12"/>
      <c r="P181" s="239"/>
      <c r="Q181" s="467"/>
    </row>
    <row r="182" spans="1:18" s="1" customFormat="1" ht="15" customHeight="1" x14ac:dyDescent="0.25">
      <c r="A182" s="1380"/>
      <c r="B182" s="1383"/>
      <c r="C182" s="1390"/>
      <c r="D182" s="634"/>
      <c r="E182" s="1393"/>
      <c r="F182" s="1660"/>
      <c r="G182" s="1640"/>
      <c r="H182" s="47" t="s">
        <v>111</v>
      </c>
      <c r="I182" s="595">
        <v>404.9</v>
      </c>
      <c r="J182" s="720">
        <v>285</v>
      </c>
      <c r="K182" s="721"/>
      <c r="L182" s="410"/>
      <c r="M182" s="154"/>
      <c r="N182" s="312"/>
      <c r="O182" s="12"/>
      <c r="P182" s="239"/>
      <c r="Q182" s="467"/>
    </row>
    <row r="183" spans="1:18" s="1" customFormat="1" ht="15" customHeight="1" x14ac:dyDescent="0.25">
      <c r="A183" s="1380"/>
      <c r="B183" s="1383"/>
      <c r="C183" s="1390"/>
      <c r="D183" s="634"/>
      <c r="E183" s="1393"/>
      <c r="F183" s="1660"/>
      <c r="G183" s="42"/>
      <c r="H183" s="47" t="s">
        <v>116</v>
      </c>
      <c r="I183" s="576">
        <v>38</v>
      </c>
      <c r="J183" s="710">
        <v>36.6</v>
      </c>
      <c r="K183" s="186"/>
      <c r="L183" s="427"/>
      <c r="M183" s="154"/>
      <c r="N183" s="312"/>
      <c r="O183" s="12"/>
      <c r="P183" s="239"/>
      <c r="Q183" s="467"/>
    </row>
    <row r="184" spans="1:18" s="1" customFormat="1" ht="15" customHeight="1" thickBot="1" x14ac:dyDescent="0.3">
      <c r="A184" s="1381"/>
      <c r="B184" s="1384"/>
      <c r="C184" s="1391"/>
      <c r="D184" s="1042"/>
      <c r="E184" s="1394"/>
      <c r="F184" s="1497"/>
      <c r="G184" s="133"/>
      <c r="H184" s="49" t="s">
        <v>20</v>
      </c>
      <c r="I184" s="100">
        <f>SUM(I180:I183)</f>
        <v>532.29999999999995</v>
      </c>
      <c r="J184" s="9">
        <f t="shared" ref="J184:L184" si="15">SUM(J180:J183)</f>
        <v>337.5</v>
      </c>
      <c r="K184" s="187">
        <f t="shared" si="15"/>
        <v>0</v>
      </c>
      <c r="L184" s="176">
        <f t="shared" si="15"/>
        <v>0</v>
      </c>
      <c r="M184" s="155"/>
      <c r="N184" s="558"/>
      <c r="O184" s="11"/>
      <c r="P184" s="510"/>
      <c r="Q184" s="471"/>
    </row>
    <row r="185" spans="1:18" s="1" customFormat="1" ht="54" customHeight="1" x14ac:dyDescent="0.25">
      <c r="A185" s="1379" t="s">
        <v>10</v>
      </c>
      <c r="B185" s="1382" t="s">
        <v>28</v>
      </c>
      <c r="C185" s="1389" t="s">
        <v>80</v>
      </c>
      <c r="D185" s="1041"/>
      <c r="E185" s="1427" t="s">
        <v>115</v>
      </c>
      <c r="F185" s="1496" t="s">
        <v>264</v>
      </c>
      <c r="G185" s="1636" t="s">
        <v>172</v>
      </c>
      <c r="H185" s="1695" t="s">
        <v>16</v>
      </c>
      <c r="I185" s="1697">
        <v>63.8</v>
      </c>
      <c r="J185" s="778">
        <v>21.3</v>
      </c>
      <c r="K185" s="199"/>
      <c r="L185" s="1699"/>
      <c r="M185" s="323" t="s">
        <v>129</v>
      </c>
      <c r="N185" s="1065">
        <v>1</v>
      </c>
      <c r="O185" s="860"/>
      <c r="P185" s="861"/>
      <c r="Q185" s="862"/>
    </row>
    <row r="186" spans="1:18" s="1" customFormat="1" ht="18" customHeight="1" x14ac:dyDescent="0.25">
      <c r="A186" s="1380"/>
      <c r="B186" s="1383"/>
      <c r="C186" s="1390"/>
      <c r="D186" s="634"/>
      <c r="E186" s="1428"/>
      <c r="F186" s="1660"/>
      <c r="G186" s="1640"/>
      <c r="H186" s="1696"/>
      <c r="I186" s="1698"/>
      <c r="J186" s="778"/>
      <c r="K186" s="199"/>
      <c r="L186" s="1700"/>
      <c r="M186" s="71" t="s">
        <v>191</v>
      </c>
      <c r="N186" s="314">
        <v>1</v>
      </c>
      <c r="O186" s="520"/>
      <c r="P186" s="223"/>
      <c r="Q186" s="437"/>
    </row>
    <row r="187" spans="1:18" s="1" customFormat="1" ht="41.25" customHeight="1" x14ac:dyDescent="0.25">
      <c r="A187" s="1380"/>
      <c r="B187" s="1383"/>
      <c r="C187" s="1390"/>
      <c r="D187" s="634"/>
      <c r="E187" s="1428"/>
      <c r="F187" s="1660"/>
      <c r="G187" s="1640"/>
      <c r="H187" s="6" t="s">
        <v>111</v>
      </c>
      <c r="I187" s="576">
        <v>361.6</v>
      </c>
      <c r="J187" s="710">
        <v>134.9</v>
      </c>
      <c r="K187" s="202"/>
      <c r="L187" s="427"/>
      <c r="M187" s="997" t="s">
        <v>305</v>
      </c>
      <c r="N187" s="992">
        <v>340</v>
      </c>
      <c r="O187" s="882">
        <v>120</v>
      </c>
      <c r="P187" s="1029"/>
      <c r="Q187" s="988"/>
    </row>
    <row r="188" spans="1:18" s="1" customFormat="1" ht="54" customHeight="1" x14ac:dyDescent="0.25">
      <c r="A188" s="1380"/>
      <c r="B188" s="1383"/>
      <c r="C188" s="1390"/>
      <c r="D188" s="634"/>
      <c r="E188" s="1428"/>
      <c r="F188" s="1660"/>
      <c r="G188" s="990" t="s">
        <v>187</v>
      </c>
      <c r="H188" s="6" t="s">
        <v>116</v>
      </c>
      <c r="I188" s="576">
        <v>0.8</v>
      </c>
      <c r="J188" s="339"/>
      <c r="K188" s="202"/>
      <c r="L188" s="427"/>
      <c r="M188" s="1076" t="s">
        <v>304</v>
      </c>
      <c r="N188" s="527"/>
      <c r="O188" s="138">
        <v>1</v>
      </c>
      <c r="P188" s="1028"/>
      <c r="Q188" s="987"/>
    </row>
    <row r="189" spans="1:18" s="1" customFormat="1" ht="51" customHeight="1" x14ac:dyDescent="0.25">
      <c r="A189" s="1380"/>
      <c r="B189" s="1383"/>
      <c r="C189" s="1390"/>
      <c r="D189" s="634"/>
      <c r="E189" s="1428"/>
      <c r="F189" s="1660"/>
      <c r="G189" s="990"/>
      <c r="H189" s="884"/>
      <c r="I189" s="885"/>
      <c r="J189" s="708"/>
      <c r="K189" s="709"/>
      <c r="L189" s="336"/>
      <c r="M189" s="1361" t="s">
        <v>279</v>
      </c>
      <c r="N189" s="991"/>
      <c r="O189" s="54">
        <v>1</v>
      </c>
      <c r="P189" s="1028"/>
      <c r="Q189" s="987"/>
    </row>
    <row r="190" spans="1:18" s="1" customFormat="1" ht="15.75" customHeight="1" thickBot="1" x14ac:dyDescent="0.3">
      <c r="A190" s="1380"/>
      <c r="B190" s="1383"/>
      <c r="C190" s="1390"/>
      <c r="D190" s="634"/>
      <c r="E190" s="1393"/>
      <c r="F190" s="1497"/>
      <c r="G190" s="42"/>
      <c r="H190" s="883" t="s">
        <v>20</v>
      </c>
      <c r="I190" s="619">
        <f>SUM(I185:I188)</f>
        <v>426.20000000000005</v>
      </c>
      <c r="J190" s="193">
        <f>SUM(J185:J188)</f>
        <v>156.20000000000002</v>
      </c>
      <c r="K190" s="203">
        <f>SUM(K185:K188)</f>
        <v>0</v>
      </c>
      <c r="L190" s="190">
        <f>SUM(L185:L188)</f>
        <v>0</v>
      </c>
      <c r="M190" s="1595"/>
      <c r="N190" s="992"/>
      <c r="O190" s="522"/>
      <c r="P190" s="510"/>
      <c r="Q190" s="444"/>
    </row>
    <row r="191" spans="1:18" s="1" customFormat="1" ht="16.5" customHeight="1" thickBot="1" x14ac:dyDescent="0.3">
      <c r="A191" s="57" t="s">
        <v>10</v>
      </c>
      <c r="B191" s="3" t="s">
        <v>28</v>
      </c>
      <c r="C191" s="1436" t="s">
        <v>35</v>
      </c>
      <c r="D191" s="1436"/>
      <c r="E191" s="1436"/>
      <c r="F191" s="1436"/>
      <c r="G191" s="1436"/>
      <c r="H191" s="1436"/>
      <c r="I191" s="570">
        <f>+I190+I184+I179+I177+I170+I162+I146+I141</f>
        <v>10760.699999999997</v>
      </c>
      <c r="J191" s="194">
        <f>+J190+J184+J179+J177+J170+J162+J146+J141</f>
        <v>12650.400000000001</v>
      </c>
      <c r="K191" s="204">
        <f>+K190+K184+K179+K177+K170+K162+K146+K141</f>
        <v>12083.599999999999</v>
      </c>
      <c r="L191" s="191">
        <f>+L190+L184+L179+L177+L170+L162+L146+L141</f>
        <v>12054.499999999998</v>
      </c>
      <c r="M191" s="1438"/>
      <c r="N191" s="1438"/>
      <c r="O191" s="1438"/>
      <c r="P191" s="1438"/>
      <c r="Q191" s="1439"/>
    </row>
    <row r="192" spans="1:18" s="1" customFormat="1" ht="14.25" customHeight="1" thickBot="1" x14ac:dyDescent="0.3">
      <c r="A192" s="58" t="s">
        <v>10</v>
      </c>
      <c r="B192" s="3" t="s">
        <v>31</v>
      </c>
      <c r="C192" s="1354" t="s">
        <v>178</v>
      </c>
      <c r="D192" s="1354"/>
      <c r="E192" s="1354"/>
      <c r="F192" s="1354"/>
      <c r="G192" s="1354"/>
      <c r="H192" s="1354"/>
      <c r="I192" s="1354"/>
      <c r="J192" s="1354"/>
      <c r="K192" s="1354"/>
      <c r="L192" s="1354"/>
      <c r="M192" s="1354"/>
      <c r="N192" s="1354"/>
      <c r="O192" s="1354"/>
      <c r="P192" s="1354"/>
      <c r="Q192" s="1355"/>
    </row>
    <row r="193" spans="1:19" s="2" customFormat="1" ht="54.75" customHeight="1" x14ac:dyDescent="0.25">
      <c r="A193" s="1013" t="s">
        <v>10</v>
      </c>
      <c r="B193" s="1015" t="s">
        <v>31</v>
      </c>
      <c r="C193" s="111" t="s">
        <v>10</v>
      </c>
      <c r="D193" s="125"/>
      <c r="E193" s="397" t="s">
        <v>51</v>
      </c>
      <c r="F193" s="398"/>
      <c r="G193" s="126"/>
      <c r="H193" s="636"/>
      <c r="I193" s="565"/>
      <c r="J193" s="69"/>
      <c r="K193" s="571"/>
      <c r="L193" s="428"/>
      <c r="M193" s="37"/>
      <c r="N193" s="342"/>
      <c r="O193" s="524"/>
      <c r="P193" s="224"/>
      <c r="Q193" s="472"/>
    </row>
    <row r="194" spans="1:19" s="2" customFormat="1" ht="27" customHeight="1" x14ac:dyDescent="0.25">
      <c r="A194" s="1010"/>
      <c r="B194" s="1011"/>
      <c r="C194" s="40"/>
      <c r="D194" s="790" t="s">
        <v>10</v>
      </c>
      <c r="E194" s="1689" t="s">
        <v>200</v>
      </c>
      <c r="F194" s="791" t="s">
        <v>52</v>
      </c>
      <c r="G194" s="1655" t="s">
        <v>174</v>
      </c>
      <c r="H194" s="991" t="s">
        <v>109</v>
      </c>
      <c r="I194" s="566">
        <f>10.5+55</f>
        <v>65.5</v>
      </c>
      <c r="J194" s="337">
        <v>19.600000000000001</v>
      </c>
      <c r="K194" s="1028"/>
      <c r="L194" s="409"/>
      <c r="M194" s="792" t="s">
        <v>107</v>
      </c>
      <c r="N194" s="1018">
        <v>100</v>
      </c>
      <c r="O194" s="647"/>
      <c r="P194" s="1037"/>
      <c r="Q194" s="1039"/>
    </row>
    <row r="195" spans="1:19" s="2" customFormat="1" ht="15.6" customHeight="1" x14ac:dyDescent="0.25">
      <c r="A195" s="1010"/>
      <c r="B195" s="1011"/>
      <c r="C195" s="40"/>
      <c r="D195" s="793"/>
      <c r="E195" s="1378"/>
      <c r="F195" s="1064"/>
      <c r="G195" s="1661"/>
      <c r="H195" s="991" t="s">
        <v>206</v>
      </c>
      <c r="I195" s="566">
        <f>126.2-5.7</f>
        <v>120.5</v>
      </c>
      <c r="J195" s="54"/>
      <c r="K195" s="1028"/>
      <c r="L195" s="409"/>
      <c r="M195" s="1031" t="s">
        <v>192</v>
      </c>
      <c r="N195" s="1018">
        <v>100</v>
      </c>
      <c r="O195" s="647"/>
      <c r="P195" s="1037"/>
      <c r="Q195" s="1039"/>
    </row>
    <row r="196" spans="1:19" s="2" customFormat="1" ht="15.6" customHeight="1" x14ac:dyDescent="0.25">
      <c r="A196" s="1010"/>
      <c r="B196" s="1011"/>
      <c r="C196" s="40"/>
      <c r="D196" s="793"/>
      <c r="E196" s="1378"/>
      <c r="F196" s="1064"/>
      <c r="G196" s="1661"/>
      <c r="H196" s="334" t="s">
        <v>111</v>
      </c>
      <c r="I196" s="567">
        <f>120.6+95.2+53.9-18.4</f>
        <v>251.29999999999998</v>
      </c>
      <c r="J196" s="795"/>
      <c r="K196" s="796"/>
      <c r="L196" s="797"/>
      <c r="M196" s="1032"/>
      <c r="N196" s="554"/>
      <c r="O196" s="664"/>
      <c r="P196" s="221"/>
      <c r="Q196" s="465"/>
    </row>
    <row r="197" spans="1:19" s="2" customFormat="1" ht="26.25" customHeight="1" x14ac:dyDescent="0.25">
      <c r="A197" s="1010"/>
      <c r="B197" s="1011"/>
      <c r="C197" s="40"/>
      <c r="D197" s="793"/>
      <c r="E197" s="1378"/>
      <c r="F197" s="1064"/>
      <c r="G197" s="1661"/>
      <c r="H197" s="334" t="s">
        <v>116</v>
      </c>
      <c r="I197" s="566">
        <v>18.399999999999999</v>
      </c>
      <c r="J197" s="798"/>
      <c r="K197" s="799"/>
      <c r="L197" s="409"/>
      <c r="M197" s="792" t="s">
        <v>313</v>
      </c>
      <c r="N197" s="547"/>
      <c r="O197" s="655">
        <v>100</v>
      </c>
      <c r="P197" s="225"/>
      <c r="Q197" s="459"/>
      <c r="R197" s="880"/>
    </row>
    <row r="198" spans="1:19" s="371" customFormat="1" ht="27" customHeight="1" x14ac:dyDescent="0.2">
      <c r="A198" s="1010"/>
      <c r="B198" s="1011"/>
      <c r="C198" s="1012"/>
      <c r="D198" s="1690" t="s">
        <v>28</v>
      </c>
      <c r="E198" s="1385" t="s">
        <v>168</v>
      </c>
      <c r="F198" s="791" t="s">
        <v>52</v>
      </c>
      <c r="G198" s="1655" t="s">
        <v>173</v>
      </c>
      <c r="H198" s="527" t="s">
        <v>111</v>
      </c>
      <c r="I198" s="820">
        <v>27.3</v>
      </c>
      <c r="J198" s="978">
        <v>343.4</v>
      </c>
      <c r="K198" s="979"/>
      <c r="L198" s="980"/>
      <c r="M198" s="995" t="s">
        <v>266</v>
      </c>
      <c r="N198" s="550">
        <v>1</v>
      </c>
      <c r="O198" s="54"/>
      <c r="P198" s="1028"/>
      <c r="Q198" s="460"/>
      <c r="S198" s="372"/>
    </row>
    <row r="199" spans="1:19" s="371" customFormat="1" ht="15.75" customHeight="1" x14ac:dyDescent="0.2">
      <c r="A199" s="1010"/>
      <c r="B199" s="5"/>
      <c r="C199" s="1012"/>
      <c r="D199" s="1691"/>
      <c r="E199" s="1452"/>
      <c r="F199" s="1693" t="s">
        <v>265</v>
      </c>
      <c r="G199" s="1661"/>
      <c r="H199" s="1065" t="s">
        <v>116</v>
      </c>
      <c r="I199" s="968"/>
      <c r="J199" s="969">
        <v>0.3</v>
      </c>
      <c r="K199" s="977"/>
      <c r="L199" s="975"/>
      <c r="M199" s="995" t="s">
        <v>117</v>
      </c>
      <c r="N199" s="550"/>
      <c r="O199" s="54">
        <v>100</v>
      </c>
      <c r="P199" s="1028"/>
      <c r="Q199" s="460"/>
      <c r="S199" s="372"/>
    </row>
    <row r="200" spans="1:19" s="371" customFormat="1" ht="54.75" customHeight="1" x14ac:dyDescent="0.2">
      <c r="A200" s="1010"/>
      <c r="B200" s="5"/>
      <c r="C200" s="1012"/>
      <c r="D200" s="1692"/>
      <c r="E200" s="1386"/>
      <c r="F200" s="1694"/>
      <c r="G200" s="1656"/>
      <c r="H200" s="309"/>
      <c r="I200" s="973"/>
      <c r="J200" s="974"/>
      <c r="K200" s="920"/>
      <c r="L200" s="976"/>
      <c r="M200" s="995" t="s">
        <v>193</v>
      </c>
      <c r="N200" s="550"/>
      <c r="O200" s="54">
        <v>100</v>
      </c>
      <c r="P200" s="1028"/>
      <c r="Q200" s="460"/>
      <c r="S200" s="372"/>
    </row>
    <row r="201" spans="1:19" s="16" customFormat="1" ht="18" customHeight="1" x14ac:dyDescent="0.25">
      <c r="A201" s="63"/>
      <c r="B201" s="32"/>
      <c r="C201" s="33"/>
      <c r="D201" s="800" t="s">
        <v>33</v>
      </c>
      <c r="E201" s="1412" t="s">
        <v>203</v>
      </c>
      <c r="F201" s="1080" t="s">
        <v>52</v>
      </c>
      <c r="G201" s="1630" t="s">
        <v>202</v>
      </c>
      <c r="H201" s="531" t="s">
        <v>109</v>
      </c>
      <c r="I201" s="101">
        <f>29.4-19.6</f>
        <v>9.7999999999999972</v>
      </c>
      <c r="J201" s="760">
        <v>29.4</v>
      </c>
      <c r="K201" s="241"/>
      <c r="L201" s="420"/>
      <c r="M201" s="157" t="s">
        <v>117</v>
      </c>
      <c r="N201" s="531"/>
      <c r="O201" s="136">
        <v>100</v>
      </c>
      <c r="P201" s="241"/>
      <c r="Q201" s="801"/>
    </row>
    <row r="202" spans="1:19" s="16" customFormat="1" ht="16.5" customHeight="1" x14ac:dyDescent="0.25">
      <c r="A202" s="63"/>
      <c r="B202" s="32"/>
      <c r="C202" s="33"/>
      <c r="D202" s="802"/>
      <c r="E202" s="1393"/>
      <c r="F202" s="889" t="s">
        <v>265</v>
      </c>
      <c r="G202" s="1631"/>
      <c r="H202" s="531" t="s">
        <v>16</v>
      </c>
      <c r="I202" s="101"/>
      <c r="J202" s="760">
        <v>84.8</v>
      </c>
      <c r="K202" s="241"/>
      <c r="L202" s="420"/>
      <c r="M202" s="1477" t="s">
        <v>201</v>
      </c>
      <c r="N202" s="36"/>
      <c r="O202" s="901">
        <v>100</v>
      </c>
      <c r="P202" s="242"/>
      <c r="Q202" s="803"/>
    </row>
    <row r="203" spans="1:19" s="16" customFormat="1" ht="18.75" customHeight="1" x14ac:dyDescent="0.25">
      <c r="A203" s="63"/>
      <c r="B203" s="32"/>
      <c r="C203" s="33"/>
      <c r="D203" s="804"/>
      <c r="E203" s="1413"/>
      <c r="F203" s="1081"/>
      <c r="G203" s="1632"/>
      <c r="H203" s="531" t="s">
        <v>111</v>
      </c>
      <c r="I203" s="101"/>
      <c r="J203" s="760">
        <v>76.2</v>
      </c>
      <c r="K203" s="241"/>
      <c r="L203" s="420"/>
      <c r="M203" s="1478"/>
      <c r="N203" s="36"/>
      <c r="O203" s="901"/>
      <c r="P203" s="242"/>
      <c r="Q203" s="803"/>
    </row>
    <row r="204" spans="1:19" s="16" customFormat="1" ht="45.6" customHeight="1" x14ac:dyDescent="0.25">
      <c r="A204" s="63"/>
      <c r="B204" s="32"/>
      <c r="C204" s="33"/>
      <c r="D204" s="964" t="s">
        <v>34</v>
      </c>
      <c r="E204" s="878" t="s">
        <v>204</v>
      </c>
      <c r="F204" s="1081"/>
      <c r="G204" s="1007" t="s">
        <v>183</v>
      </c>
      <c r="H204" s="1007" t="s">
        <v>206</v>
      </c>
      <c r="I204" s="805">
        <v>40</v>
      </c>
      <c r="J204" s="137"/>
      <c r="K204" s="564"/>
      <c r="L204" s="806"/>
      <c r="M204" s="157" t="s">
        <v>286</v>
      </c>
      <c r="N204" s="531">
        <v>100</v>
      </c>
      <c r="O204" s="136"/>
      <c r="P204" s="241"/>
      <c r="Q204" s="443"/>
      <c r="S204" s="901"/>
    </row>
    <row r="205" spans="1:19" s="16" customFormat="1" ht="30" customHeight="1" x14ac:dyDescent="0.25">
      <c r="A205" s="63"/>
      <c r="B205" s="32"/>
      <c r="C205" s="33"/>
      <c r="D205" s="964" t="s">
        <v>48</v>
      </c>
      <c r="E205" s="999" t="s">
        <v>297</v>
      </c>
      <c r="F205" s="814" t="s">
        <v>52</v>
      </c>
      <c r="G205" s="1006" t="s">
        <v>174</v>
      </c>
      <c r="H205" s="1007" t="s">
        <v>109</v>
      </c>
      <c r="I205" s="805">
        <v>19.600000000000001</v>
      </c>
      <c r="J205" s="137"/>
      <c r="K205" s="564"/>
      <c r="L205" s="806"/>
      <c r="M205" s="812" t="s">
        <v>298</v>
      </c>
      <c r="N205" s="531">
        <v>100</v>
      </c>
      <c r="O205" s="264"/>
      <c r="P205" s="1069"/>
      <c r="Q205" s="813"/>
      <c r="S205" s="901"/>
    </row>
    <row r="206" spans="1:19" s="2" customFormat="1" ht="27" customHeight="1" x14ac:dyDescent="0.25">
      <c r="A206" s="1010"/>
      <c r="B206" s="1011"/>
      <c r="C206" s="68"/>
      <c r="D206" s="808" t="s">
        <v>49</v>
      </c>
      <c r="E206" s="1412" t="s">
        <v>299</v>
      </c>
      <c r="F206" s="807" t="s">
        <v>167</v>
      </c>
      <c r="G206" s="879" t="s">
        <v>174</v>
      </c>
      <c r="H206" s="531" t="s">
        <v>16</v>
      </c>
      <c r="I206" s="101"/>
      <c r="J206" s="653">
        <v>117</v>
      </c>
      <c r="K206" s="232">
        <v>165</v>
      </c>
      <c r="L206" s="424">
        <v>335.2</v>
      </c>
      <c r="M206" s="812" t="s">
        <v>266</v>
      </c>
      <c r="N206" s="531"/>
      <c r="O206" s="264">
        <v>1</v>
      </c>
      <c r="P206" s="1069"/>
      <c r="Q206" s="813"/>
    </row>
    <row r="207" spans="1:19" s="2" customFormat="1" ht="15" customHeight="1" x14ac:dyDescent="0.25">
      <c r="A207" s="1010"/>
      <c r="B207" s="1011"/>
      <c r="C207" s="68"/>
      <c r="D207" s="808"/>
      <c r="E207" s="1393"/>
      <c r="F207" s="814" t="s">
        <v>52</v>
      </c>
      <c r="G207" s="1631" t="s">
        <v>183</v>
      </c>
      <c r="H207" s="1006" t="s">
        <v>50</v>
      </c>
      <c r="I207" s="95"/>
      <c r="J207" s="649"/>
      <c r="K207" s="650">
        <v>935</v>
      </c>
      <c r="L207" s="423">
        <v>1899.8</v>
      </c>
      <c r="M207" s="812" t="s">
        <v>117</v>
      </c>
      <c r="N207" s="531"/>
      <c r="O207" s="264"/>
      <c r="P207" s="1069">
        <v>30</v>
      </c>
      <c r="Q207" s="813">
        <v>100</v>
      </c>
    </row>
    <row r="208" spans="1:19" s="2" customFormat="1" ht="40.5" customHeight="1" x14ac:dyDescent="0.25">
      <c r="A208" s="1010"/>
      <c r="B208" s="1011"/>
      <c r="C208" s="68"/>
      <c r="D208" s="810"/>
      <c r="E208" s="1413"/>
      <c r="F208" s="816" t="s">
        <v>265</v>
      </c>
      <c r="G208" s="1632"/>
      <c r="H208" s="1007"/>
      <c r="I208" s="805"/>
      <c r="J208" s="137"/>
      <c r="K208" s="564"/>
      <c r="L208" s="806"/>
      <c r="M208" s="157" t="s">
        <v>210</v>
      </c>
      <c r="N208" s="1007"/>
      <c r="O208" s="264"/>
      <c r="P208" s="815"/>
      <c r="Q208" s="813">
        <v>80</v>
      </c>
    </row>
    <row r="209" spans="1:24" s="2" customFormat="1" ht="63" customHeight="1" x14ac:dyDescent="0.25">
      <c r="A209" s="1010"/>
      <c r="B209" s="1011"/>
      <c r="C209" s="68"/>
      <c r="D209" s="1703" t="s">
        <v>80</v>
      </c>
      <c r="E209" s="817" t="s">
        <v>194</v>
      </c>
      <c r="F209" s="818" t="s">
        <v>292</v>
      </c>
      <c r="G209" s="531" t="s">
        <v>183</v>
      </c>
      <c r="H209" s="531" t="s">
        <v>16</v>
      </c>
      <c r="I209" s="101"/>
      <c r="J209" s="136"/>
      <c r="K209" s="232">
        <v>5</v>
      </c>
      <c r="L209" s="424">
        <v>30</v>
      </c>
      <c r="M209" s="1477" t="s">
        <v>266</v>
      </c>
      <c r="N209" s="1630"/>
      <c r="O209" s="264"/>
      <c r="P209" s="1481"/>
      <c r="Q209" s="813">
        <v>1</v>
      </c>
    </row>
    <row r="210" spans="1:24" s="1" customFormat="1" ht="16.5" customHeight="1" thickBot="1" x14ac:dyDescent="0.3">
      <c r="A210" s="1014"/>
      <c r="B210" s="1016"/>
      <c r="C210" s="41"/>
      <c r="D210" s="1704"/>
      <c r="E210" s="1702" t="s">
        <v>27</v>
      </c>
      <c r="F210" s="1570"/>
      <c r="G210" s="1570"/>
      <c r="H210" s="1570"/>
      <c r="I210" s="637">
        <f>SUM(I194:I209)</f>
        <v>552.4</v>
      </c>
      <c r="J210" s="683">
        <f>SUM(J194:J209)</f>
        <v>670.7</v>
      </c>
      <c r="K210" s="863">
        <f>SUM(K194:K209)</f>
        <v>1105</v>
      </c>
      <c r="L210" s="684">
        <f>SUM(L194:L209)</f>
        <v>2265</v>
      </c>
      <c r="M210" s="1480"/>
      <c r="N210" s="1701"/>
      <c r="O210" s="864"/>
      <c r="P210" s="1482"/>
      <c r="Q210" s="865"/>
    </row>
    <row r="211" spans="1:24" s="1" customFormat="1" ht="16.5" customHeight="1" thickBot="1" x14ac:dyDescent="0.3">
      <c r="A211" s="57" t="s">
        <v>10</v>
      </c>
      <c r="B211" s="22" t="s">
        <v>31</v>
      </c>
      <c r="C211" s="1483" t="s">
        <v>35</v>
      </c>
      <c r="D211" s="1436"/>
      <c r="E211" s="1436"/>
      <c r="F211" s="1436"/>
      <c r="G211" s="1436"/>
      <c r="H211" s="1436"/>
      <c r="I211" s="570">
        <f t="shared" ref="I211:L211" si="16">I210</f>
        <v>552.4</v>
      </c>
      <c r="J211" s="194">
        <f t="shared" si="16"/>
        <v>670.7</v>
      </c>
      <c r="K211" s="204">
        <f t="shared" si="16"/>
        <v>1105</v>
      </c>
      <c r="L211" s="191">
        <f t="shared" si="16"/>
        <v>2265</v>
      </c>
      <c r="M211" s="1437"/>
      <c r="N211" s="1438"/>
      <c r="O211" s="1438"/>
      <c r="P211" s="1438"/>
      <c r="Q211" s="1439"/>
    </row>
    <row r="212" spans="1:24" s="371" customFormat="1" ht="16.5" customHeight="1" thickBot="1" x14ac:dyDescent="0.25">
      <c r="A212" s="57" t="s">
        <v>10</v>
      </c>
      <c r="B212" s="22" t="s">
        <v>33</v>
      </c>
      <c r="C212" s="1409" t="s">
        <v>53</v>
      </c>
      <c r="D212" s="1410"/>
      <c r="E212" s="1410"/>
      <c r="F212" s="1410"/>
      <c r="G212" s="1410"/>
      <c r="H212" s="1410"/>
      <c r="I212" s="1410"/>
      <c r="J212" s="1410"/>
      <c r="K212" s="1410"/>
      <c r="L212" s="1410"/>
      <c r="M212" s="1410"/>
      <c r="N212" s="1410"/>
      <c r="O212" s="1410"/>
      <c r="P212" s="1410"/>
      <c r="Q212" s="1411"/>
    </row>
    <row r="213" spans="1:24" s="371" customFormat="1" ht="18" customHeight="1" x14ac:dyDescent="0.2">
      <c r="A213" s="1013" t="s">
        <v>10</v>
      </c>
      <c r="B213" s="1015" t="s">
        <v>33</v>
      </c>
      <c r="C213" s="1053" t="s">
        <v>10</v>
      </c>
      <c r="D213" s="1041"/>
      <c r="E213" s="399" t="s">
        <v>54</v>
      </c>
      <c r="F213" s="400"/>
      <c r="G213" s="989"/>
      <c r="H213" s="264"/>
      <c r="I213" s="586"/>
      <c r="J213" s="901"/>
      <c r="K213" s="587"/>
      <c r="L213" s="426"/>
      <c r="M213" s="37"/>
      <c r="N213" s="555"/>
      <c r="O213" s="524"/>
      <c r="P213" s="224"/>
      <c r="Q213" s="466"/>
      <c r="X213" s="372"/>
    </row>
    <row r="214" spans="1:24" s="371" customFormat="1" ht="26.25" customHeight="1" x14ac:dyDescent="0.2">
      <c r="A214" s="1010"/>
      <c r="B214" s="1011"/>
      <c r="C214" s="1012"/>
      <c r="D214" s="1073" t="s">
        <v>10</v>
      </c>
      <c r="E214" s="1356" t="s">
        <v>231</v>
      </c>
      <c r="F214" s="819" t="s">
        <v>265</v>
      </c>
      <c r="G214" s="991" t="s">
        <v>174</v>
      </c>
      <c r="H214" s="520" t="s">
        <v>141</v>
      </c>
      <c r="I214" s="820">
        <f>30+8.7</f>
        <v>38.700000000000003</v>
      </c>
      <c r="J214" s="175">
        <v>86.5</v>
      </c>
      <c r="K214" s="185">
        <v>142.19999999999999</v>
      </c>
      <c r="L214" s="821">
        <v>250</v>
      </c>
      <c r="M214" s="142" t="s">
        <v>266</v>
      </c>
      <c r="N214" s="547">
        <v>0.5</v>
      </c>
      <c r="O214" s="655">
        <v>1</v>
      </c>
      <c r="P214" s="225"/>
      <c r="Q214" s="459"/>
    </row>
    <row r="215" spans="1:24" s="371" customFormat="1" ht="18" customHeight="1" x14ac:dyDescent="0.2">
      <c r="A215" s="1010"/>
      <c r="B215" s="1011"/>
      <c r="C215" s="1012"/>
      <c r="D215" s="1074"/>
      <c r="E215" s="1357"/>
      <c r="F215" s="986"/>
      <c r="G215" s="1065"/>
      <c r="H215" s="522" t="s">
        <v>145</v>
      </c>
      <c r="I215" s="822"/>
      <c r="J215" s="823">
        <v>4.9000000000000004</v>
      </c>
      <c r="K215" s="335"/>
      <c r="L215" s="824"/>
      <c r="M215" s="265"/>
      <c r="N215" s="554"/>
      <c r="O215" s="664"/>
      <c r="P215" s="221"/>
      <c r="Q215" s="465"/>
    </row>
    <row r="216" spans="1:24" s="371" customFormat="1" ht="16.5" customHeight="1" x14ac:dyDescent="0.2">
      <c r="A216" s="1010"/>
      <c r="B216" s="1011"/>
      <c r="C216" s="1012"/>
      <c r="D216" s="1074"/>
      <c r="E216" s="1357"/>
      <c r="F216" s="1064" t="s">
        <v>167</v>
      </c>
      <c r="G216" s="1065"/>
      <c r="H216" s="522" t="s">
        <v>50</v>
      </c>
      <c r="I216" s="822"/>
      <c r="J216" s="823"/>
      <c r="K216" s="335">
        <v>805.2</v>
      </c>
      <c r="L216" s="824">
        <v>2152.3000000000002</v>
      </c>
      <c r="M216" s="1032" t="s">
        <v>117</v>
      </c>
      <c r="N216" s="554"/>
      <c r="O216" s="664"/>
      <c r="P216" s="221">
        <v>30</v>
      </c>
      <c r="Q216" s="465">
        <v>100</v>
      </c>
    </row>
    <row r="217" spans="1:24" s="371" customFormat="1" ht="16.5" customHeight="1" x14ac:dyDescent="0.2">
      <c r="A217" s="1010"/>
      <c r="B217" s="1011"/>
      <c r="C217" s="1012"/>
      <c r="D217" s="1074"/>
      <c r="E217" s="1357"/>
      <c r="F217" s="1693" t="s">
        <v>52</v>
      </c>
      <c r="G217" s="1065"/>
      <c r="H217" s="139" t="s">
        <v>16</v>
      </c>
      <c r="I217" s="968"/>
      <c r="J217" s="332"/>
      <c r="K217" s="295"/>
      <c r="L217" s="886">
        <v>129.9</v>
      </c>
      <c r="M217" s="1032"/>
      <c r="N217" s="554"/>
      <c r="O217" s="664"/>
      <c r="P217" s="221"/>
      <c r="Q217" s="465"/>
    </row>
    <row r="218" spans="1:24" s="371" customFormat="1" ht="16.5" customHeight="1" x14ac:dyDescent="0.2">
      <c r="A218" s="1010"/>
      <c r="B218" s="1011"/>
      <c r="C218" s="1012"/>
      <c r="D218" s="1075"/>
      <c r="E218" s="1357"/>
      <c r="F218" s="1694"/>
      <c r="G218" s="1065"/>
      <c r="H218" s="834" t="s">
        <v>20</v>
      </c>
      <c r="I218" s="582">
        <f>SUM(I214:I216)</f>
        <v>38.700000000000003</v>
      </c>
      <c r="J218" s="7">
        <f t="shared" ref="J218:K218" si="17">SUM(J214:J216)</f>
        <v>91.4</v>
      </c>
      <c r="K218" s="184">
        <f t="shared" si="17"/>
        <v>947.40000000000009</v>
      </c>
      <c r="L218" s="177">
        <f>SUM(L214:L217)</f>
        <v>2532.2000000000003</v>
      </c>
      <c r="M218" s="265"/>
      <c r="N218" s="825"/>
      <c r="O218" s="664"/>
      <c r="P218" s="221"/>
      <c r="Q218" s="826"/>
    </row>
    <row r="219" spans="1:24" s="371" customFormat="1" ht="17.25" customHeight="1" x14ac:dyDescent="0.2">
      <c r="A219" s="1010"/>
      <c r="B219" s="1011"/>
      <c r="C219" s="1012"/>
      <c r="D219" s="1074" t="s">
        <v>28</v>
      </c>
      <c r="E219" s="1356" t="s">
        <v>103</v>
      </c>
      <c r="F219" s="1706" t="s">
        <v>52</v>
      </c>
      <c r="G219" s="1655" t="s">
        <v>174</v>
      </c>
      <c r="H219" s="54" t="s">
        <v>145</v>
      </c>
      <c r="I219" s="820">
        <v>27</v>
      </c>
      <c r="J219" s="93"/>
      <c r="K219" s="223"/>
      <c r="L219" s="827"/>
      <c r="M219" s="142" t="s">
        <v>55</v>
      </c>
      <c r="N219" s="547">
        <v>100</v>
      </c>
      <c r="O219" s="655"/>
      <c r="P219" s="225"/>
      <c r="Q219" s="459"/>
    </row>
    <row r="220" spans="1:24" s="371" customFormat="1" ht="18.75" customHeight="1" x14ac:dyDescent="0.2">
      <c r="A220" s="1010"/>
      <c r="B220" s="1011"/>
      <c r="C220" s="1012"/>
      <c r="D220" s="1074"/>
      <c r="E220" s="1357"/>
      <c r="F220" s="1707"/>
      <c r="G220" s="1661"/>
      <c r="H220" s="54" t="s">
        <v>141</v>
      </c>
      <c r="I220" s="822">
        <v>211.3</v>
      </c>
      <c r="J220" s="139"/>
      <c r="K220" s="967"/>
      <c r="L220" s="828"/>
      <c r="M220" s="1587" t="s">
        <v>175</v>
      </c>
      <c r="N220" s="1018" t="s">
        <v>170</v>
      </c>
      <c r="O220" s="647"/>
      <c r="P220" s="1037"/>
      <c r="Q220" s="1039"/>
    </row>
    <row r="221" spans="1:24" s="371" customFormat="1" ht="15.75" customHeight="1" x14ac:dyDescent="0.2">
      <c r="A221" s="1010"/>
      <c r="B221" s="1011"/>
      <c r="C221" s="1012"/>
      <c r="D221" s="1074"/>
      <c r="E221" s="1357"/>
      <c r="F221" s="1064" t="s">
        <v>167</v>
      </c>
      <c r="G221" s="1065"/>
      <c r="H221" s="54" t="s">
        <v>116</v>
      </c>
      <c r="I221" s="820">
        <v>328</v>
      </c>
      <c r="J221" s="54"/>
      <c r="K221" s="1028"/>
      <c r="L221" s="827"/>
      <c r="M221" s="1588"/>
      <c r="N221" s="551"/>
      <c r="O221" s="664"/>
      <c r="P221" s="221"/>
      <c r="Q221" s="464"/>
    </row>
    <row r="222" spans="1:24" s="371" customFormat="1" ht="15.75" customHeight="1" x14ac:dyDescent="0.2">
      <c r="A222" s="1010"/>
      <c r="B222" s="1011"/>
      <c r="C222" s="1012"/>
      <c r="D222" s="1074"/>
      <c r="E222" s="1357"/>
      <c r="F222" s="1693"/>
      <c r="G222" s="1065"/>
      <c r="H222" s="54" t="s">
        <v>109</v>
      </c>
      <c r="I222" s="820">
        <v>6.6</v>
      </c>
      <c r="J222" s="54"/>
      <c r="K222" s="1028"/>
      <c r="L222" s="827"/>
      <c r="M222" s="1588"/>
      <c r="N222" s="551"/>
      <c r="O222" s="664"/>
      <c r="P222" s="221"/>
      <c r="Q222" s="464"/>
    </row>
    <row r="223" spans="1:24" s="371" customFormat="1" ht="15.75" customHeight="1" x14ac:dyDescent="0.2">
      <c r="A223" s="1010"/>
      <c r="B223" s="1011"/>
      <c r="C223" s="1012"/>
      <c r="D223" s="1074"/>
      <c r="E223" s="1357"/>
      <c r="F223" s="1693"/>
      <c r="G223" s="1065"/>
      <c r="H223" s="54" t="s">
        <v>16</v>
      </c>
      <c r="I223" s="829">
        <v>10</v>
      </c>
      <c r="J223" s="54"/>
      <c r="K223" s="1028"/>
      <c r="L223" s="830"/>
      <c r="M223" s="1588"/>
      <c r="N223" s="551"/>
      <c r="O223" s="664"/>
      <c r="P223" s="221"/>
      <c r="Q223" s="464"/>
    </row>
    <row r="224" spans="1:24" s="371" customFormat="1" ht="14.25" customHeight="1" x14ac:dyDescent="0.2">
      <c r="A224" s="1010"/>
      <c r="B224" s="1011"/>
      <c r="C224" s="1012"/>
      <c r="D224" s="1075"/>
      <c r="E224" s="1358"/>
      <c r="F224" s="1694"/>
      <c r="G224" s="992"/>
      <c r="H224" s="834" t="s">
        <v>20</v>
      </c>
      <c r="I224" s="582">
        <f>SUM(I219:I223)</f>
        <v>582.9</v>
      </c>
      <c r="J224" s="7">
        <f t="shared" ref="J224:L224" si="18">SUM(J219:J222)</f>
        <v>0</v>
      </c>
      <c r="K224" s="184">
        <f t="shared" si="18"/>
        <v>0</v>
      </c>
      <c r="L224" s="177">
        <f t="shared" si="18"/>
        <v>0</v>
      </c>
      <c r="M224" s="1708"/>
      <c r="N224" s="832"/>
      <c r="O224" s="654"/>
      <c r="P224" s="1038"/>
      <c r="Q224" s="833"/>
    </row>
    <row r="225" spans="1:19" s="371" customFormat="1" ht="14.25" customHeight="1" x14ac:dyDescent="0.2">
      <c r="A225" s="1010"/>
      <c r="B225" s="1011"/>
      <c r="C225" s="1012"/>
      <c r="D225" s="1074" t="s">
        <v>31</v>
      </c>
      <c r="E225" s="1356" t="s">
        <v>280</v>
      </c>
      <c r="F225" s="932" t="s">
        <v>276</v>
      </c>
      <c r="G225" s="1655" t="s">
        <v>182</v>
      </c>
      <c r="H225" s="264" t="s">
        <v>141</v>
      </c>
      <c r="I225" s="590"/>
      <c r="J225" s="35">
        <v>363.5</v>
      </c>
      <c r="K225" s="181">
        <v>157.80000000000001</v>
      </c>
      <c r="L225" s="207"/>
      <c r="M225" s="1342" t="s">
        <v>133</v>
      </c>
      <c r="N225" s="825"/>
      <c r="O225" s="664">
        <v>10</v>
      </c>
      <c r="P225" s="221">
        <v>10</v>
      </c>
      <c r="Q225" s="873">
        <v>10</v>
      </c>
    </row>
    <row r="226" spans="1:19" s="371" customFormat="1" ht="14.25" customHeight="1" x14ac:dyDescent="0.2">
      <c r="A226" s="1010"/>
      <c r="B226" s="1011"/>
      <c r="C226" s="1012"/>
      <c r="D226" s="1074"/>
      <c r="E226" s="1357"/>
      <c r="F226" s="933"/>
      <c r="G226" s="1661"/>
      <c r="H226" s="264" t="s">
        <v>145</v>
      </c>
      <c r="I226" s="590"/>
      <c r="J226" s="35">
        <v>136.5</v>
      </c>
      <c r="K226" s="181">
        <v>342.2</v>
      </c>
      <c r="L226" s="207">
        <v>500</v>
      </c>
      <c r="M226" s="1368"/>
      <c r="N226" s="825"/>
      <c r="O226" s="664"/>
      <c r="P226" s="221"/>
      <c r="Q226" s="873"/>
    </row>
    <row r="227" spans="1:19" s="371" customFormat="1" ht="14.25" customHeight="1" x14ac:dyDescent="0.2">
      <c r="A227" s="1010"/>
      <c r="B227" s="1011"/>
      <c r="C227" s="1012"/>
      <c r="D227" s="1074"/>
      <c r="E227" s="1358"/>
      <c r="F227" s="934" t="s">
        <v>265</v>
      </c>
      <c r="G227" s="1656"/>
      <c r="H227" s="834" t="s">
        <v>20</v>
      </c>
      <c r="I227" s="582">
        <f>I225</f>
        <v>0</v>
      </c>
      <c r="J227" s="7">
        <f>SUM(J225:J226)</f>
        <v>500</v>
      </c>
      <c r="K227" s="672">
        <f>SUM(K225:K226)</f>
        <v>500</v>
      </c>
      <c r="L227" s="896">
        <f>SUM(L225:L226)</f>
        <v>500</v>
      </c>
      <c r="M227" s="1368"/>
      <c r="N227" s="825"/>
      <c r="O227" s="664"/>
      <c r="P227" s="221"/>
      <c r="Q227" s="826"/>
    </row>
    <row r="228" spans="1:19" s="371" customFormat="1" ht="15" customHeight="1" thickBot="1" x14ac:dyDescent="0.25">
      <c r="A228" s="1014"/>
      <c r="B228" s="1016"/>
      <c r="C228" s="1054"/>
      <c r="D228" s="1042"/>
      <c r="E228" s="1372" t="s">
        <v>27</v>
      </c>
      <c r="F228" s="1373"/>
      <c r="G228" s="1705"/>
      <c r="H228" s="1373"/>
      <c r="I228" s="569">
        <f>I218+I224</f>
        <v>621.6</v>
      </c>
      <c r="J228" s="85">
        <f>J218+J224+J227</f>
        <v>591.4</v>
      </c>
      <c r="K228" s="214">
        <f>K218+K224+K227</f>
        <v>1447.4</v>
      </c>
      <c r="L228" s="268">
        <f>L218+L224+L227</f>
        <v>3032.2000000000003</v>
      </c>
      <c r="M228" s="347"/>
      <c r="N228" s="572"/>
      <c r="O228" s="668"/>
      <c r="P228" s="669"/>
      <c r="Q228" s="474"/>
    </row>
    <row r="229" spans="1:19" s="371" customFormat="1" ht="18" customHeight="1" x14ac:dyDescent="0.2">
      <c r="A229" s="1010" t="s">
        <v>10</v>
      </c>
      <c r="B229" s="1011" t="s">
        <v>33</v>
      </c>
      <c r="C229" s="40" t="s">
        <v>28</v>
      </c>
      <c r="D229" s="112"/>
      <c r="E229" s="1479" t="s">
        <v>56</v>
      </c>
      <c r="F229" s="887" t="s">
        <v>264</v>
      </c>
      <c r="G229" s="1663" t="s">
        <v>190</v>
      </c>
      <c r="H229" s="6"/>
      <c r="I229" s="575"/>
      <c r="J229" s="338"/>
      <c r="K229" s="216"/>
      <c r="L229" s="429"/>
      <c r="M229" s="1093"/>
      <c r="N229" s="312"/>
      <c r="O229" s="12"/>
      <c r="P229" s="239"/>
      <c r="Q229" s="467"/>
      <c r="R229" s="881"/>
    </row>
    <row r="230" spans="1:19" s="371" customFormat="1" ht="18" customHeight="1" x14ac:dyDescent="0.2">
      <c r="A230" s="1010"/>
      <c r="B230" s="1011"/>
      <c r="C230" s="40"/>
      <c r="D230" s="112"/>
      <c r="E230" s="1479"/>
      <c r="F230" s="892"/>
      <c r="G230" s="1664"/>
      <c r="H230" s="6" t="s">
        <v>79</v>
      </c>
      <c r="I230" s="576">
        <v>234.5</v>
      </c>
      <c r="J230" s="710">
        <v>231.5</v>
      </c>
      <c r="K230" s="202"/>
      <c r="L230" s="427"/>
      <c r="M230" s="1093"/>
      <c r="N230" s="312"/>
      <c r="O230" s="12"/>
      <c r="P230" s="239"/>
      <c r="Q230" s="467"/>
    </row>
    <row r="231" spans="1:19" s="371" customFormat="1" ht="18" customHeight="1" x14ac:dyDescent="0.2">
      <c r="A231" s="1010"/>
      <c r="B231" s="1011"/>
      <c r="C231" s="40"/>
      <c r="D231" s="112"/>
      <c r="E231" s="1479"/>
      <c r="F231" s="892"/>
      <c r="G231" s="1664"/>
      <c r="H231" s="66"/>
      <c r="I231" s="577"/>
      <c r="J231" s="778"/>
      <c r="K231" s="216"/>
      <c r="L231" s="430"/>
      <c r="M231" s="1093"/>
      <c r="N231" s="312"/>
      <c r="O231" s="12"/>
      <c r="P231" s="239"/>
      <c r="Q231" s="467"/>
      <c r="S231" s="372"/>
    </row>
    <row r="232" spans="1:19" s="371" customFormat="1" ht="21" customHeight="1" x14ac:dyDescent="0.2">
      <c r="A232" s="1010"/>
      <c r="B232" s="1011"/>
      <c r="C232" s="40"/>
      <c r="D232" s="115" t="s">
        <v>10</v>
      </c>
      <c r="E232" s="1474" t="s">
        <v>57</v>
      </c>
      <c r="F232" s="888" t="s">
        <v>265</v>
      </c>
      <c r="G232" s="42"/>
      <c r="H232" s="6" t="s">
        <v>38</v>
      </c>
      <c r="I232" s="578">
        <v>462.3</v>
      </c>
      <c r="J232" s="710">
        <v>955.4</v>
      </c>
      <c r="K232" s="202">
        <v>955.4</v>
      </c>
      <c r="L232" s="431">
        <v>955.4</v>
      </c>
      <c r="M232" s="258" t="s">
        <v>139</v>
      </c>
      <c r="N232" s="544">
        <v>30</v>
      </c>
      <c r="O232" s="665">
        <v>30</v>
      </c>
      <c r="P232" s="259">
        <v>30</v>
      </c>
      <c r="Q232" s="456">
        <v>30</v>
      </c>
    </row>
    <row r="233" spans="1:19" s="371" customFormat="1" ht="21" customHeight="1" x14ac:dyDescent="0.2">
      <c r="A233" s="1010"/>
      <c r="B233" s="1011"/>
      <c r="C233" s="40"/>
      <c r="D233" s="114"/>
      <c r="E233" s="1475"/>
      <c r="F233" s="401"/>
      <c r="G233" s="42"/>
      <c r="H233" s="66"/>
      <c r="I233" s="579"/>
      <c r="J233" s="869"/>
      <c r="K233" s="709"/>
      <c r="L233" s="432"/>
      <c r="M233" s="84"/>
      <c r="N233" s="573"/>
      <c r="O233" s="666"/>
      <c r="P233" s="240"/>
      <c r="Q233" s="475"/>
    </row>
    <row r="234" spans="1:19" s="371" customFormat="1" ht="33.75" customHeight="1" x14ac:dyDescent="0.2">
      <c r="A234" s="1010"/>
      <c r="B234" s="1011"/>
      <c r="C234" s="40"/>
      <c r="D234" s="112" t="s">
        <v>28</v>
      </c>
      <c r="E234" s="1474" t="s">
        <v>58</v>
      </c>
      <c r="F234" s="402"/>
      <c r="G234" s="42"/>
      <c r="H234" s="6" t="s">
        <v>38</v>
      </c>
      <c r="I234" s="577">
        <v>131</v>
      </c>
      <c r="J234" s="778">
        <v>281</v>
      </c>
      <c r="K234" s="216">
        <v>281</v>
      </c>
      <c r="L234" s="430">
        <v>281</v>
      </c>
      <c r="M234" s="1711" t="s">
        <v>306</v>
      </c>
      <c r="N234" s="544">
        <v>250</v>
      </c>
      <c r="O234" s="665">
        <v>260</v>
      </c>
      <c r="P234" s="259">
        <v>270</v>
      </c>
      <c r="Q234" s="456">
        <v>280</v>
      </c>
    </row>
    <row r="235" spans="1:19" s="371" customFormat="1" ht="33.75" customHeight="1" x14ac:dyDescent="0.2">
      <c r="A235" s="1010"/>
      <c r="B235" s="1011"/>
      <c r="C235" s="40"/>
      <c r="D235" s="112"/>
      <c r="E235" s="1475"/>
      <c r="F235" s="402"/>
      <c r="G235" s="42"/>
      <c r="H235" s="66"/>
      <c r="I235" s="577"/>
      <c r="J235" s="778"/>
      <c r="K235" s="216"/>
      <c r="L235" s="430"/>
      <c r="M235" s="1709"/>
      <c r="N235" s="573"/>
      <c r="O235" s="666"/>
      <c r="P235" s="240"/>
      <c r="Q235" s="475"/>
    </row>
    <row r="236" spans="1:19" s="371" customFormat="1" ht="28.5" customHeight="1" x14ac:dyDescent="0.2">
      <c r="A236" s="1010"/>
      <c r="B236" s="1011"/>
      <c r="C236" s="40"/>
      <c r="D236" s="115" t="s">
        <v>31</v>
      </c>
      <c r="E236" s="1474" t="s">
        <v>59</v>
      </c>
      <c r="F236" s="402"/>
      <c r="G236" s="42"/>
      <c r="H236" s="6" t="s">
        <v>38</v>
      </c>
      <c r="I236" s="578">
        <v>32</v>
      </c>
      <c r="J236" s="710">
        <v>48.1</v>
      </c>
      <c r="K236" s="202">
        <v>48.1</v>
      </c>
      <c r="L236" s="431">
        <v>48.1</v>
      </c>
      <c r="M236" s="1711" t="s">
        <v>90</v>
      </c>
      <c r="N236" s="544">
        <v>35</v>
      </c>
      <c r="O236" s="665">
        <v>35</v>
      </c>
      <c r="P236" s="259">
        <v>35</v>
      </c>
      <c r="Q236" s="456">
        <v>35</v>
      </c>
    </row>
    <row r="237" spans="1:19" s="371" customFormat="1" ht="28.5" customHeight="1" x14ac:dyDescent="0.2">
      <c r="A237" s="1010"/>
      <c r="B237" s="1011"/>
      <c r="C237" s="40"/>
      <c r="D237" s="112"/>
      <c r="E237" s="1475"/>
      <c r="F237" s="402"/>
      <c r="G237" s="42"/>
      <c r="H237" s="66"/>
      <c r="I237" s="579"/>
      <c r="J237" s="869"/>
      <c r="K237" s="709"/>
      <c r="L237" s="432"/>
      <c r="M237" s="1712"/>
      <c r="N237" s="573"/>
      <c r="O237" s="666"/>
      <c r="P237" s="240"/>
      <c r="Q237" s="475"/>
    </row>
    <row r="238" spans="1:19" s="371" customFormat="1" ht="15" customHeight="1" x14ac:dyDescent="0.2">
      <c r="A238" s="1010"/>
      <c r="B238" s="1011"/>
      <c r="C238" s="40"/>
      <c r="D238" s="115" t="s">
        <v>33</v>
      </c>
      <c r="E238" s="1474" t="s">
        <v>60</v>
      </c>
      <c r="F238" s="402"/>
      <c r="G238" s="42"/>
      <c r="H238" s="6" t="s">
        <v>38</v>
      </c>
      <c r="I238" s="577">
        <v>237</v>
      </c>
      <c r="J238" s="778">
        <v>359.4</v>
      </c>
      <c r="K238" s="216">
        <v>359.4</v>
      </c>
      <c r="L238" s="430">
        <v>359.4</v>
      </c>
      <c r="M238" s="1711" t="s">
        <v>61</v>
      </c>
      <c r="N238" s="544">
        <v>95</v>
      </c>
      <c r="O238" s="665">
        <v>95</v>
      </c>
      <c r="P238" s="259">
        <v>95</v>
      </c>
      <c r="Q238" s="456">
        <v>95</v>
      </c>
    </row>
    <row r="239" spans="1:19" s="371" customFormat="1" ht="25.5" customHeight="1" x14ac:dyDescent="0.2">
      <c r="A239" s="1010"/>
      <c r="B239" s="1011"/>
      <c r="C239" s="40"/>
      <c r="D239" s="112"/>
      <c r="E239" s="1475"/>
      <c r="F239" s="402"/>
      <c r="G239" s="42"/>
      <c r="H239" s="66"/>
      <c r="I239" s="577"/>
      <c r="J239" s="778"/>
      <c r="K239" s="216"/>
      <c r="L239" s="430"/>
      <c r="M239" s="1712"/>
      <c r="N239" s="573"/>
      <c r="O239" s="666"/>
      <c r="P239" s="240"/>
      <c r="Q239" s="475"/>
    </row>
    <row r="240" spans="1:19" s="371" customFormat="1" ht="40.5" customHeight="1" x14ac:dyDescent="0.2">
      <c r="A240" s="1010"/>
      <c r="B240" s="1011"/>
      <c r="C240" s="40"/>
      <c r="D240" s="116" t="s">
        <v>34</v>
      </c>
      <c r="E240" s="148" t="s">
        <v>62</v>
      </c>
      <c r="F240" s="402"/>
      <c r="G240" s="42"/>
      <c r="H240" s="6" t="s">
        <v>30</v>
      </c>
      <c r="I240" s="580">
        <v>6.6</v>
      </c>
      <c r="J240" s="870">
        <v>10</v>
      </c>
      <c r="K240" s="707">
        <v>10</v>
      </c>
      <c r="L240" s="433">
        <v>10</v>
      </c>
      <c r="M240" s="71" t="s">
        <v>130</v>
      </c>
      <c r="N240" s="527">
        <v>12</v>
      </c>
      <c r="O240" s="520">
        <v>12</v>
      </c>
      <c r="P240" s="223">
        <v>12</v>
      </c>
      <c r="Q240" s="437">
        <v>12</v>
      </c>
    </row>
    <row r="241" spans="1:17" s="371" customFormat="1" ht="22.5" customHeight="1" x14ac:dyDescent="0.2">
      <c r="A241" s="1010"/>
      <c r="B241" s="1011"/>
      <c r="C241" s="40"/>
      <c r="D241" s="112" t="s">
        <v>48</v>
      </c>
      <c r="E241" s="1433" t="s">
        <v>63</v>
      </c>
      <c r="F241" s="402"/>
      <c r="G241" s="42"/>
      <c r="H241" s="6" t="s">
        <v>38</v>
      </c>
      <c r="I241" s="577">
        <v>157</v>
      </c>
      <c r="J241" s="778">
        <v>273.10000000000002</v>
      </c>
      <c r="K241" s="216">
        <v>273.10000000000002</v>
      </c>
      <c r="L241" s="430">
        <v>273.10000000000002</v>
      </c>
      <c r="M241" s="1709" t="s">
        <v>64</v>
      </c>
      <c r="N241" s="573">
        <v>100</v>
      </c>
      <c r="O241" s="666">
        <v>100</v>
      </c>
      <c r="P241" s="240">
        <v>100</v>
      </c>
      <c r="Q241" s="475">
        <v>100</v>
      </c>
    </row>
    <row r="242" spans="1:17" s="371" customFormat="1" ht="30.75" customHeight="1" x14ac:dyDescent="0.2">
      <c r="A242" s="59"/>
      <c r="B242" s="1011"/>
      <c r="C242" s="40"/>
      <c r="D242" s="112"/>
      <c r="E242" s="1433"/>
      <c r="F242" s="402"/>
      <c r="G242" s="42"/>
      <c r="H242" s="66"/>
      <c r="I242" s="577"/>
      <c r="J242" s="338"/>
      <c r="K242" s="216"/>
      <c r="L242" s="430"/>
      <c r="M242" s="1709"/>
      <c r="N242" s="573"/>
      <c r="O242" s="666"/>
      <c r="P242" s="240"/>
      <c r="Q242" s="475"/>
    </row>
    <row r="243" spans="1:17" s="371" customFormat="1" ht="13.5" customHeight="1" thickBot="1" x14ac:dyDescent="0.25">
      <c r="A243" s="60" t="s">
        <v>95</v>
      </c>
      <c r="B243" s="1016"/>
      <c r="C243" s="41"/>
      <c r="D243" s="113"/>
      <c r="E243" s="1434"/>
      <c r="F243" s="403"/>
      <c r="G243" s="133"/>
      <c r="H243" s="49" t="s">
        <v>20</v>
      </c>
      <c r="I243" s="100">
        <f>SUM(I229:I242)</f>
        <v>1260.3999999999999</v>
      </c>
      <c r="J243" s="9">
        <f t="shared" ref="J243:L243" si="19">SUM(J229:J242)</f>
        <v>2158.5</v>
      </c>
      <c r="K243" s="187">
        <f t="shared" si="19"/>
        <v>1927</v>
      </c>
      <c r="L243" s="176">
        <f t="shared" si="19"/>
        <v>1927</v>
      </c>
      <c r="M243" s="1710"/>
      <c r="N243" s="574"/>
      <c r="O243" s="667"/>
      <c r="P243" s="260"/>
      <c r="Q243" s="476"/>
    </row>
    <row r="244" spans="1:17" s="371" customFormat="1" ht="52.5" customHeight="1" x14ac:dyDescent="0.2">
      <c r="A244" s="1013" t="s">
        <v>10</v>
      </c>
      <c r="B244" s="1015" t="s">
        <v>33</v>
      </c>
      <c r="C244" s="1053" t="s">
        <v>31</v>
      </c>
      <c r="D244" s="1041"/>
      <c r="E244" s="399" t="s">
        <v>65</v>
      </c>
      <c r="F244" s="400"/>
      <c r="G244" s="990"/>
      <c r="H244" s="38"/>
      <c r="I244" s="575"/>
      <c r="J244" s="831"/>
      <c r="K244" s="215"/>
      <c r="L244" s="429"/>
      <c r="M244" s="37"/>
      <c r="N244" s="555"/>
      <c r="O244" s="524"/>
      <c r="P244" s="224"/>
      <c r="Q244" s="466"/>
    </row>
    <row r="245" spans="1:17" s="371" customFormat="1" ht="27.75" customHeight="1" x14ac:dyDescent="0.2">
      <c r="A245" s="1010"/>
      <c r="B245" s="1011"/>
      <c r="C245" s="1012"/>
      <c r="D245" s="108" t="s">
        <v>10</v>
      </c>
      <c r="E245" s="1412" t="s">
        <v>108</v>
      </c>
      <c r="F245" s="888" t="s">
        <v>264</v>
      </c>
      <c r="G245" s="251" t="s">
        <v>182</v>
      </c>
      <c r="H245" s="50" t="s">
        <v>30</v>
      </c>
      <c r="I245" s="581"/>
      <c r="J245" s="337">
        <v>50</v>
      </c>
      <c r="K245" s="201"/>
      <c r="L245" s="405"/>
      <c r="M245" s="995" t="s">
        <v>133</v>
      </c>
      <c r="N245" s="504"/>
      <c r="O245" s="54">
        <v>1</v>
      </c>
      <c r="P245" s="874"/>
      <c r="Q245" s="875"/>
    </row>
    <row r="246" spans="1:17" s="371" customFormat="1" ht="15" customHeight="1" thickBot="1" x14ac:dyDescent="0.25">
      <c r="A246" s="1010"/>
      <c r="B246" s="1011"/>
      <c r="C246" s="1012"/>
      <c r="D246" s="1042"/>
      <c r="E246" s="1393"/>
      <c r="F246" s="403"/>
      <c r="G246" s="352"/>
      <c r="H246" s="51" t="s">
        <v>20</v>
      </c>
      <c r="I246" s="582">
        <f>SUM(I245:I245)</f>
        <v>0</v>
      </c>
      <c r="J246" s="7">
        <f t="shared" ref="J246:L246" si="20">SUM(J245:J245)</f>
        <v>50</v>
      </c>
      <c r="K246" s="184">
        <f t="shared" si="20"/>
        <v>0</v>
      </c>
      <c r="L246" s="177">
        <f t="shared" si="20"/>
        <v>0</v>
      </c>
      <c r="M246" s="140"/>
      <c r="N246" s="572"/>
      <c r="O246" s="523"/>
      <c r="P246" s="669"/>
      <c r="Q246" s="474"/>
    </row>
    <row r="247" spans="1:17" s="1" customFormat="1" ht="16.5" customHeight="1" thickBot="1" x14ac:dyDescent="0.3">
      <c r="A247" s="57" t="s">
        <v>10</v>
      </c>
      <c r="B247" s="3" t="s">
        <v>33</v>
      </c>
      <c r="C247" s="1436" t="s">
        <v>35</v>
      </c>
      <c r="D247" s="1436"/>
      <c r="E247" s="1436"/>
      <c r="F247" s="1436"/>
      <c r="G247" s="1436"/>
      <c r="H247" s="1436"/>
      <c r="I247" s="583">
        <f t="shared" ref="I247:L247" si="21">+I246+I243+I228</f>
        <v>1882</v>
      </c>
      <c r="J247" s="211">
        <f t="shared" si="21"/>
        <v>2799.9</v>
      </c>
      <c r="K247" s="217">
        <f t="shared" si="21"/>
        <v>3374.4</v>
      </c>
      <c r="L247" s="685">
        <f t="shared" si="21"/>
        <v>4959.2000000000007</v>
      </c>
      <c r="M247" s="1437"/>
      <c r="N247" s="1438"/>
      <c r="O247" s="1438"/>
      <c r="P247" s="1438"/>
      <c r="Q247" s="1439"/>
    </row>
    <row r="248" spans="1:17" s="371" customFormat="1" ht="16.5" customHeight="1" thickBot="1" x14ac:dyDescent="0.25">
      <c r="A248" s="1014" t="s">
        <v>10</v>
      </c>
      <c r="B248" s="64"/>
      <c r="C248" s="1432" t="s">
        <v>66</v>
      </c>
      <c r="D248" s="1432"/>
      <c r="E248" s="1432"/>
      <c r="F248" s="1432"/>
      <c r="G248" s="1432"/>
      <c r="H248" s="1432"/>
      <c r="I248" s="584">
        <f>I247+I211+I191+I68</f>
        <v>64591.4</v>
      </c>
      <c r="J248" s="212">
        <f>J247+J211+J191+J68</f>
        <v>71617.599999999991</v>
      </c>
      <c r="K248" s="218">
        <f>K247+K211+K191+K68</f>
        <v>71215.299999999988</v>
      </c>
      <c r="L248" s="209">
        <f>L247+L211+L191+L68</f>
        <v>73930.999999999985</v>
      </c>
      <c r="M248" s="1440"/>
      <c r="N248" s="1441"/>
      <c r="O248" s="1441"/>
      <c r="P248" s="1441"/>
      <c r="Q248" s="1442"/>
    </row>
    <row r="249" spans="1:17" s="1" customFormat="1" ht="16.5" customHeight="1" thickBot="1" x14ac:dyDescent="0.3">
      <c r="A249" s="65" t="s">
        <v>67</v>
      </c>
      <c r="B249" s="1425" t="s">
        <v>68</v>
      </c>
      <c r="C249" s="1426"/>
      <c r="D249" s="1426"/>
      <c r="E249" s="1426"/>
      <c r="F249" s="1426"/>
      <c r="G249" s="1426"/>
      <c r="H249" s="1426"/>
      <c r="I249" s="585">
        <f t="shared" ref="I249:L249" si="22">I248</f>
        <v>64591.4</v>
      </c>
      <c r="J249" s="213">
        <f t="shared" si="22"/>
        <v>71617.599999999991</v>
      </c>
      <c r="K249" s="219">
        <f t="shared" si="22"/>
        <v>71215.299999999988</v>
      </c>
      <c r="L249" s="210">
        <f t="shared" si="22"/>
        <v>73930.999999999985</v>
      </c>
      <c r="M249" s="1429"/>
      <c r="N249" s="1430"/>
      <c r="O249" s="1430"/>
      <c r="P249" s="1430"/>
      <c r="Q249" s="1431"/>
    </row>
    <row r="250" spans="1:17" s="1" customFormat="1" ht="16.5" customHeight="1" x14ac:dyDescent="0.25">
      <c r="A250" s="1444" t="s">
        <v>294</v>
      </c>
      <c r="B250" s="1444"/>
      <c r="C250" s="1444"/>
      <c r="D250" s="1444"/>
      <c r="E250" s="1444"/>
      <c r="F250" s="1444"/>
      <c r="G250" s="1444"/>
      <c r="H250" s="1444"/>
      <c r="I250" s="1444"/>
      <c r="J250" s="1444"/>
      <c r="K250" s="1444"/>
      <c r="L250" s="1444"/>
      <c r="M250" s="1444"/>
      <c r="N250" s="1444"/>
      <c r="O250" s="1444"/>
      <c r="P250" s="1444"/>
      <c r="Q250" s="1444"/>
    </row>
    <row r="251" spans="1:17" s="1" customFormat="1" ht="9" customHeight="1" x14ac:dyDescent="0.25">
      <c r="A251" s="1067"/>
      <c r="B251" s="1067"/>
      <c r="C251" s="1067"/>
      <c r="D251" s="1067"/>
      <c r="E251" s="1067"/>
      <c r="F251" s="1067"/>
      <c r="G251" s="1067"/>
      <c r="H251" s="1067"/>
      <c r="I251" s="1067"/>
      <c r="J251" s="1067"/>
      <c r="K251" s="1067"/>
      <c r="L251" s="1067"/>
      <c r="M251" s="1067"/>
      <c r="N251" s="1067"/>
      <c r="O251" s="1067"/>
      <c r="P251" s="1067"/>
      <c r="Q251" s="1067"/>
    </row>
    <row r="252" spans="1:17" s="1" customFormat="1" ht="43.5" customHeight="1" x14ac:dyDescent="0.25">
      <c r="A252" s="1713" t="s">
        <v>302</v>
      </c>
      <c r="B252" s="1714"/>
      <c r="C252" s="1714"/>
      <c r="D252" s="1714"/>
      <c r="E252" s="1714"/>
      <c r="F252" s="1714"/>
      <c r="G252" s="1714"/>
      <c r="H252" s="1714"/>
      <c r="I252" s="1714"/>
      <c r="J252" s="1714"/>
      <c r="K252" s="1714"/>
      <c r="L252" s="1714"/>
      <c r="M252" s="1067"/>
      <c r="N252" s="1067"/>
      <c r="O252" s="1067"/>
      <c r="P252" s="1067"/>
      <c r="Q252" s="1067"/>
    </row>
    <row r="253" spans="1:17" s="372" customFormat="1" ht="21.75" customHeight="1" thickBot="1" x14ac:dyDescent="0.25">
      <c r="A253" s="1443" t="s">
        <v>69</v>
      </c>
      <c r="B253" s="1443"/>
      <c r="C253" s="1443"/>
      <c r="D253" s="1443"/>
      <c r="E253" s="1443"/>
      <c r="F253" s="1443"/>
      <c r="G253" s="1443"/>
      <c r="H253" s="1443"/>
      <c r="I253" s="1443"/>
      <c r="J253" s="1443"/>
      <c r="K253" s="1443"/>
      <c r="L253" s="1443"/>
      <c r="M253" s="23"/>
      <c r="N253" s="23"/>
      <c r="O253" s="23"/>
      <c r="P253" s="23"/>
      <c r="Q253" s="34"/>
    </row>
    <row r="254" spans="1:17" s="15" customFormat="1" ht="93.75" customHeight="1" thickBot="1" x14ac:dyDescent="0.3">
      <c r="A254" s="1457" t="s">
        <v>70</v>
      </c>
      <c r="B254" s="1458"/>
      <c r="C254" s="1458"/>
      <c r="D254" s="1458"/>
      <c r="E254" s="1458"/>
      <c r="F254" s="1458"/>
      <c r="G254" s="1459"/>
      <c r="H254" s="1459"/>
      <c r="I254" s="622" t="s">
        <v>258</v>
      </c>
      <c r="J254" s="621" t="s">
        <v>252</v>
      </c>
      <c r="K254" s="624" t="s">
        <v>301</v>
      </c>
      <c r="L254" s="623" t="s">
        <v>253</v>
      </c>
      <c r="M254" s="147"/>
      <c r="N254" s="147"/>
      <c r="O254" s="147"/>
      <c r="P254" s="147"/>
      <c r="Q254" s="147"/>
    </row>
    <row r="255" spans="1:17" s="1" customFormat="1" ht="15.75" customHeight="1" x14ac:dyDescent="0.25">
      <c r="A255" s="1460" t="s">
        <v>71</v>
      </c>
      <c r="B255" s="1461"/>
      <c r="C255" s="1461"/>
      <c r="D255" s="1461"/>
      <c r="E255" s="1461"/>
      <c r="F255" s="1461"/>
      <c r="G255" s="1462"/>
      <c r="H255" s="1462"/>
      <c r="I255" s="134">
        <f>+I256+I264+I265+I266+I267+I268</f>
        <v>26629.8</v>
      </c>
      <c r="J255" s="269">
        <f t="shared" ref="J255:L255" si="23">+J256+J264+J265+J266+J267+J268</f>
        <v>30629.500000000004</v>
      </c>
      <c r="K255" s="285">
        <f t="shared" si="23"/>
        <v>28537.000000000004</v>
      </c>
      <c r="L255" s="277">
        <f t="shared" si="23"/>
        <v>28940.800000000003</v>
      </c>
      <c r="M255" s="143"/>
      <c r="N255" s="143"/>
      <c r="O255" s="143"/>
      <c r="P255" s="143"/>
      <c r="Q255" s="143"/>
    </row>
    <row r="256" spans="1:17" s="1" customFormat="1" ht="15.75" customHeight="1" x14ac:dyDescent="0.25">
      <c r="A256" s="1472" t="s">
        <v>157</v>
      </c>
      <c r="B256" s="1473"/>
      <c r="C256" s="1473"/>
      <c r="D256" s="1473"/>
      <c r="E256" s="1473"/>
      <c r="F256" s="1473"/>
      <c r="G256" s="1473"/>
      <c r="H256" s="1473"/>
      <c r="I256" s="94">
        <f>SUM(I257:I263)</f>
        <v>24813.5</v>
      </c>
      <c r="J256" s="270">
        <f t="shared" ref="J256:L256" si="24">SUM(J257:J263)</f>
        <v>29906</v>
      </c>
      <c r="K256" s="286">
        <f t="shared" si="24"/>
        <v>28194.800000000003</v>
      </c>
      <c r="L256" s="278">
        <f t="shared" si="24"/>
        <v>28440.800000000003</v>
      </c>
      <c r="M256" s="143"/>
      <c r="N256" s="143"/>
      <c r="O256" s="143"/>
      <c r="P256" s="143"/>
      <c r="Q256" s="143"/>
    </row>
    <row r="257" spans="1:22" s="1" customFormat="1" ht="15.75" customHeight="1" x14ac:dyDescent="0.25">
      <c r="A257" s="1452" t="s">
        <v>72</v>
      </c>
      <c r="B257" s="1453"/>
      <c r="C257" s="1453"/>
      <c r="D257" s="1453"/>
      <c r="E257" s="1453"/>
      <c r="F257" s="1453"/>
      <c r="G257" s="1454"/>
      <c r="H257" s="1454"/>
      <c r="I257" s="95">
        <f>SUMIF(H14:H245,"sb",I14:I245)</f>
        <v>4487.8999999999996</v>
      </c>
      <c r="J257" s="266">
        <f>SUMIF(H14:H245,"sb",J14:J245)</f>
        <v>7628.7</v>
      </c>
      <c r="K257" s="220">
        <f>SUMIF(H14:H245,"sb",K14:K245)</f>
        <v>7555.7</v>
      </c>
      <c r="L257" s="267">
        <f>SUMIF(H14:H245,"sb",L14:L245)</f>
        <v>7791.4999999999991</v>
      </c>
      <c r="M257" s="146"/>
      <c r="N257" s="146"/>
      <c r="O257" s="146"/>
      <c r="P257" s="146"/>
      <c r="Q257" s="146"/>
    </row>
    <row r="258" spans="1:22" s="1" customFormat="1" ht="15.75" customHeight="1" x14ac:dyDescent="0.25">
      <c r="A258" s="1422" t="s">
        <v>205</v>
      </c>
      <c r="B258" s="1423"/>
      <c r="C258" s="1423"/>
      <c r="D258" s="1423"/>
      <c r="E258" s="1423"/>
      <c r="F258" s="1423"/>
      <c r="G258" s="1423"/>
      <c r="H258" s="1424"/>
      <c r="I258" s="101">
        <f>SUMIF(H14:H245,"sb(S)",I14:I245)</f>
        <v>6895.2000000000007</v>
      </c>
      <c r="J258" s="169">
        <f>SUMIF(H14:H245,"sb(S)",J14:J245)</f>
        <v>6842.2000000000007</v>
      </c>
      <c r="K258" s="195">
        <f>SUMIF(H14:H245,"sb(S)",K14:K245)</f>
        <v>7626.8</v>
      </c>
      <c r="L258" s="189">
        <f>SUMIF(H14:H245,"sb(S)",L14:L245)</f>
        <v>7680</v>
      </c>
      <c r="M258" s="146"/>
      <c r="N258" s="146"/>
      <c r="O258" s="146"/>
      <c r="P258" s="146"/>
      <c r="Q258" s="146"/>
    </row>
    <row r="259" spans="1:22" s="1" customFormat="1" ht="15.75" customHeight="1" x14ac:dyDescent="0.25">
      <c r="A259" s="1455" t="s">
        <v>142</v>
      </c>
      <c r="B259" s="1456"/>
      <c r="C259" s="1456"/>
      <c r="D259" s="1456"/>
      <c r="E259" s="1456"/>
      <c r="F259" s="1456"/>
      <c r="G259" s="1456"/>
      <c r="H259" s="1456"/>
      <c r="I259" s="96">
        <f>SUMIF(H14:H245,"sb(f)",I14:I245)</f>
        <v>250</v>
      </c>
      <c r="J259" s="253">
        <f>SUMIF(H14:H245,"sb(f)",J14:J245)</f>
        <v>450</v>
      </c>
      <c r="K259" s="254">
        <f>SUMIF(H14:H245,"sb(f)",K14:K245)</f>
        <v>300</v>
      </c>
      <c r="L259" s="252">
        <f>SUMIF(H14:H245,"sb(f)",L14:L245)</f>
        <v>250</v>
      </c>
      <c r="M259" s="146"/>
      <c r="N259" s="146"/>
      <c r="O259" s="146"/>
      <c r="P259" s="146"/>
      <c r="Q259" s="146"/>
      <c r="V259" s="2"/>
    </row>
    <row r="260" spans="1:22" s="1" customFormat="1" ht="15.75" customHeight="1" x14ac:dyDescent="0.25">
      <c r="A260" s="1455" t="s">
        <v>134</v>
      </c>
      <c r="B260" s="1456"/>
      <c r="C260" s="1456"/>
      <c r="D260" s="1456"/>
      <c r="E260" s="1456"/>
      <c r="F260" s="1456"/>
      <c r="G260" s="1456"/>
      <c r="H260" s="1456"/>
      <c r="I260" s="96">
        <f>SUMIF(H18:H245,"sb(es)",I18:I245)</f>
        <v>1395.1</v>
      </c>
      <c r="J260" s="253">
        <f>SUMIF(H18:H245,"sb(es)",J18:J245)</f>
        <v>938.1</v>
      </c>
      <c r="K260" s="254">
        <f>SUMIF(H18:H245,"sb(es)",K18:K245)</f>
        <v>0</v>
      </c>
      <c r="L260" s="252">
        <f>SUMIF(H18:H245,"sb(es)",L18:L245)</f>
        <v>0</v>
      </c>
      <c r="M260" s="146"/>
      <c r="N260" s="146"/>
      <c r="O260" s="146"/>
      <c r="P260" s="146"/>
      <c r="Q260" s="145"/>
    </row>
    <row r="261" spans="1:22" s="1" customFormat="1" ht="29.65" customHeight="1" x14ac:dyDescent="0.25">
      <c r="A261" s="1455" t="s">
        <v>131</v>
      </c>
      <c r="B261" s="1456"/>
      <c r="C261" s="1456"/>
      <c r="D261" s="1456"/>
      <c r="E261" s="1456"/>
      <c r="F261" s="1456"/>
      <c r="G261" s="1456"/>
      <c r="H261" s="1456"/>
      <c r="I261" s="96">
        <f>SUMIF(H15:H245,"SB(esa)",I15:I245)</f>
        <v>6.5</v>
      </c>
      <c r="J261" s="253">
        <f>SUMIF(H15:H245,"SB(esa)",J15:J245)</f>
        <v>7.3</v>
      </c>
      <c r="K261" s="254">
        <f>SUMIF(H15:H245,"SB(esa)",K15:K245)</f>
        <v>0</v>
      </c>
      <c r="L261" s="252">
        <f>SUMIF(H15:H245,"SB(esa)",L15:L245)</f>
        <v>0</v>
      </c>
      <c r="M261" s="145"/>
      <c r="N261" s="145"/>
      <c r="O261" s="145"/>
      <c r="P261" s="145"/>
      <c r="Q261" s="145"/>
    </row>
    <row r="262" spans="1:22" s="1" customFormat="1" ht="15.75" customHeight="1" x14ac:dyDescent="0.25">
      <c r="A262" s="1414" t="s">
        <v>73</v>
      </c>
      <c r="B262" s="1415"/>
      <c r="C262" s="1415"/>
      <c r="D262" s="1415"/>
      <c r="E262" s="1415"/>
      <c r="F262" s="1415"/>
      <c r="G262" s="1416"/>
      <c r="H262" s="1416"/>
      <c r="I262" s="98">
        <f>SUMIF(H14:H245,"sb(sp)",I14:I245)</f>
        <v>1770.3</v>
      </c>
      <c r="J262" s="255">
        <f>SUMIF(H14:H245,"sb(sp)",J14:J245)</f>
        <v>2708</v>
      </c>
      <c r="K262" s="256">
        <f>SUMIF(H14:H245,"sb(sp)",K14:K245)</f>
        <v>2710.9</v>
      </c>
      <c r="L262" s="257">
        <f>SUMIF(H14:H245,"sb(sp)",L14:L245)</f>
        <v>2717.9</v>
      </c>
      <c r="M262" s="146"/>
      <c r="N262" s="146"/>
      <c r="O262" s="146"/>
      <c r="P262" s="146"/>
      <c r="Q262" s="145"/>
    </row>
    <row r="263" spans="1:22" s="1" customFormat="1" ht="15" customHeight="1" x14ac:dyDescent="0.25">
      <c r="A263" s="1414" t="s">
        <v>74</v>
      </c>
      <c r="B263" s="1415"/>
      <c r="C263" s="1415"/>
      <c r="D263" s="1415"/>
      <c r="E263" s="1415"/>
      <c r="F263" s="1415"/>
      <c r="G263" s="1416"/>
      <c r="H263" s="1416"/>
      <c r="I263" s="96">
        <f>SUMIF(H14:H245,"sb(vb)",I14:I245)</f>
        <v>10008.499999999998</v>
      </c>
      <c r="J263" s="253">
        <f>SUMIF(H14:H245,"sb(vb)",J14:J245)</f>
        <v>11331.699999999997</v>
      </c>
      <c r="K263" s="254">
        <f>SUMIF(H14:H245,"sb(vb)",K14:K245)</f>
        <v>10001.4</v>
      </c>
      <c r="L263" s="252">
        <f>SUMIF(H14:H245,"sb(vb)",L14:L245)</f>
        <v>10001.4</v>
      </c>
      <c r="M263" s="146"/>
      <c r="N263" s="146"/>
      <c r="O263" s="146"/>
      <c r="P263" s="146"/>
      <c r="Q263" s="145"/>
    </row>
    <row r="264" spans="1:22" s="1" customFormat="1" ht="15.75" customHeight="1" x14ac:dyDescent="0.25">
      <c r="A264" s="1417" t="s">
        <v>110</v>
      </c>
      <c r="B264" s="1418"/>
      <c r="C264" s="1418"/>
      <c r="D264" s="1418"/>
      <c r="E264" s="1418"/>
      <c r="F264" s="1418"/>
      <c r="G264" s="1419"/>
      <c r="H264" s="1419"/>
      <c r="I264" s="97">
        <f>SUMIF(H14:H245,"sb(l)",I14:I245)</f>
        <v>940.79999999999984</v>
      </c>
      <c r="J264" s="271">
        <f>SUMIF(H14:H245,"sb(l)",J14:J245)</f>
        <v>155.69999999999999</v>
      </c>
      <c r="K264" s="287">
        <f>SUMIF(H14:H245,"sb(l)",K14:K245)</f>
        <v>0</v>
      </c>
      <c r="L264" s="279">
        <f>SUMIF(H14:H245,"sb(l)",L14:L245)</f>
        <v>0</v>
      </c>
      <c r="M264" s="146"/>
      <c r="N264" s="146"/>
      <c r="O264" s="146"/>
      <c r="P264" s="146"/>
      <c r="Q264" s="146"/>
    </row>
    <row r="265" spans="1:22" s="1" customFormat="1" ht="15.75" customHeight="1" x14ac:dyDescent="0.25">
      <c r="A265" s="1420" t="s">
        <v>181</v>
      </c>
      <c r="B265" s="1421"/>
      <c r="C265" s="1421"/>
      <c r="D265" s="1421"/>
      <c r="E265" s="1421"/>
      <c r="F265" s="1421"/>
      <c r="G265" s="1421"/>
      <c r="H265" s="1421"/>
      <c r="I265" s="97">
        <f>SUMIF(H14:H245,"sb(spl)",I14:I245)</f>
        <v>388.79999999999995</v>
      </c>
      <c r="J265" s="271">
        <f>SUMIF(H14:H245,"sb(spl)",J14:J245)</f>
        <v>335.5</v>
      </c>
      <c r="K265" s="287">
        <f>SUMIF(H14:H245,"sb(spl)",K14:K245)</f>
        <v>0</v>
      </c>
      <c r="L265" s="279">
        <f>SUMIF(H14:H245,"sb(spl)",L14:L245)</f>
        <v>0</v>
      </c>
      <c r="M265" s="146"/>
      <c r="N265" s="146"/>
      <c r="O265" s="146"/>
      <c r="P265" s="146"/>
      <c r="Q265" s="146"/>
    </row>
    <row r="266" spans="1:22" s="1" customFormat="1" ht="15.75" customHeight="1" x14ac:dyDescent="0.25">
      <c r="A266" s="1417" t="s">
        <v>155</v>
      </c>
      <c r="B266" s="1418"/>
      <c r="C266" s="1418"/>
      <c r="D266" s="1418"/>
      <c r="E266" s="1418"/>
      <c r="F266" s="1418"/>
      <c r="G266" s="1419"/>
      <c r="H266" s="1419"/>
      <c r="I266" s="97">
        <f>SUMIF(H14:H245,"sb(vbl)",I14:I245)</f>
        <v>0.5</v>
      </c>
      <c r="J266" s="271">
        <f>SUMIF(H14:H245,"sb(vbl)",J14:J245)</f>
        <v>4</v>
      </c>
      <c r="K266" s="287">
        <f>SUMIF(H14:H245,"sb(vbl)",K14:K245)</f>
        <v>0</v>
      </c>
      <c r="L266" s="279">
        <f>SUMIF(H14:H245,"sb(vbl)",L14:L245)</f>
        <v>0</v>
      </c>
      <c r="M266" s="145"/>
      <c r="N266" s="145"/>
      <c r="O266" s="145"/>
      <c r="P266" s="145"/>
      <c r="Q266" s="145"/>
    </row>
    <row r="267" spans="1:22" s="1" customFormat="1" ht="17.649999999999999" customHeight="1" x14ac:dyDescent="0.25">
      <c r="A267" s="1420" t="s">
        <v>303</v>
      </c>
      <c r="B267" s="1421"/>
      <c r="C267" s="1421"/>
      <c r="D267" s="1421"/>
      <c r="E267" s="1421"/>
      <c r="F267" s="1421"/>
      <c r="G267" s="1421"/>
      <c r="H267" s="1421"/>
      <c r="I267" s="97">
        <f>SUMIF(H14:H245,"sb(fl)",I14:I245)</f>
        <v>27</v>
      </c>
      <c r="J267" s="271">
        <f>SUMIF(H14:H245,"sb(fl)",J14:J245)</f>
        <v>141.4</v>
      </c>
      <c r="K267" s="287">
        <f>SUMIF(H14:H245,"sb(fl)",K14:K245)</f>
        <v>342.2</v>
      </c>
      <c r="L267" s="279">
        <f>SUMIF(H14:H245,"sb(fl)",L14:L245)</f>
        <v>500</v>
      </c>
      <c r="M267" s="146"/>
      <c r="N267" s="146"/>
      <c r="O267" s="146"/>
      <c r="P267" s="146"/>
      <c r="Q267" s="146"/>
    </row>
    <row r="268" spans="1:22" s="1" customFormat="1" ht="15.75" customHeight="1" thickBot="1" x14ac:dyDescent="0.3">
      <c r="A268" s="1466" t="s">
        <v>156</v>
      </c>
      <c r="B268" s="1467"/>
      <c r="C268" s="1467"/>
      <c r="D268" s="1467"/>
      <c r="E268" s="1467"/>
      <c r="F268" s="1467"/>
      <c r="G268" s="1468"/>
      <c r="H268" s="1468"/>
      <c r="I268" s="118">
        <f>SUMIF(H14:H245,"sb(esl)",I14:I245)</f>
        <v>459.2</v>
      </c>
      <c r="J268" s="272">
        <f>SUMIF(H14:H245,"sb(esl)",J14:J245)</f>
        <v>86.899999999999991</v>
      </c>
      <c r="K268" s="288">
        <f>SUMIF(H14:H245,"sb(esl)",K14:K245)</f>
        <v>0</v>
      </c>
      <c r="L268" s="280">
        <f>SUMIF(H14:H245,"sb(esl)",L14:L245)</f>
        <v>0</v>
      </c>
      <c r="M268" s="145"/>
      <c r="N268" s="145"/>
      <c r="O268" s="145"/>
      <c r="P268" s="145"/>
      <c r="Q268" s="145"/>
    </row>
    <row r="269" spans="1:22" s="1" customFormat="1" ht="15.75" customHeight="1" thickBot="1" x14ac:dyDescent="0.3">
      <c r="A269" s="1469" t="s">
        <v>75</v>
      </c>
      <c r="B269" s="1470"/>
      <c r="C269" s="1470"/>
      <c r="D269" s="1470"/>
      <c r="E269" s="1470"/>
      <c r="F269" s="1470"/>
      <c r="G269" s="1471"/>
      <c r="H269" s="1471"/>
      <c r="I269" s="91">
        <f>SUM(I270:I272)</f>
        <v>37961.599999999999</v>
      </c>
      <c r="J269" s="273">
        <f t="shared" ref="J269:L269" si="25">SUM(J270:J272)</f>
        <v>40988.099999999991</v>
      </c>
      <c r="K269" s="289">
        <f t="shared" si="25"/>
        <v>42678.299999999988</v>
      </c>
      <c r="L269" s="281">
        <f t="shared" si="25"/>
        <v>44990.19999999999</v>
      </c>
      <c r="M269" s="145"/>
      <c r="N269" s="145"/>
      <c r="O269" s="145"/>
      <c r="P269" s="145"/>
      <c r="Q269" s="145"/>
    </row>
    <row r="270" spans="1:22" s="1" customFormat="1" ht="15.75" customHeight="1" x14ac:dyDescent="0.25">
      <c r="A270" s="1414" t="s">
        <v>98</v>
      </c>
      <c r="B270" s="1415"/>
      <c r="C270" s="1415"/>
      <c r="D270" s="1415"/>
      <c r="E270" s="1415"/>
      <c r="F270" s="1415"/>
      <c r="G270" s="1416"/>
      <c r="H270" s="1416"/>
      <c r="I270" s="119">
        <f>SUMIF(H13:H245,"es",I13:I245)</f>
        <v>0</v>
      </c>
      <c r="J270" s="274">
        <f>SUMIF(H13:H245,"es",J13:J245)</f>
        <v>0</v>
      </c>
      <c r="K270" s="290">
        <f>SUMIF(H13:H245,"es",K13:K245)</f>
        <v>1740.2</v>
      </c>
      <c r="L270" s="282">
        <f>SUMIF(H13:H245,"es",L13:L245)</f>
        <v>4052.1000000000004</v>
      </c>
      <c r="M270" s="31"/>
      <c r="N270" s="31"/>
      <c r="O270" s="31"/>
      <c r="P270" s="31"/>
      <c r="Q270" s="143"/>
    </row>
    <row r="271" spans="1:22" s="1" customFormat="1" ht="15.75" customHeight="1" x14ac:dyDescent="0.25">
      <c r="A271" s="1463" t="s">
        <v>76</v>
      </c>
      <c r="B271" s="1464"/>
      <c r="C271" s="1464"/>
      <c r="D271" s="1464"/>
      <c r="E271" s="1464"/>
      <c r="F271" s="1464"/>
      <c r="G271" s="1465"/>
      <c r="H271" s="1465"/>
      <c r="I271" s="98">
        <f>SUMIF(H14:H245,"lrvb",I14:I245)</f>
        <v>37955.599999999999</v>
      </c>
      <c r="J271" s="255">
        <f>SUMIF(H14:H245,"lrvb",J14:J245)</f>
        <v>40982.099999999991</v>
      </c>
      <c r="K271" s="256">
        <f>SUMIF(H14:H245,"lrvb",K14:K245)</f>
        <v>40932.099999999991</v>
      </c>
      <c r="L271" s="257">
        <f>SUMIF(H14:H245,"lrvb",L14:L245)</f>
        <v>40932.099999999991</v>
      </c>
      <c r="M271" s="24"/>
      <c r="N271" s="24"/>
      <c r="O271" s="24"/>
      <c r="P271" s="24"/>
      <c r="Q271" s="145"/>
    </row>
    <row r="272" spans="1:22" s="1" customFormat="1" ht="15.75" customHeight="1" thickBot="1" x14ac:dyDescent="0.3">
      <c r="A272" s="1446" t="s">
        <v>177</v>
      </c>
      <c r="B272" s="1447"/>
      <c r="C272" s="1447"/>
      <c r="D272" s="1447"/>
      <c r="E272" s="1447"/>
      <c r="F272" s="1447"/>
      <c r="G272" s="1448"/>
      <c r="H272" s="1448"/>
      <c r="I272" s="99">
        <f>SUMIF(H14:H245,"kt",I14:I245)</f>
        <v>6</v>
      </c>
      <c r="J272" s="275">
        <f>SUMIF(H14:H245,"kt",J14:J245)</f>
        <v>6</v>
      </c>
      <c r="K272" s="291">
        <f>SUMIF(H14:H245,"kt",K14:K245)</f>
        <v>6</v>
      </c>
      <c r="L272" s="283">
        <f>SUMIF(H14:H245,"kt",L14:L245)</f>
        <v>6</v>
      </c>
      <c r="M272" s="24"/>
      <c r="N272" s="24"/>
      <c r="O272" s="24"/>
      <c r="P272" s="24"/>
      <c r="Q272" s="145"/>
    </row>
    <row r="273" spans="1:17" s="1" customFormat="1" ht="15.75" customHeight="1" thickBot="1" x14ac:dyDescent="0.3">
      <c r="A273" s="1449" t="s">
        <v>77</v>
      </c>
      <c r="B273" s="1450"/>
      <c r="C273" s="1450"/>
      <c r="D273" s="1450"/>
      <c r="E273" s="1450"/>
      <c r="F273" s="1450"/>
      <c r="G273" s="1451"/>
      <c r="H273" s="1451"/>
      <c r="I273" s="120">
        <f>I255+I269</f>
        <v>64591.399999999994</v>
      </c>
      <c r="J273" s="276">
        <f t="shared" ref="J273:L273" si="26">J255+J269</f>
        <v>71617.599999999991</v>
      </c>
      <c r="K273" s="292">
        <f t="shared" si="26"/>
        <v>71215.299999999988</v>
      </c>
      <c r="L273" s="284">
        <f t="shared" si="26"/>
        <v>73931</v>
      </c>
      <c r="M273" s="30"/>
      <c r="N273" s="30"/>
      <c r="O273" s="30"/>
      <c r="P273" s="30"/>
      <c r="Q273" s="143"/>
    </row>
    <row r="274" spans="1:17" x14ac:dyDescent="0.25">
      <c r="G274" s="1715"/>
      <c r="H274" s="1445"/>
      <c r="I274" s="1445"/>
      <c r="J274" s="1445"/>
      <c r="K274" s="1445"/>
      <c r="L274" s="1445"/>
    </row>
    <row r="275" spans="1:17" x14ac:dyDescent="0.25">
      <c r="G275" s="1097"/>
      <c r="H275" s="1096"/>
      <c r="I275" s="1096"/>
      <c r="J275" s="1096"/>
      <c r="K275" s="1096"/>
      <c r="L275" s="1098">
        <f>+L249-L273</f>
        <v>0</v>
      </c>
      <c r="M275" s="374"/>
      <c r="N275" s="374"/>
      <c r="O275" s="374"/>
      <c r="P275" s="374"/>
    </row>
    <row r="276" spans="1:17" x14ac:dyDescent="0.25">
      <c r="L276" s="160"/>
      <c r="M276" s="374"/>
      <c r="N276" s="374"/>
      <c r="O276" s="374"/>
      <c r="P276" s="374"/>
    </row>
    <row r="277" spans="1:17" x14ac:dyDescent="0.25">
      <c r="H277" s="375"/>
      <c r="I277" s="375"/>
      <c r="J277" s="375"/>
      <c r="K277" s="375"/>
      <c r="L277" s="56"/>
      <c r="M277" s="144"/>
      <c r="N277" s="144"/>
      <c r="O277" s="144"/>
      <c r="P277" s="144"/>
    </row>
    <row r="278" spans="1:17" x14ac:dyDescent="0.25">
      <c r="L278" s="160"/>
      <c r="M278" s="374"/>
      <c r="N278" s="374"/>
      <c r="O278" s="374"/>
      <c r="P278" s="374"/>
    </row>
    <row r="279" spans="1:17" x14ac:dyDescent="0.25">
      <c r="L279" s="160"/>
      <c r="M279" s="374" t="s">
        <v>176</v>
      </c>
      <c r="N279" s="374"/>
      <c r="O279" s="374"/>
      <c r="P279" s="374"/>
    </row>
    <row r="281" spans="1:17" x14ac:dyDescent="0.25">
      <c r="L281" s="161"/>
    </row>
  </sheetData>
  <mergeCells count="270">
    <mergeCell ref="A273:H273"/>
    <mergeCell ref="G274:L274"/>
    <mergeCell ref="A267:H267"/>
    <mergeCell ref="A268:H268"/>
    <mergeCell ref="A269:H269"/>
    <mergeCell ref="A270:H270"/>
    <mergeCell ref="A271:H271"/>
    <mergeCell ref="A272:H272"/>
    <mergeCell ref="A261:H261"/>
    <mergeCell ref="A262:H262"/>
    <mergeCell ref="A263:H263"/>
    <mergeCell ref="A264:H264"/>
    <mergeCell ref="A265:H265"/>
    <mergeCell ref="A266:H266"/>
    <mergeCell ref="A255:H255"/>
    <mergeCell ref="A256:H256"/>
    <mergeCell ref="A257:H257"/>
    <mergeCell ref="A258:H258"/>
    <mergeCell ref="A259:H259"/>
    <mergeCell ref="A260:H260"/>
    <mergeCell ref="B249:H249"/>
    <mergeCell ref="M249:Q249"/>
    <mergeCell ref="A250:Q250"/>
    <mergeCell ref="A252:L252"/>
    <mergeCell ref="A253:L253"/>
    <mergeCell ref="A254:H254"/>
    <mergeCell ref="E241:E243"/>
    <mergeCell ref="M241:M243"/>
    <mergeCell ref="E245:E246"/>
    <mergeCell ref="C247:H247"/>
    <mergeCell ref="M247:Q247"/>
    <mergeCell ref="C248:H248"/>
    <mergeCell ref="M248:Q248"/>
    <mergeCell ref="E232:E233"/>
    <mergeCell ref="E234:E235"/>
    <mergeCell ref="M234:M235"/>
    <mergeCell ref="E236:E237"/>
    <mergeCell ref="M236:M237"/>
    <mergeCell ref="E238:E239"/>
    <mergeCell ref="M238:M239"/>
    <mergeCell ref="E225:E227"/>
    <mergeCell ref="G225:G227"/>
    <mergeCell ref="M225:M227"/>
    <mergeCell ref="E228:H228"/>
    <mergeCell ref="E229:E231"/>
    <mergeCell ref="G229:G231"/>
    <mergeCell ref="E214:E218"/>
    <mergeCell ref="F217:F218"/>
    <mergeCell ref="E219:E224"/>
    <mergeCell ref="F219:F220"/>
    <mergeCell ref="G219:G220"/>
    <mergeCell ref="M220:M224"/>
    <mergeCell ref="F222:F224"/>
    <mergeCell ref="N209:N210"/>
    <mergeCell ref="P209:P210"/>
    <mergeCell ref="E210:H210"/>
    <mergeCell ref="C211:H211"/>
    <mergeCell ref="M211:Q211"/>
    <mergeCell ref="C212:Q212"/>
    <mergeCell ref="E201:E203"/>
    <mergeCell ref="G201:G203"/>
    <mergeCell ref="M202:M203"/>
    <mergeCell ref="E206:E208"/>
    <mergeCell ref="G207:G208"/>
    <mergeCell ref="D209:D210"/>
    <mergeCell ref="M209:M210"/>
    <mergeCell ref="C192:Q192"/>
    <mergeCell ref="E194:E197"/>
    <mergeCell ref="G194:G197"/>
    <mergeCell ref="D198:D200"/>
    <mergeCell ref="E198:E200"/>
    <mergeCell ref="G198:G200"/>
    <mergeCell ref="F199:F200"/>
    <mergeCell ref="H185:H186"/>
    <mergeCell ref="I185:I186"/>
    <mergeCell ref="L185:L186"/>
    <mergeCell ref="M189:M190"/>
    <mergeCell ref="C191:H191"/>
    <mergeCell ref="M191:Q191"/>
    <mergeCell ref="A185:A190"/>
    <mergeCell ref="B185:B190"/>
    <mergeCell ref="C185:C190"/>
    <mergeCell ref="E185:E190"/>
    <mergeCell ref="F185:F190"/>
    <mergeCell ref="G185:G187"/>
    <mergeCell ref="A180:A184"/>
    <mergeCell ref="B180:B184"/>
    <mergeCell ref="C180:C184"/>
    <mergeCell ref="E180:E184"/>
    <mergeCell ref="F180:F184"/>
    <mergeCell ref="G180:G182"/>
    <mergeCell ref="G171:G174"/>
    <mergeCell ref="M171:M172"/>
    <mergeCell ref="M176:M177"/>
    <mergeCell ref="N176:N177"/>
    <mergeCell ref="Q176:Q177"/>
    <mergeCell ref="E178:E179"/>
    <mergeCell ref="G178:G179"/>
    <mergeCell ref="M178:M179"/>
    <mergeCell ref="R160:T162"/>
    <mergeCell ref="E163:E164"/>
    <mergeCell ref="G163:G165"/>
    <mergeCell ref="M165:M166"/>
    <mergeCell ref="A167:A169"/>
    <mergeCell ref="B167:B169"/>
    <mergeCell ref="E167:E169"/>
    <mergeCell ref="M167:M169"/>
    <mergeCell ref="N157:N158"/>
    <mergeCell ref="O157:O158"/>
    <mergeCell ref="P157:P158"/>
    <mergeCell ref="Q157:Q158"/>
    <mergeCell ref="E160:E162"/>
    <mergeCell ref="M160:M162"/>
    <mergeCell ref="E155:E156"/>
    <mergeCell ref="M155:M156"/>
    <mergeCell ref="D157:D158"/>
    <mergeCell ref="E157:E158"/>
    <mergeCell ref="F157:F158"/>
    <mergeCell ref="M157:M158"/>
    <mergeCell ref="E152:E154"/>
    <mergeCell ref="M152:M153"/>
    <mergeCell ref="N152:N153"/>
    <mergeCell ref="O152:O153"/>
    <mergeCell ref="P152:P153"/>
    <mergeCell ref="Q152:Q153"/>
    <mergeCell ref="M143:M144"/>
    <mergeCell ref="N143:N144"/>
    <mergeCell ref="R143:T144"/>
    <mergeCell ref="E147:E148"/>
    <mergeCell ref="E150:E151"/>
    <mergeCell ref="M150:M151"/>
    <mergeCell ref="G136:G140"/>
    <mergeCell ref="E141:H141"/>
    <mergeCell ref="A142:A143"/>
    <mergeCell ref="B142:B143"/>
    <mergeCell ref="C142:C143"/>
    <mergeCell ref="G142:G143"/>
    <mergeCell ref="E143:E144"/>
    <mergeCell ref="E129:E135"/>
    <mergeCell ref="M129:M130"/>
    <mergeCell ref="N129:N130"/>
    <mergeCell ref="O129:O130"/>
    <mergeCell ref="P129:P130"/>
    <mergeCell ref="Q129:Q130"/>
    <mergeCell ref="M131:M134"/>
    <mergeCell ref="E111:E112"/>
    <mergeCell ref="R111:T111"/>
    <mergeCell ref="E113:E114"/>
    <mergeCell ref="E115:E120"/>
    <mergeCell ref="M116:M117"/>
    <mergeCell ref="E121:E128"/>
    <mergeCell ref="M121:M123"/>
    <mergeCell ref="N121:N122"/>
    <mergeCell ref="R121:T123"/>
    <mergeCell ref="M124:M126"/>
    <mergeCell ref="F82:F83"/>
    <mergeCell ref="E87:E88"/>
    <mergeCell ref="M87:M88"/>
    <mergeCell ref="E97:E102"/>
    <mergeCell ref="M98:M99"/>
    <mergeCell ref="A108:A110"/>
    <mergeCell ref="B108:B110"/>
    <mergeCell ref="C108:C110"/>
    <mergeCell ref="E108:E110"/>
    <mergeCell ref="F108:F110"/>
    <mergeCell ref="P72:P73"/>
    <mergeCell ref="Q72:Q73"/>
    <mergeCell ref="R74:T75"/>
    <mergeCell ref="G76:G80"/>
    <mergeCell ref="E78:E79"/>
    <mergeCell ref="M78:M79"/>
    <mergeCell ref="M80:M81"/>
    <mergeCell ref="R80:T80"/>
    <mergeCell ref="C68:H68"/>
    <mergeCell ref="M68:Q68"/>
    <mergeCell ref="C69:Q69"/>
    <mergeCell ref="E70:E71"/>
    <mergeCell ref="F70:F76"/>
    <mergeCell ref="G70:G75"/>
    <mergeCell ref="E72:E76"/>
    <mergeCell ref="M72:M73"/>
    <mergeCell ref="N72:N73"/>
    <mergeCell ref="O72:O73"/>
    <mergeCell ref="Q64:Q65"/>
    <mergeCell ref="A66:A67"/>
    <mergeCell ref="B66:B67"/>
    <mergeCell ref="C66:C67"/>
    <mergeCell ref="E66:E67"/>
    <mergeCell ref="G66:G67"/>
    <mergeCell ref="M66:M67"/>
    <mergeCell ref="F64:F65"/>
    <mergeCell ref="G64:G65"/>
    <mergeCell ref="M64:M65"/>
    <mergeCell ref="N64:N65"/>
    <mergeCell ref="O64:O65"/>
    <mergeCell ref="P64:P65"/>
    <mergeCell ref="A60:A63"/>
    <mergeCell ref="B60:B63"/>
    <mergeCell ref="C60:C63"/>
    <mergeCell ref="E60:E63"/>
    <mergeCell ref="A64:A65"/>
    <mergeCell ref="B64:B65"/>
    <mergeCell ref="C64:C65"/>
    <mergeCell ref="D64:D65"/>
    <mergeCell ref="E64:E65"/>
    <mergeCell ref="E55:E56"/>
    <mergeCell ref="G55:G56"/>
    <mergeCell ref="M55:M56"/>
    <mergeCell ref="A57:A59"/>
    <mergeCell ref="B57:B59"/>
    <mergeCell ref="C57:C59"/>
    <mergeCell ref="E57:E59"/>
    <mergeCell ref="G57:G59"/>
    <mergeCell ref="M57:M59"/>
    <mergeCell ref="N46:N49"/>
    <mergeCell ref="Q46:Q49"/>
    <mergeCell ref="F52:H52"/>
    <mergeCell ref="A53:A54"/>
    <mergeCell ref="B53:B54"/>
    <mergeCell ref="C53:C54"/>
    <mergeCell ref="E53:E54"/>
    <mergeCell ref="F53:F54"/>
    <mergeCell ref="A40:A43"/>
    <mergeCell ref="B40:B43"/>
    <mergeCell ref="E40:E44"/>
    <mergeCell ref="M40:M43"/>
    <mergeCell ref="E45:E49"/>
    <mergeCell ref="M46:M49"/>
    <mergeCell ref="E35:E36"/>
    <mergeCell ref="M35:M36"/>
    <mergeCell ref="A37:A39"/>
    <mergeCell ref="B37:B39"/>
    <mergeCell ref="E37:E39"/>
    <mergeCell ref="M37:M38"/>
    <mergeCell ref="E21:E24"/>
    <mergeCell ref="M23:M24"/>
    <mergeCell ref="F26:F27"/>
    <mergeCell ref="M30:M32"/>
    <mergeCell ref="E33:E34"/>
    <mergeCell ref="M33:M34"/>
    <mergeCell ref="A11:Q11"/>
    <mergeCell ref="B12:Q12"/>
    <mergeCell ref="C13:Q13"/>
    <mergeCell ref="E14:E19"/>
    <mergeCell ref="G14:G16"/>
    <mergeCell ref="M14:M15"/>
    <mergeCell ref="M16:M18"/>
    <mergeCell ref="M19:M20"/>
    <mergeCell ref="L7:L9"/>
    <mergeCell ref="M7:Q7"/>
    <mergeCell ref="M8:M9"/>
    <mergeCell ref="N8:N9"/>
    <mergeCell ref="O8:Q8"/>
    <mergeCell ref="A10:Q10"/>
    <mergeCell ref="F7:F9"/>
    <mergeCell ref="G7:G9"/>
    <mergeCell ref="H7:H9"/>
    <mergeCell ref="I7:I9"/>
    <mergeCell ref="J7:J9"/>
    <mergeCell ref="K7:K9"/>
    <mergeCell ref="G1:Q1"/>
    <mergeCell ref="A3:Q3"/>
    <mergeCell ref="A4:Q4"/>
    <mergeCell ref="A5:Q5"/>
    <mergeCell ref="A6:Q6"/>
    <mergeCell ref="A7:A9"/>
    <mergeCell ref="B7:B9"/>
    <mergeCell ref="C7:C9"/>
    <mergeCell ref="D7:D9"/>
    <mergeCell ref="E7:E9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rowBreaks count="6" manualBreakCount="6">
    <brk id="44" max="16" man="1"/>
    <brk id="86" max="16" man="1"/>
    <brk id="120" max="16" man="1"/>
    <brk id="158" max="16" man="1"/>
    <brk id="203" max="16" man="1"/>
    <brk id="24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12 programa</vt:lpstr>
      <vt:lpstr>Aiškinamoji lentelė</vt:lpstr>
      <vt:lpstr>'12 programa'!Print_Area</vt:lpstr>
      <vt:lpstr>'Aiškinamoji lentelė'!Print_Area</vt:lpstr>
      <vt:lpstr>'12 programa'!Print_Titles</vt:lpstr>
      <vt:lpstr>'Aiškinamoji lentelė'!Print_Titles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Asta Česnauskienė</cp:lastModifiedBy>
  <cp:lastPrinted>2022-01-23T17:20:52Z</cp:lastPrinted>
  <dcterms:created xsi:type="dcterms:W3CDTF">2015-11-25T08:56:30Z</dcterms:created>
  <dcterms:modified xsi:type="dcterms:W3CDTF">2022-02-21T06:37:09Z</dcterms:modified>
</cp:coreProperties>
</file>