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A.Cesnauskiene\Desktop\"/>
    </mc:Choice>
  </mc:AlternateContent>
  <bookViews>
    <workbookView xWindow="-120" yWindow="-120" windowWidth="24240" windowHeight="12270"/>
  </bookViews>
  <sheets>
    <sheet name="4 programa" sheetId="9" r:id="rId1"/>
    <sheet name="Aiškinamoji lentelė" sheetId="11" state="hidden" r:id="rId2"/>
  </sheets>
  <definedNames>
    <definedName name="_xlnm.Print_Area" localSheetId="0">'4 programa'!$A$1:$M$147</definedName>
    <definedName name="_xlnm.Print_Area" localSheetId="1">'Aiškinamoji lentelė'!$A$1:$Q$193</definedName>
    <definedName name="_xlnm.Print_Titles" localSheetId="0">'4 programa'!$8:$10</definedName>
    <definedName name="_xlnm.Print_Titles" localSheetId="1">'Aiškinamoji lentelė'!$7:$9</definedName>
  </definedNames>
  <calcPr calcId="162913"/>
</workbook>
</file>

<file path=xl/calcChain.xml><?xml version="1.0" encoding="utf-8"?>
<calcChain xmlns="http://schemas.openxmlformats.org/spreadsheetml/2006/main">
  <c r="Q90" i="9" l="1"/>
  <c r="H89" i="9"/>
  <c r="G121" i="9" l="1"/>
  <c r="I120" i="9"/>
  <c r="I121" i="9" s="1"/>
  <c r="H120" i="9"/>
  <c r="H121" i="9" s="1"/>
  <c r="G120" i="9"/>
  <c r="G35" i="9" l="1"/>
  <c r="G86" i="9" l="1"/>
  <c r="G78" i="9"/>
  <c r="G66" i="9"/>
  <c r="I63" i="9"/>
  <c r="H63" i="9"/>
  <c r="G63" i="9"/>
  <c r="G51" i="9"/>
  <c r="G45" i="9"/>
  <c r="I35" i="9"/>
  <c r="H35" i="9"/>
  <c r="G26" i="9"/>
  <c r="G23" i="9"/>
  <c r="R27" i="9" l="1"/>
  <c r="Q27" i="9"/>
  <c r="P27" i="9"/>
  <c r="R32" i="9" l="1"/>
  <c r="Q32" i="9"/>
  <c r="P32" i="9"/>
  <c r="I83" i="9"/>
  <c r="H83" i="9"/>
  <c r="G83" i="9"/>
  <c r="R79" i="9"/>
  <c r="Q79" i="9"/>
  <c r="P79" i="9"/>
  <c r="G48" i="9" l="1"/>
  <c r="R93" i="9"/>
  <c r="Q94" i="9"/>
  <c r="Q93" i="9"/>
  <c r="Q92" i="9"/>
  <c r="R90" i="9"/>
  <c r="P94" i="9"/>
  <c r="P93" i="9"/>
  <c r="P92" i="9"/>
  <c r="P91" i="9"/>
  <c r="P90" i="9"/>
  <c r="L188" i="11"/>
  <c r="K188" i="11"/>
  <c r="J188" i="11"/>
  <c r="I188" i="11"/>
  <c r="L187" i="11"/>
  <c r="K187" i="11"/>
  <c r="J187" i="11"/>
  <c r="I187" i="11"/>
  <c r="L186" i="11"/>
  <c r="K186" i="11"/>
  <c r="J186" i="11"/>
  <c r="I186" i="11"/>
  <c r="L185" i="11"/>
  <c r="K185" i="11"/>
  <c r="J185" i="11"/>
  <c r="J184" i="11" s="1"/>
  <c r="I185" i="11"/>
  <c r="I184" i="11" s="1"/>
  <c r="L184" i="11"/>
  <c r="K184" i="11"/>
  <c r="L183" i="11"/>
  <c r="K183" i="11"/>
  <c r="J183" i="11"/>
  <c r="I183" i="11"/>
  <c r="L182" i="11"/>
  <c r="K182" i="11"/>
  <c r="J182" i="11"/>
  <c r="I182" i="11"/>
  <c r="L181" i="11"/>
  <c r="K181" i="11"/>
  <c r="J181" i="11"/>
  <c r="L180" i="11"/>
  <c r="K180" i="11"/>
  <c r="J180" i="11"/>
  <c r="I180" i="11"/>
  <c r="L179" i="11"/>
  <c r="K179" i="11"/>
  <c r="J179" i="11"/>
  <c r="L178" i="11"/>
  <c r="K178" i="11"/>
  <c r="J178" i="11"/>
  <c r="I177" i="11"/>
  <c r="L176" i="11"/>
  <c r="K176" i="11"/>
  <c r="J176" i="11"/>
  <c r="I176" i="11"/>
  <c r="L175" i="11"/>
  <c r="K175" i="11"/>
  <c r="J175" i="11"/>
  <c r="I175" i="11"/>
  <c r="L174" i="11"/>
  <c r="K174" i="11"/>
  <c r="J174" i="11"/>
  <c r="I174" i="11"/>
  <c r="J173" i="11"/>
  <c r="L162" i="11"/>
  <c r="K162" i="11"/>
  <c r="J162" i="11"/>
  <c r="I162" i="11"/>
  <c r="L159" i="11"/>
  <c r="K159" i="11"/>
  <c r="J159" i="11"/>
  <c r="I159" i="11"/>
  <c r="I157" i="11"/>
  <c r="L154" i="11"/>
  <c r="K154" i="11"/>
  <c r="J154" i="11"/>
  <c r="I154" i="11"/>
  <c r="L152" i="11"/>
  <c r="K152" i="11"/>
  <c r="J152" i="11"/>
  <c r="I152" i="11"/>
  <c r="I149" i="11"/>
  <c r="L146" i="11"/>
  <c r="K146" i="11"/>
  <c r="I144" i="11"/>
  <c r="I146" i="11" s="1"/>
  <c r="L143" i="11"/>
  <c r="J143" i="11"/>
  <c r="I143" i="11"/>
  <c r="K140" i="11"/>
  <c r="K143" i="11" s="1"/>
  <c r="L139" i="11"/>
  <c r="K139" i="11"/>
  <c r="J139" i="11"/>
  <c r="I137" i="11"/>
  <c r="I139" i="11" s="1"/>
  <c r="L136" i="11"/>
  <c r="K136" i="11"/>
  <c r="J136" i="11"/>
  <c r="I134" i="11"/>
  <c r="I136" i="11" s="1"/>
  <c r="L133" i="11"/>
  <c r="K133" i="11"/>
  <c r="J133" i="11"/>
  <c r="I133" i="11"/>
  <c r="L130" i="11"/>
  <c r="J130" i="11"/>
  <c r="I130" i="11"/>
  <c r="K127" i="11"/>
  <c r="K130" i="11" s="1"/>
  <c r="L126" i="11"/>
  <c r="K126" i="11"/>
  <c r="J126" i="11"/>
  <c r="I126" i="11"/>
  <c r="I124" i="11"/>
  <c r="L123" i="11"/>
  <c r="K123" i="11"/>
  <c r="J123" i="11"/>
  <c r="I120" i="11"/>
  <c r="I123" i="11" s="1"/>
  <c r="L119" i="11"/>
  <c r="K119" i="11"/>
  <c r="J119" i="11"/>
  <c r="I116" i="11"/>
  <c r="L115" i="11"/>
  <c r="K115" i="11"/>
  <c r="J115" i="11"/>
  <c r="I112" i="11"/>
  <c r="I115" i="11" s="1"/>
  <c r="L108" i="11"/>
  <c r="K108" i="11"/>
  <c r="J108" i="11"/>
  <c r="I107" i="11"/>
  <c r="I108" i="11" s="1"/>
  <c r="L106" i="11"/>
  <c r="K106" i="11"/>
  <c r="J106" i="11"/>
  <c r="I105" i="11"/>
  <c r="I106" i="11" s="1"/>
  <c r="L104" i="11"/>
  <c r="K104" i="11"/>
  <c r="J104" i="11"/>
  <c r="I104" i="11"/>
  <c r="L102" i="11"/>
  <c r="K102" i="11"/>
  <c r="J102" i="11"/>
  <c r="I101" i="11"/>
  <c r="I102" i="11" s="1"/>
  <c r="L100" i="11"/>
  <c r="K100" i="11"/>
  <c r="J100" i="11"/>
  <c r="I100" i="11"/>
  <c r="L98" i="11"/>
  <c r="K98" i="11"/>
  <c r="J98" i="11"/>
  <c r="I98" i="11"/>
  <c r="L95" i="11"/>
  <c r="K95" i="11"/>
  <c r="J95" i="11"/>
  <c r="I92" i="11"/>
  <c r="I95" i="11" s="1"/>
  <c r="L89" i="11"/>
  <c r="K89" i="11"/>
  <c r="J89" i="11"/>
  <c r="I89" i="11"/>
  <c r="L84" i="11"/>
  <c r="K84" i="11"/>
  <c r="J84" i="11"/>
  <c r="I84" i="11"/>
  <c r="L80" i="11"/>
  <c r="K80" i="11"/>
  <c r="J80" i="11"/>
  <c r="I80" i="11"/>
  <c r="L77" i="11"/>
  <c r="K77" i="11"/>
  <c r="J77" i="11"/>
  <c r="I77" i="11"/>
  <c r="L74" i="11"/>
  <c r="K74" i="11"/>
  <c r="J74" i="11"/>
  <c r="I74" i="11"/>
  <c r="L63" i="11"/>
  <c r="K63" i="11"/>
  <c r="J63" i="11"/>
  <c r="I63" i="11"/>
  <c r="L61" i="11"/>
  <c r="K61" i="11"/>
  <c r="J61" i="11"/>
  <c r="I60" i="11"/>
  <c r="I61" i="11" s="1"/>
  <c r="I59" i="11"/>
  <c r="I179" i="11" s="1"/>
  <c r="L58" i="11"/>
  <c r="K58" i="11"/>
  <c r="J58" i="11"/>
  <c r="I58" i="11"/>
  <c r="L55" i="11"/>
  <c r="K55" i="11"/>
  <c r="J55" i="11"/>
  <c r="I55" i="11"/>
  <c r="L50" i="11"/>
  <c r="K50" i="11"/>
  <c r="J50" i="11"/>
  <c r="I50" i="11"/>
  <c r="L47" i="11"/>
  <c r="K47" i="11"/>
  <c r="J47" i="11"/>
  <c r="I47" i="11"/>
  <c r="L43" i="11"/>
  <c r="K43" i="11"/>
  <c r="J43" i="11"/>
  <c r="I43" i="11"/>
  <c r="L41" i="11"/>
  <c r="K41" i="11"/>
  <c r="J41" i="11"/>
  <c r="I41" i="11"/>
  <c r="L37" i="11"/>
  <c r="K37" i="11"/>
  <c r="J37" i="11"/>
  <c r="I28" i="11"/>
  <c r="L25" i="11"/>
  <c r="K25" i="11"/>
  <c r="J25" i="11"/>
  <c r="I25" i="11"/>
  <c r="J22" i="11"/>
  <c r="I22" i="11"/>
  <c r="L14" i="11"/>
  <c r="L22" i="11" s="1"/>
  <c r="K14" i="11"/>
  <c r="K22" i="11" s="1"/>
  <c r="I14" i="11"/>
  <c r="L109" i="11" l="1"/>
  <c r="J163" i="11"/>
  <c r="I109" i="11"/>
  <c r="I173" i="11"/>
  <c r="I172" i="11" s="1"/>
  <c r="I171" i="11" s="1"/>
  <c r="I189" i="11" s="1"/>
  <c r="I191" i="11" s="1"/>
  <c r="J64" i="11"/>
  <c r="L64" i="11"/>
  <c r="J109" i="11"/>
  <c r="I181" i="11"/>
  <c r="L163" i="11"/>
  <c r="K173" i="11"/>
  <c r="K172" i="11" s="1"/>
  <c r="K171" i="11" s="1"/>
  <c r="K189" i="11" s="1"/>
  <c r="J172" i="11"/>
  <c r="J171" i="11" s="1"/>
  <c r="J189" i="11" s="1"/>
  <c r="I178" i="11"/>
  <c r="K109" i="11"/>
  <c r="P95" i="9"/>
  <c r="R95" i="9"/>
  <c r="R96" i="9" s="1"/>
  <c r="I163" i="11"/>
  <c r="I164" i="11" s="1"/>
  <c r="I165" i="11" s="1"/>
  <c r="K163" i="11"/>
  <c r="J164" i="11"/>
  <c r="J165" i="11" s="1"/>
  <c r="K64" i="11"/>
  <c r="L164" i="11"/>
  <c r="L165" i="11" s="1"/>
  <c r="L173" i="11"/>
  <c r="L172" i="11" s="1"/>
  <c r="L171" i="11" s="1"/>
  <c r="L189" i="11" s="1"/>
  <c r="I37" i="11"/>
  <c r="I64" i="11" s="1"/>
  <c r="I119" i="11"/>
  <c r="K164" i="11" l="1"/>
  <c r="K165" i="11" s="1"/>
  <c r="H109" i="9" l="1"/>
  <c r="Q95" i="9" s="1"/>
  <c r="I86" i="9" l="1"/>
  <c r="H86" i="9"/>
  <c r="I53" i="9" l="1"/>
  <c r="H53" i="9"/>
  <c r="G53" i="9"/>
  <c r="I15" i="9" l="1"/>
  <c r="H15" i="9"/>
  <c r="H78" i="9" l="1"/>
  <c r="I78" i="9" l="1"/>
  <c r="G73" i="9"/>
  <c r="H73" i="9"/>
  <c r="I73" i="9"/>
  <c r="G69" i="9"/>
  <c r="H69" i="9"/>
  <c r="I69" i="9"/>
  <c r="H66" i="9"/>
  <c r="I66" i="9"/>
  <c r="H51" i="9"/>
  <c r="I51" i="9"/>
  <c r="H45" i="9"/>
  <c r="I45" i="9"/>
  <c r="G41" i="9"/>
  <c r="H41" i="9"/>
  <c r="I41" i="9"/>
  <c r="G39" i="9"/>
  <c r="H39" i="9"/>
  <c r="I39" i="9"/>
  <c r="H26" i="9"/>
  <c r="I26" i="9"/>
  <c r="I23" i="9"/>
  <c r="H23" i="9"/>
  <c r="I54" i="9" l="1"/>
  <c r="H54" i="9"/>
  <c r="G54" i="9"/>
  <c r="I87" i="9"/>
  <c r="H87" i="9"/>
  <c r="G87" i="9"/>
  <c r="Q96" i="9"/>
  <c r="I143" i="9"/>
  <c r="I142" i="9"/>
  <c r="I141" i="9"/>
  <c r="H143" i="9"/>
  <c r="H142" i="9"/>
  <c r="H141" i="9"/>
  <c r="G143" i="9"/>
  <c r="G142" i="9"/>
  <c r="G141" i="9"/>
  <c r="I140" i="9"/>
  <c r="H140" i="9"/>
  <c r="G140" i="9"/>
  <c r="I138" i="9"/>
  <c r="I137" i="9"/>
  <c r="I136" i="9"/>
  <c r="I135" i="9"/>
  <c r="I134" i="9"/>
  <c r="I132" i="9"/>
  <c r="I131" i="9"/>
  <c r="I130" i="9"/>
  <c r="H138" i="9"/>
  <c r="H137" i="9"/>
  <c r="H136" i="9"/>
  <c r="H135" i="9"/>
  <c r="H134" i="9"/>
  <c r="H132" i="9"/>
  <c r="H131" i="9"/>
  <c r="H130" i="9"/>
  <c r="G138" i="9"/>
  <c r="G137" i="9"/>
  <c r="G136" i="9"/>
  <c r="G135" i="9"/>
  <c r="G134" i="9"/>
  <c r="G132" i="9"/>
  <c r="G131" i="9"/>
  <c r="G130" i="9"/>
  <c r="P96" i="9" l="1"/>
  <c r="G122" i="9"/>
  <c r="G123" i="9" s="1"/>
  <c r="I122" i="9"/>
  <c r="I123" i="9" s="1"/>
  <c r="H122" i="9"/>
  <c r="H123" i="9" s="1"/>
  <c r="I139" i="9" l="1"/>
  <c r="H139" i="9"/>
  <c r="I129" i="9"/>
  <c r="I128" i="9" s="1"/>
  <c r="H129" i="9"/>
  <c r="H128" i="9" s="1"/>
  <c r="G129" i="9"/>
  <c r="G128" i="9" s="1"/>
  <c r="H144" i="9" l="1"/>
  <c r="I144" i="9"/>
  <c r="G139" i="9" l="1"/>
  <c r="G144" i="9" s="1"/>
</calcChain>
</file>

<file path=xl/comments1.xml><?xml version="1.0" encoding="utf-8"?>
<comments xmlns="http://schemas.openxmlformats.org/spreadsheetml/2006/main">
  <authors>
    <author>Asta Česnauskienė</author>
    <author>Snieguole Kacerauskaite</author>
  </authors>
  <commentLis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P-2.3.2.1
P-2.3.2.2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koeficientai dėl MMA ir BD bei dėl pasikeitusių koeficientų pagal stažus, planavimo vidurkiais (SVKN sumažėjo 9,25 et., VSB padidėjo 1,52 et.)
</t>
        </r>
      </text>
    </comment>
    <comment ref="E2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P-2.3.2.1
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6.2.1. Visuomenės sveikatos priežiūros paslaugas gaunančių asmenų skaičiaus didėjimas, proc.</t>
        </r>
      </text>
    </comment>
    <comment ref="E28" authorId="0" shapeId="0">
      <text>
        <r>
          <rPr>
            <sz val="9"/>
            <color indexed="81"/>
            <rFont val="Tahoma"/>
            <family val="2"/>
            <charset val="186"/>
          </rPr>
          <t>P-2.3.2.1</t>
        </r>
      </text>
    </comment>
    <comment ref="J34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76 (sienų ir lubų perdažymas, palangių sutvarkymas, radiatorių vamzdynų perdažymas, įbrėžimų ir įtrūkimų sutvarkymas)
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6.2. Visuomenės sveikatinimo paslaugų plėtojimas
</t>
        </r>
        <r>
          <rPr>
            <sz val="9"/>
            <color indexed="81"/>
            <rFont val="Tahoma"/>
            <family val="2"/>
            <charset val="186"/>
          </rPr>
          <t xml:space="preserve">6.2.2. Naujų tarpsektorinių programų ir iniciatyvų skaičius
</t>
        </r>
      </text>
    </comment>
    <comment ref="J44" authorId="0" shapeId="0">
      <text>
        <r>
          <rPr>
            <sz val="9"/>
            <color indexed="81"/>
            <rFont val="Tahoma"/>
            <family val="2"/>
            <charset val="186"/>
          </rPr>
          <t xml:space="preserve">Asmenys, dalyvavę lytiškai plintančių infekcijų, psichiką veikiančių medžiagų, alkoholio vartojimo prevencijos, depresijos prevencijos, seksualinio smurto prevencijos veiklose 
</t>
        </r>
      </text>
    </comment>
    <comment ref="E46" authorId="0" shapeId="0">
      <text>
        <r>
          <rPr>
            <sz val="9"/>
            <color indexed="81"/>
            <rFont val="Tahoma"/>
            <family val="2"/>
            <charset val="186"/>
          </rPr>
          <t xml:space="preserve">6.2. Visuomenės sveikatinimo paslaugų plėtojimas
6.2.2. Naujų tarpsektorinių programų ir iniciatyvų skaičius
</t>
        </r>
      </text>
    </comment>
    <comment ref="G46" authorId="0" shapeId="0">
      <text>
        <r>
          <rPr>
            <sz val="9"/>
            <color indexed="81"/>
            <rFont val="Tahoma"/>
            <family val="2"/>
            <charset val="186"/>
          </rPr>
          <t xml:space="preserve">projekto koordinatorių galutiniam darbo užmokesčiui
</t>
        </r>
      </text>
    </comment>
    <comment ref="E49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E56" authorId="1" shapeId="0">
      <text>
        <r>
          <rPr>
            <b/>
            <sz val="9"/>
            <color indexed="81"/>
            <rFont val="Tahoma"/>
            <family val="2"/>
            <charset val="186"/>
          </rPr>
          <t>6.1. Asmens sveikatos priežiūros įstaigų statuso stiprinimas</t>
        </r>
        <r>
          <rPr>
            <sz val="9"/>
            <color indexed="81"/>
            <rFont val="Tahoma"/>
            <family val="2"/>
            <charset val="186"/>
          </rPr>
          <t xml:space="preserve">
6.1.3. Kompleksines paslaugas sutrikusios raidos ir neįgaliems vaikams BĮ Klaipėdos sutrikusio vystymosi kūdikių namuose gaunančių asmenų skaičius per metus </t>
        </r>
      </text>
    </comment>
    <comment ref="E6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 
</t>
        </r>
      </text>
    </comment>
    <comment ref="E75" authorId="0" shapeId="0">
      <text>
        <r>
          <rPr>
            <sz val="9"/>
            <color indexed="81"/>
            <rFont val="Tahoma"/>
            <family val="2"/>
            <charset val="186"/>
          </rPr>
          <t>P-2.3.1.3</t>
        </r>
      </text>
    </comment>
    <comment ref="E7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J81" authorId="1" shapeId="0">
      <text>
        <r>
          <rPr>
            <sz val="9"/>
            <color indexed="81"/>
            <rFont val="Tahoma"/>
            <family val="2"/>
            <charset val="186"/>
          </rPr>
          <t xml:space="preserve">Priemoka specialistui prie atlyginimo
</t>
        </r>
      </text>
    </comment>
    <comment ref="E96" authorId="0" shapeId="0">
      <text>
        <r>
          <rPr>
            <sz val="9"/>
            <color indexed="81"/>
            <rFont val="Tahoma"/>
            <family val="2"/>
            <charset val="186"/>
          </rPr>
          <t>P-2.3.1.2.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E100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6.1.2. Poliklinikos statusą įgijusių savivaldybės sveikatos priežiūros centrų skaičius, vnt. 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E103" authorId="0" shapeId="0">
      <text>
        <r>
          <rPr>
            <sz val="9"/>
            <color indexed="81"/>
            <rFont val="Tahoma"/>
            <family val="2"/>
            <charset val="186"/>
          </rPr>
          <t>P-1.2.1.2
P-2.3.1.2</t>
        </r>
      </text>
    </comment>
    <comment ref="D109" authorId="1" shapeId="0">
      <text>
        <r>
          <rPr>
            <sz val="9"/>
            <color indexed="81"/>
            <rFont val="Tahoma"/>
            <family val="2"/>
            <charset val="186"/>
          </rPr>
          <t>BĮ Klaipėdos sutrikusio vystymosi kūdikių namų projektas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09" authorId="0" shapeId="0">
      <text>
        <r>
          <rPr>
            <sz val="9"/>
            <color indexed="81"/>
            <rFont val="Tahoma"/>
            <family val="2"/>
            <charset val="186"/>
          </rPr>
          <t xml:space="preserve">Sutvarkyti pastatai adresu Turistų g. 28, pritaikant juos kompleksinių paslaugų vaikams su negalia ir jų šeimoms centro veiklai
</t>
        </r>
      </text>
    </comment>
    <comment ref="E11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E11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</commentList>
</comments>
</file>

<file path=xl/comments2.xml><?xml version="1.0" encoding="utf-8"?>
<comments xmlns="http://schemas.openxmlformats.org/spreadsheetml/2006/main">
  <authors>
    <author>Asta Česnauskienė</author>
    <author>Snieguole Kacerauskaite</author>
  </authors>
  <commentList>
    <comment ref="F16" authorId="0" shapeId="0">
      <text>
        <r>
          <rPr>
            <sz val="9"/>
            <color indexed="81"/>
            <rFont val="Tahoma"/>
            <family val="2"/>
            <charset val="186"/>
          </rPr>
          <t>P-2.3.2.1
P-2.3.2.2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koeficientai dėl MMA ir BD bei dėl pasikeitusių koeficientų pagal stažus, planavimo vidurkiais (SVKN sumažėjo 9,25 et., VSB padidėjo 1,52 et.)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P-2.3.2.1
</t>
        </r>
      </text>
    </comment>
    <comment ref="F26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6.2.1. Visuomenės sveikatos priežiūros paslaugas gaunančių asmenų skaičiaus didėjimas, proc.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186"/>
          </rPr>
          <t>P-2.3.2.1</t>
        </r>
      </text>
    </comment>
    <comment ref="M36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76 (sienų ir lubų perdažymas, palangių sutvarkymas, radiatorių vamzdynų perdažymas, įbrėžimų ir įtrūkimų sutvarkymas)
</t>
        </r>
      </text>
    </comment>
    <comment ref="F38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6.2. Visuomenės sveikatinimo paslaugų plėtojimas
</t>
        </r>
        <r>
          <rPr>
            <sz val="9"/>
            <color indexed="81"/>
            <rFont val="Tahoma"/>
            <family val="2"/>
            <charset val="186"/>
          </rPr>
          <t xml:space="preserve">6.2.2. Naujų tarpsektorinių programų ir iniciatyvų skaičius
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48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M53" authorId="0" shapeId="0">
      <text>
        <r>
          <rPr>
            <sz val="9"/>
            <color indexed="81"/>
            <rFont val="Tahoma"/>
            <family val="2"/>
            <charset val="186"/>
          </rPr>
          <t xml:space="preserve">Asmenys, dalyvavę lytiškai plintančių infekcijų, psichiką veikiančių medžiagų, alkoholio vartojimo prevencijos, depresijos prevencijos, seksualinio smurto prevencijos veiklose 
</t>
        </r>
      </text>
    </comment>
    <comment ref="F56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J56" authorId="0" shapeId="0">
      <text>
        <r>
          <rPr>
            <sz val="9"/>
            <color indexed="81"/>
            <rFont val="Tahoma"/>
            <family val="2"/>
            <charset val="186"/>
          </rPr>
          <t xml:space="preserve">projekto koordinatorių galutiniam darbo užmokesčiui </t>
        </r>
      </text>
    </comment>
    <comment ref="F59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66" authorId="1" shapeId="0">
      <text>
        <r>
          <rPr>
            <b/>
            <sz val="9"/>
            <color indexed="81"/>
            <rFont val="Tahoma"/>
            <family val="2"/>
            <charset val="186"/>
          </rPr>
          <t>6.1. Asmens sveikatos priežiūros įstaigų statuso stiprinimas</t>
        </r>
        <r>
          <rPr>
            <sz val="9"/>
            <color indexed="81"/>
            <rFont val="Tahoma"/>
            <family val="2"/>
            <charset val="186"/>
          </rPr>
          <t xml:space="preserve">
6.1.3. Kompleksines paslaugas sutrikusios raidos ir neįgaliems vaikams BĮ Klaipėdos sutrikusio vystymosi kūdikių namuose gaunančių asmenų skaičius per metus </t>
        </r>
      </text>
    </comment>
    <comment ref="F6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F7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 
</t>
        </r>
      </text>
    </comment>
    <comment ref="F86" authorId="0" shapeId="0">
      <text>
        <r>
          <rPr>
            <sz val="9"/>
            <color indexed="81"/>
            <rFont val="Tahoma"/>
            <family val="2"/>
            <charset val="186"/>
          </rPr>
          <t>P-2.3.1.3</t>
        </r>
      </text>
    </comment>
    <comment ref="F9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M93" authorId="1" shapeId="0">
      <text>
        <r>
          <rPr>
            <sz val="9"/>
            <color indexed="81"/>
            <rFont val="Tahoma"/>
            <family val="2"/>
            <charset val="186"/>
          </rPr>
          <t xml:space="preserve">Priemoka specialistui prie atlyginimo
</t>
        </r>
      </text>
    </comment>
    <comment ref="F114" authorId="0" shapeId="0">
      <text>
        <r>
          <rPr>
            <sz val="9"/>
            <color indexed="81"/>
            <rFont val="Tahoma"/>
            <family val="2"/>
            <charset val="186"/>
          </rPr>
          <t>P-2.3.1.2.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1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6.1.2. Poliklinikos statusą įgijusių savivaldybės sveikatos priežiūros centrų skaičius, vnt. </t>
        </r>
      </text>
    </comment>
    <comment ref="F12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K127" authorId="1" shapeId="0">
      <text>
        <r>
          <rPr>
            <sz val="9"/>
            <color indexed="81"/>
            <rFont val="Tahoma"/>
            <family val="2"/>
            <charset val="186"/>
          </rPr>
          <t>Konkursinės procedūros</t>
        </r>
      </text>
    </comment>
    <comment ref="F1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F133" authorId="0" shapeId="0">
      <text>
        <r>
          <rPr>
            <sz val="9"/>
            <color indexed="81"/>
            <rFont val="Tahoma"/>
            <family val="2"/>
            <charset val="186"/>
          </rPr>
          <t>P-1.2.1.2
P-2.3.1.2</t>
        </r>
      </text>
    </comment>
    <comment ref="E140" authorId="1" shapeId="0">
      <text>
        <r>
          <rPr>
            <sz val="9"/>
            <color indexed="81"/>
            <rFont val="Tahoma"/>
            <family val="2"/>
            <charset val="186"/>
          </rPr>
          <t>BĮ Klaipėdos sutrikusio vystymosi kūdikių namų projektas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140" authorId="0" shapeId="0">
      <text>
        <r>
          <rPr>
            <sz val="9"/>
            <color indexed="81"/>
            <rFont val="Tahoma"/>
            <family val="2"/>
            <charset val="186"/>
          </rPr>
          <t xml:space="preserve">Sutvarkyti pastatai adresu Turistų g. 28, pritaikant juos kompleksinių paslaugų vaikams su negalia ir jų šeimoms centro veiklai
</t>
        </r>
      </text>
    </comment>
    <comment ref="F14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H142" authorId="0" shapeId="0">
      <text>
        <r>
          <rPr>
            <sz val="9"/>
            <color indexed="81"/>
            <rFont val="Tahoma"/>
            <family val="2"/>
            <charset val="186"/>
          </rPr>
          <t>Sutrikusio vystymosi kūdikių namų lėšos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1" authorId="0" shapeId="0">
      <text>
        <r>
          <rPr>
            <sz val="9"/>
            <color indexed="81"/>
            <rFont val="Tahoma"/>
            <family val="2"/>
            <charset val="186"/>
          </rPr>
          <t xml:space="preserve">KUL lėšos
</t>
        </r>
      </text>
    </comment>
    <comment ref="F155" authorId="0" shapeId="0">
      <text>
        <r>
          <rPr>
            <sz val="9"/>
            <color indexed="81"/>
            <rFont val="Tahoma"/>
            <family val="2"/>
            <charset val="186"/>
          </rPr>
          <t>P-2.3.1.2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8" authorId="0" shapeId="0">
      <text>
        <r>
          <rPr>
            <sz val="9"/>
            <color indexed="81"/>
            <rFont val="Tahoma"/>
            <family val="2"/>
            <charset val="186"/>
          </rPr>
          <t>Planuojama įsigyti:</t>
        </r>
        <r>
          <rPr>
            <sz val="9"/>
            <color indexed="81"/>
            <rFont val="Tahoma"/>
            <family val="2"/>
            <charset val="186"/>
          </rPr>
          <t xml:space="preserve">
l.Magneto terapijos aparatas 1 vnt.;
2.Elektroterapijos aparatas 2 vnt.;
3.Trumpųjų bangų terapijos aparatas 1 vnt.;
4.Decimetrinių bangų terapijos aparatas 1 vnt.;
S.Lazerio aparatas I vnt.;
6.Smūginės bangos terapijos aparatas 1 vnt.;
T.Ultragarsinės terapijos aparatas I vnt.;
8..D' Arsonvalizacijos aparatas 1 vnt.;
9.Kompresinės terapijos aparatas 1 vnt.</t>
        </r>
      </text>
    </comment>
    <comment ref="H160" authorId="0" shapeId="0">
      <text>
        <r>
          <rPr>
            <sz val="9"/>
            <color indexed="81"/>
            <rFont val="Tahoma"/>
            <family val="2"/>
            <charset val="186"/>
          </rPr>
          <t>Poliklinikos lėšos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6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</commentList>
</comments>
</file>

<file path=xl/sharedStrings.xml><?xml version="1.0" encoding="utf-8"?>
<sst xmlns="http://schemas.openxmlformats.org/spreadsheetml/2006/main" count="915" uniqueCount="244">
  <si>
    <t xml:space="preserve"> TIKSLŲ, UŽDAVINIŲ, PRIEMONIŲ, PRIEMONIŲ IŠLAIDŲ IR PRODUKTO KRITERIJŲ SUVESTINĖ</t>
  </si>
  <si>
    <t>tūkst. Eur</t>
  </si>
  <si>
    <t>Uždavinio kodas</t>
  </si>
  <si>
    <t>Priemonės kodas</t>
  </si>
  <si>
    <t>Pavadinimas</t>
  </si>
  <si>
    <t>Finansavimo šaltinis</t>
  </si>
  <si>
    <t>Strateginis tikslas 03. Užtikrinti gyventojams aukštą švietimo, kultūros, socialinių, sporto ir sveikatos apsaugos paslaugų kokybę ir prieinamumą</t>
  </si>
  <si>
    <t>01</t>
  </si>
  <si>
    <t>Stiprinti ir kryptingai plėtoti asmens ir visuomenės sveikatos priežiūros paslaugas</t>
  </si>
  <si>
    <t>Užtikrinti visuomenės sveikatos priežiūros paslaugų teikimą</t>
  </si>
  <si>
    <t>Klaipėdos miesto savivaldybės visuomenės sveikatos rėmimo specialiosios programos įgyvendinimas prioritetinėse srityse</t>
  </si>
  <si>
    <t>07</t>
  </si>
  <si>
    <t>SB</t>
  </si>
  <si>
    <t>Visuomenės sveikatos rėmimo specialiosios programos įgyvendinimas, proc.</t>
  </si>
  <si>
    <t>Užkrečiamųjų ligų prevencija</t>
  </si>
  <si>
    <t>SB(AA)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</si>
  <si>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</si>
  <si>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</si>
  <si>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</si>
  <si>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</si>
  <si>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Iš viso:</t>
  </si>
  <si>
    <t>02</t>
  </si>
  <si>
    <t xml:space="preserve">Mokinių visuomenės sveikatos priežiūros įgyvendinimas savivaldybės teritorijoje esančiose ikimokyklinio ugdymo, bendrojo ugdymo mokyklose ir profesinio mokymo įstaigose </t>
  </si>
  <si>
    <t>SB(VB)</t>
  </si>
  <si>
    <t>Ugdymo įstaigų, kuriose vykdoma vaikų sveikatos priežiūra, skaičius</t>
  </si>
  <si>
    <t>03</t>
  </si>
  <si>
    <t>BĮ Klaipėdos miesto visuomenės sveikatos biuro veiklos organizavimas, vykdant visuomenės sveikatos stiprinimą ir stebėseną</t>
  </si>
  <si>
    <t>SB(SP)</t>
  </si>
  <si>
    <t>04</t>
  </si>
  <si>
    <t>Iš viso uždaviniui:</t>
  </si>
  <si>
    <t>Užtikrinti asmens sveikatos priežiūros paslaugų teikimą</t>
  </si>
  <si>
    <t>BĮ Klaipėdos sutrikusio vystymosi kūdikių namų išlaikymas ir veiklos organizavimas</t>
  </si>
  <si>
    <t>PSDF</t>
  </si>
  <si>
    <t>1</t>
  </si>
  <si>
    <t>5</t>
  </si>
  <si>
    <t>Modernizuoti sveikatos priežiūros įstaigų infrastruktūrą</t>
  </si>
  <si>
    <t xml:space="preserve">I  </t>
  </si>
  <si>
    <t>Kt</t>
  </si>
  <si>
    <t>05</t>
  </si>
  <si>
    <t>06</t>
  </si>
  <si>
    <t>08</t>
  </si>
  <si>
    <t>09</t>
  </si>
  <si>
    <t>Iš viso tikslui:</t>
  </si>
  <si>
    <t>13</t>
  </si>
  <si>
    <t xml:space="preserve">Iš viso  programai: </t>
  </si>
  <si>
    <t>Finansavimo šaltinių suvestinė</t>
  </si>
  <si>
    <t>Finansavimo šaltiniai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</si>
  <si>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</si>
  <si>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</si>
  <si>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</si>
  <si>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</si>
  <si>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rPr>
        <sz val="10"/>
        <rFont val="Times New Roman"/>
        <family val="1"/>
        <charset val="186"/>
      </rPr>
      <t>Privalomojo sveikatos draudimo fondo lėšos</t>
    </r>
    <r>
      <rPr>
        <b/>
        <sz val="10"/>
        <rFont val="Times New Roman"/>
        <family val="1"/>
      </rPr>
      <t xml:space="preserve"> PSDF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</si>
  <si>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</si>
  <si>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</si>
  <si>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</si>
  <si>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Vaikų, gavusių ankstyvosios reabilitacijos paslaugas, skaičius</t>
  </si>
  <si>
    <t xml:space="preserve">Atokvėpio paslaugos teikimas šeimoms, auginančioms vaiką su negalia (BĮ Klaipėdos sutrikusio vystymosi kūdikių namuose) </t>
  </si>
  <si>
    <r>
      <t xml:space="preserve">Vietų </t>
    </r>
    <r>
      <rPr>
        <sz val="10"/>
        <rFont val="Times New Roman"/>
        <family val="1"/>
        <charset val="186"/>
      </rPr>
      <t>atokvėpio</t>
    </r>
    <r>
      <rPr>
        <sz val="10"/>
        <rFont val="Times New Roman"/>
        <family val="1"/>
      </rPr>
      <t xml:space="preserve"> paslaugai teikti skaičius </t>
    </r>
  </si>
  <si>
    <t>SB(AAL)</t>
  </si>
  <si>
    <t>ES</t>
  </si>
  <si>
    <t>SB(SPL)</t>
  </si>
  <si>
    <t>6</t>
  </si>
  <si>
    <t xml:space="preserve">Tiesiogiai stebimo trumpo gydymo kurso (DOTS) kabineto paslaugų organizavimas </t>
  </si>
  <si>
    <t xml:space="preserve">Neveiksnių asmenų būklės peržiūrėjimo užtikrinimas </t>
  </si>
  <si>
    <t>Parengtas techninis projektas, vnt.</t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</si>
  <si>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</si>
  <si>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</si>
  <si>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</si>
  <si>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Visuomenės sveikatos priežiūros paslaugų, teikiamų Klaipėdos miesto bendruomenei, skaičius</t>
  </si>
  <si>
    <t>SB(ES)</t>
  </si>
  <si>
    <t>LRVB</t>
  </si>
  <si>
    <t>Tikslinių grupių asmenų, kurie dalyvavo informavimo, švietimo, mokymo renginiuose bei sveikatos raštingumą didinančiose veiklose, skaičius</t>
  </si>
  <si>
    <t>Sveikatos ir su sveikata  susijusių dienų minėjimo renginių organizavimas</t>
  </si>
  <si>
    <t>Asmens būklės peržiūrėjimo bylų skaičius</t>
  </si>
  <si>
    <r>
      <rPr>
        <sz val="10"/>
        <rFont val="Times New Roman"/>
        <family val="1"/>
        <charset val="186"/>
      </rP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</si>
  <si>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SB(ESA)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</si>
  <si>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</si>
  <si>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 xml:space="preserve">Asmens gebėjimo pasirūpinti savimi ir priimti kasdienius sprendimus savarankiškai ar naudojantis pagalba konkrečioje srityje vertinimas ir išvadų rengimas </t>
  </si>
  <si>
    <t>Fizinio asmens pripažinimo neveiksniu tam tikroje srityje organizavimas:</t>
  </si>
  <si>
    <t xml:space="preserve">Projekto „Socialinės paramos priemonių teikimas tuberkulioze sergantiems Klaipėdos miesto gyventojams (DOTS kabineto pacientai)“ įgyvendinimas </t>
  </si>
  <si>
    <t>URBACT III projekto „Žaidimų paradigma“ įgyvendinimas</t>
  </si>
  <si>
    <t>Įrengtas liftas, vnt.</t>
  </si>
  <si>
    <t>Visuomenės sveikatos priežiūros paslaugomis, teikiamomis Klaipėdos miesto bendruomenei, besinaudojančių dalyvių skaičius</t>
  </si>
  <si>
    <t>Projekto „Klaipėdos miesto  tikslinių gyventojų grupių sveikos gyvensenos skatinimas“ įgyvendinimas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</si>
  <si>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</si>
  <si>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Projekto „Sveikatos plėtra“ („Healthy Boost“) įgyvendinimas</t>
  </si>
  <si>
    <t xml:space="preserve">Organizuota renginių, skaičius </t>
  </si>
  <si>
    <t>Lovadienių skaičius</t>
  </si>
  <si>
    <t>Padidintas dalininko kapitalas, proc.</t>
  </si>
  <si>
    <t>Vaikų, kuriems suteiktos Kompleksinių paslaugų vaikų dienos užimtumo centro paslaugos, skaičius</t>
  </si>
  <si>
    <t>Papriemonės kodas</t>
  </si>
  <si>
    <r>
      <t xml:space="preserve">Savivaldybės tikslinės lėšos, skirtos aplinkos apsaugai </t>
    </r>
    <r>
      <rPr>
        <b/>
        <sz val="10"/>
        <rFont val="Times New Roman"/>
        <family val="1"/>
      </rPr>
      <t>SB(AA)</t>
    </r>
  </si>
  <si>
    <t>Įsigyta kompiuterinė ir organizacinė technika, skaičius</t>
  </si>
  <si>
    <t xml:space="preserve">Organizuota susitikimų su suinteresuotomis grupėmis, skaičius </t>
  </si>
  <si>
    <t>Įgyvendintas projektas, proc.</t>
  </si>
  <si>
    <t>P1</t>
  </si>
  <si>
    <t>Lovų skaičius</t>
  </si>
  <si>
    <t>Išlaikoma kabinetų, skaičius</t>
  </si>
  <si>
    <t>Vaikų, kuriems iš dalies finansuotas ortodontinis gydymas, skaičius per metus</t>
  </si>
  <si>
    <t>Visuomenės sveikatos priežiūros paslaugas gaunančių asmenų skaičiaus didėjimas, proc.</t>
  </si>
  <si>
    <t>Sveikatos apsaugos skyrius</t>
  </si>
  <si>
    <t>Statybos ir infrastruktūros plėtros skyrius</t>
  </si>
  <si>
    <t>Atliktas patalpų remontas, proc.</t>
  </si>
  <si>
    <t>Savivaldybės biudžetas, iš jo:</t>
  </si>
  <si>
    <r>
      <t>Pajamų įmokų likutis</t>
    </r>
    <r>
      <rPr>
        <b/>
        <sz val="10"/>
        <rFont val="Times New Roman"/>
        <family val="1"/>
        <charset val="186"/>
      </rPr>
      <t xml:space="preserve"> SB(SPL)</t>
    </r>
  </si>
  <si>
    <t>Projekto „Integruotų priklausomybės ligų gydymo paslaugų kokybės ir prieinamumo gerinimas“ įgyvendinimas</t>
  </si>
  <si>
    <t>Teikiamų sveikatos priežiūros paslaugų infrastruktūros tobulinimas:</t>
  </si>
  <si>
    <t>Projektų skyrius</t>
  </si>
  <si>
    <t>Turto valdymo skyrius</t>
  </si>
  <si>
    <t>10</t>
  </si>
  <si>
    <t>Projekto „Žemo slenksčio paslaugų Klaipėdos mieste prieinamumo didinimas“ įgyvendinimas</t>
  </si>
  <si>
    <t>Apsilankymų skaičius žemo slenksčio paslaugų konsultaciniuose kabinetuose, vnt.</t>
  </si>
  <si>
    <t>Įdiegtas bandomasis modelis</t>
  </si>
  <si>
    <t>VšĮ Klaipėdos universitetinės ligoninės  pastatų atnaujinimo finansavimo modelio parengimas</t>
  </si>
  <si>
    <t>Parengtas modelis, vnt.</t>
  </si>
  <si>
    <r>
      <rPr>
        <sz val="10"/>
        <rFont val="Times New Roman"/>
        <family val="1"/>
        <charset val="186"/>
      </rPr>
      <t xml:space="preserve">Statinių administravimo 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skyrius  </t>
    </r>
  </si>
  <si>
    <t>8</t>
  </si>
  <si>
    <t>120</t>
  </si>
  <si>
    <t>264</t>
  </si>
  <si>
    <t>279</t>
  </si>
  <si>
    <t>4</t>
  </si>
  <si>
    <t>840</t>
  </si>
  <si>
    <t>841</t>
  </si>
  <si>
    <t>100</t>
  </si>
  <si>
    <t>11</t>
  </si>
  <si>
    <t>Įdiegtas modelis, proc.</t>
  </si>
  <si>
    <t>Organizuota projekto viešinimo renginių, skaičius</t>
  </si>
  <si>
    <t>40</t>
  </si>
  <si>
    <t>Projekto „Paslaugų vaikams su negalia ir jų šeimoms plėtra Klaipėdos regione“ įgyvendinimas</t>
  </si>
  <si>
    <t>80</t>
  </si>
  <si>
    <t>290</t>
  </si>
  <si>
    <t>240</t>
  </si>
  <si>
    <t>Įsigytas automobilis, vnt.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</si>
  <si>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</si>
  <si>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r>
      <t>Administracinės paskirties pastato J. Karoso g. 12, Klaipėda, rekonstravimas</t>
    </r>
    <r>
      <rPr>
        <sz val="10"/>
        <rFont val="Times New Roman"/>
        <family val="1"/>
        <charset val="186"/>
      </rPr>
      <t xml:space="preserve"> į gydymo paskirties pastatą </t>
    </r>
  </si>
  <si>
    <r>
      <rPr>
        <b/>
        <sz val="10"/>
        <rFont val="Times New Roman"/>
        <family val="1"/>
        <charset val="186"/>
      </rPr>
      <t xml:space="preserve">VšĮ Klaipėdos universitetinės ligoninės </t>
    </r>
    <r>
      <rPr>
        <sz val="10"/>
        <rFont val="Times New Roman"/>
        <family val="1"/>
        <charset val="186"/>
      </rPr>
      <t xml:space="preserve">dalies pastato Liepojos g. 39 rekonstravimas  </t>
    </r>
  </si>
  <si>
    <r>
      <rPr>
        <b/>
        <sz val="10"/>
        <rFont val="Times New Roman"/>
        <family val="1"/>
        <charset val="186"/>
      </rPr>
      <t>VšĮ Jūrininkų sveikatos priežiūros centro infrastruktūros plėtra</t>
    </r>
    <r>
      <rPr>
        <sz val="10"/>
        <rFont val="Times New Roman"/>
        <family val="1"/>
        <charset val="186"/>
      </rPr>
      <t xml:space="preserve"> (naujo pastato statyba) </t>
    </r>
  </si>
  <si>
    <r>
      <t xml:space="preserve">Projekto </t>
    </r>
    <r>
      <rPr>
        <b/>
        <sz val="10"/>
        <rFont val="Times New Roman"/>
        <family val="1"/>
        <charset val="186"/>
      </rPr>
      <t>„Onkologijos radioterapijos paslaugų teikimo optimizavimas Klaipėdos universitetinėje ligoninėje“</t>
    </r>
    <r>
      <rPr>
        <sz val="10"/>
        <rFont val="Times New Roman"/>
        <family val="1"/>
        <charset val="186"/>
      </rPr>
      <t xml:space="preserve"> įgyvendinimas</t>
    </r>
  </si>
  <si>
    <t>Atliktas įstaigos patalpų Taikos pr. 107-61 remontas, įrengtos darbo vietos, proc.</t>
  </si>
  <si>
    <t>Galimybių studijos dėl Klaipėdos miesto stacionarių sveikatos priežiūros įstaigų darbo optimizavimo ir perspektyvos (gairių) iki 2050 m. nustatymo parengimas</t>
  </si>
  <si>
    <t>04 Sveikatos apsaugos programa</t>
  </si>
  <si>
    <r>
      <rPr>
        <b/>
        <sz val="10"/>
        <rFont val="Times New Roman"/>
        <family val="1"/>
        <charset val="186"/>
      </rPr>
      <t xml:space="preserve">VšĮ Jūrininkų sveikatos priežiūros centro </t>
    </r>
    <r>
      <rPr>
        <sz val="10"/>
        <rFont val="Times New Roman"/>
        <family val="1"/>
        <charset val="186"/>
      </rPr>
      <t>įstatinio kapitalo didinimas medicinos įrangai įsigyti</t>
    </r>
  </si>
  <si>
    <r>
      <rPr>
        <b/>
        <sz val="10"/>
        <rFont val="Times New Roman"/>
        <family val="1"/>
        <charset val="186"/>
      </rPr>
      <t>Klaipėdos sutrikusio vystymosi kūdikių namų</t>
    </r>
    <r>
      <rPr>
        <sz val="10"/>
        <rFont val="Times New Roman"/>
        <family val="1"/>
        <charset val="186"/>
      </rPr>
      <t xml:space="preserve"> trumpalaikės socialinės globos atokvėpio paslaugos prieinamumo didinimas</t>
    </r>
  </si>
  <si>
    <r>
      <rPr>
        <b/>
        <sz val="10"/>
        <rFont val="Times New Roman"/>
        <family val="1"/>
        <charset val="186"/>
      </rPr>
      <t>Klaipėdos greitosios medicininės pagalbos stoties</t>
    </r>
    <r>
      <rPr>
        <sz val="10"/>
        <rFont val="Times New Roman"/>
        <family val="1"/>
        <charset val="186"/>
      </rPr>
      <t xml:space="preserve"> sanitarinio transporto atnaujinimas</t>
    </r>
  </si>
  <si>
    <t xml:space="preserve">Pastato Taikos pr. 76 modernizavimas (pastato lauko sienų apšiltinimas, laiptinių remontas) </t>
  </si>
  <si>
    <t>priedas</t>
  </si>
  <si>
    <t>SB'</t>
  </si>
  <si>
    <t>SB(L)'</t>
  </si>
  <si>
    <t>Kt'</t>
  </si>
  <si>
    <t>ES'</t>
  </si>
  <si>
    <t>VšĮ Klaipėdos universitetinės ligoninės nepriklausomo veiklos audito atlikimas, ataskaitos parengimas ir veiklos efektyvumo didinimo galimybių pateikimo paslaugos pirkimas</t>
  </si>
  <si>
    <t>SB(K)</t>
  </si>
  <si>
    <r>
      <t xml:space="preserve">Valstybės biudžeto kompensacija 2020 m. negautoms pajamoms padengti </t>
    </r>
    <r>
      <rPr>
        <b/>
        <sz val="10"/>
        <rFont val="Times New Roman"/>
        <family val="1"/>
        <charset val="186"/>
      </rPr>
      <t>SB(K)</t>
    </r>
  </si>
  <si>
    <t>Įgyvendintų veiklų skaičius</t>
  </si>
  <si>
    <t>Projekto „Adaptuoto ir išplėsto jaunimui palankių sveikatos priežiūros paslaugų (JPSPP) teikimo modelio įdiegimas Klaipėdos mieste“ įgyvendinimas</t>
  </si>
  <si>
    <t>Vaikų, gavusių paliatyvios pagalbos paslaugas, skaičius</t>
  </si>
  <si>
    <t>Atliktas veiklos auditas, vnt.</t>
  </si>
  <si>
    <t>Parengta galimybių studija, vnt.</t>
  </si>
  <si>
    <r>
      <t xml:space="preserve">VšĮ Klaipėdos universitetinės ligoninės </t>
    </r>
    <r>
      <rPr>
        <sz val="10"/>
        <rFont val="Times New Roman"/>
        <family val="1"/>
        <charset val="186"/>
      </rPr>
      <t>įstatinio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kapitalo didinimas magnetinio rezonanso tomografui įsigyti</t>
    </r>
  </si>
  <si>
    <t>Klaipėdos miesto savivaldybės sveikatos apsaugos programos (Nr. 04) aprašymo</t>
  </si>
  <si>
    <t>SVEIKATOS APSAUGOS PROGRAMOS (NR. 04)</t>
  </si>
  <si>
    <t>Įrengta 839 m² klinikinė diagnostinė laboratorija ligoninės korpuso Nr. 4D dalies 2 ir 3 aukštuose, proc.</t>
  </si>
  <si>
    <t>BĮ Klaipėdos sutrikusio vystymosi kūdikių namų pertvarkymas į viešąją įstaigą</t>
  </si>
  <si>
    <t>Atlikta analizė ir suformuoti siūlymai</t>
  </si>
  <si>
    <t>Sveikatos apsaugos skyrius – priemonės vykdymas, Planavimo ir analizės skyrius – programos sąmatos tvirtintojas</t>
  </si>
  <si>
    <t>Sveikatos apsaugos skyrius –  priemonės vykdymas, Planavimo ir analizės skyrius –  programos sąmatos tvirtintojas</t>
  </si>
  <si>
    <t>Sveikatos apsaugos skyrius - priemonės vykdymas, Planavimo ir analizės skyrius –  programos sąmatos tvirtintojas</t>
  </si>
  <si>
    <t>Darbuotojų, kuriems skirtas padidintas darbo užmokestis, skaičius</t>
  </si>
  <si>
    <t>Produkto kriterijaus</t>
  </si>
  <si>
    <t>planas</t>
  </si>
  <si>
    <t>2021-ųjų metų asignavimų planas*</t>
  </si>
  <si>
    <t>Įstaigų patirtų išlaidų už skiepijimą nuo COVID-19 ligos (koronaviruso infekcijos) paslaugas kompensavimas</t>
  </si>
  <si>
    <t>Įstaigų, kurioms kompensuotos patirtos išlaidos, skaičius</t>
  </si>
  <si>
    <t>Vyr. patarėja         S. Tamašauskienė</t>
  </si>
  <si>
    <t>Veiklos plano tikslo kodas</t>
  </si>
  <si>
    <t>Priemonės požymis*</t>
  </si>
  <si>
    <t>Vykdytojas (skyrius/asmuo)</t>
  </si>
  <si>
    <t>Asignavimai 2021-iesiems metams**</t>
  </si>
  <si>
    <t>Lėšų poreikis biudžetiniams 2022-iesiems metams</t>
  </si>
  <si>
    <t>2024-ųjų metų lėšų projektas</t>
  </si>
  <si>
    <t>2021-ieji metai**</t>
  </si>
  <si>
    <t>2022-ieji metai</t>
  </si>
  <si>
    <t>2023-ieji metai</t>
  </si>
  <si>
    <t>2024-ieji metai</t>
  </si>
  <si>
    <t>VšĮ Klaipėdos miesto poliklinikos įstatinio kapitalo didinimas medicinos įrangos atnaujinimui</t>
  </si>
  <si>
    <t>PI</t>
  </si>
  <si>
    <t>12</t>
  </si>
  <si>
    <t>Darbuotojų, kuriems išmokėtas padidintas darbo užmokestis, skaičius</t>
  </si>
  <si>
    <t>3/7</t>
  </si>
  <si>
    <t>2/5</t>
  </si>
  <si>
    <t>T</t>
  </si>
  <si>
    <t>129</t>
  </si>
  <si>
    <t>60</t>
  </si>
  <si>
    <t>307</t>
  </si>
  <si>
    <t>337</t>
  </si>
  <si>
    <t>280</t>
  </si>
  <si>
    <t>260</t>
  </si>
  <si>
    <t>Klaipėdos miesto gyventojų sveikatos priežiūros paslaugų rėmimas:</t>
  </si>
  <si>
    <t>Budinčio odontologo kabineto paslaugų organizavimas Klaipėdos miesto gyventojams</t>
  </si>
  <si>
    <t>Asmens sveikatos priežiūros specialistų pritraukimas ir (ar) išlaikymas</t>
  </si>
  <si>
    <t>N</t>
  </si>
  <si>
    <t>P</t>
  </si>
  <si>
    <t xml:space="preserve">VšĮ Klaipėdos universitetinės ligoninės modernizavimas </t>
  </si>
  <si>
    <t>Kurortologijos centro Giruliuose steigimas (koncepcijos ir projektinių pasiūlymų parengimas)</t>
  </si>
  <si>
    <t>14</t>
  </si>
  <si>
    <t>15</t>
  </si>
  <si>
    <t>Darbo vietų (kompiuterių), kuriose įdiegta programinė įranga, skirta asmens duomenų apsaugai, skaičius</t>
  </si>
  <si>
    <t>Vidutinis lankytojų skaičius per mėn.</t>
  </si>
  <si>
    <t>Išlaikomas specialisto etatas,vnt.</t>
  </si>
  <si>
    <t>Atlikta patalpų remonto darbų, proc.</t>
  </si>
  <si>
    <t>Parengta išvadų, skaičius</t>
  </si>
  <si>
    <t>Išlaikomas budinčio odontologo kabinetas, vnt.</t>
  </si>
  <si>
    <t>Atlikta rangos darbų, proc.</t>
  </si>
  <si>
    <t>Prevencijos veiklose dalyvavusių asmenų skaičius</t>
  </si>
  <si>
    <t>Komunalinių paslaugų (elektros energijos) įsigijimas</t>
  </si>
  <si>
    <t xml:space="preserve">Statinių administravimo  skyrius  </t>
  </si>
  <si>
    <t>Įstaigų, kurioms elektros energija įsigyjama centralizuotai, skaičius</t>
  </si>
  <si>
    <t>16</t>
  </si>
  <si>
    <t>338</t>
  </si>
  <si>
    <t>99</t>
  </si>
  <si>
    <t>VšĮ sveikatos priežiūros įstaigų darbo užmokesčio kompensavimas</t>
  </si>
  <si>
    <t>VšĮ sveikatos priežiūros įstaigų patirtų išlaidų kompensavimas</t>
  </si>
  <si>
    <t>Įstaigų, kurioms kompensuotas darbo užmokestis, skaičius</t>
  </si>
  <si>
    <r>
      <rPr>
        <b/>
        <sz val="10"/>
        <rFont val="Times New Roman"/>
        <family val="1"/>
        <charset val="186"/>
      </rPr>
      <t>Klaipėdos greitosios medicininės pagalbos stoties</t>
    </r>
    <r>
      <rPr>
        <sz val="10"/>
        <rFont val="Times New Roman"/>
        <family val="1"/>
        <charset val="186"/>
      </rPr>
      <t xml:space="preserve"> įstatinio kapitalo didinimas sanitarinio transporto atnaujinimui</t>
    </r>
  </si>
  <si>
    <t>Švietimo ugdymo įstaigose dirbančių dietistų skaičius</t>
  </si>
  <si>
    <t>* Pagal Klaipėdos miesto savivaldybės tarybos sprendimus: 2021-02-25 Nr. T2-24, 2021-04-29 Nr. T2-90, 2021-06-22 Nr. T2-157, 2021-09-30 Nr. T2-192, 2021-11-25 Nr. T2-247.</t>
  </si>
  <si>
    <t>Parengtas konceptas, vnt.</t>
  </si>
  <si>
    <r>
      <rPr>
        <b/>
        <sz val="10"/>
        <rFont val="Times New Roman"/>
        <family val="1"/>
        <charset val="186"/>
      </rPr>
      <t>VšĮ Klaipėdos vaikų ligoninės</t>
    </r>
    <r>
      <rPr>
        <sz val="10"/>
        <rFont val="Times New Roman"/>
        <family val="1"/>
        <charset val="186"/>
      </rPr>
      <t xml:space="preserve"> įstatinio kapitalo didinimas dėl įstaigos valdomų pastatų K. Donelaičio g. 5, 7, 9  I aukšto patalpų (koridorių) remonto bei Priėmimo skyriaus rekonstrukcijos</t>
    </r>
  </si>
  <si>
    <t>Pritraukta specialistų, skaičius</t>
  </si>
  <si>
    <t>2023-iųjų metų lėšų projektas</t>
  </si>
  <si>
    <t>* Nurodoma: 1) ar priemonė nauja (N), ar tęstinė (T); 
                     2) ar projektas investicinis (I);
                     3) KMS 2021–2030 m. Strateginio plėtros plano priemonės, kuri įgyvendinama per šį (n-1)–(n+2) metų SVP, eil. Nr.</t>
  </si>
  <si>
    <t>SAVIVALDYBĖS LĖŠOS, IŠ VISO:</t>
  </si>
  <si>
    <t>Įsigyta kompiuterinė ir organizacinė technika, mobilieji telefonai, skaičius</t>
  </si>
  <si>
    <t>Sveikatos apsaugos skyrius – priemonės vykdymas, Planavimo ir analizės skyrius –  programos sąmatos tvirtintojas</t>
  </si>
  <si>
    <t>Vyr. patarėjas  D. Petrolevičius</t>
  </si>
  <si>
    <t>Projektų skyrius,</t>
  </si>
  <si>
    <t>vyr. patarėjas        R. Zucas</t>
  </si>
  <si>
    <t>2022–2024 M. KLAIPĖDOS MIESTO SAVIVALDYBĖS</t>
  </si>
  <si>
    <t>Aiškinamojo rašto 3 priedas</t>
  </si>
  <si>
    <t>SB(ES)'</t>
  </si>
  <si>
    <t>2021–2024 M. KLAIPĖDOS MIESTO SAVIVALDYBĖS</t>
  </si>
  <si>
    <t>* N – nauja priemonė; T – tęstinė priemonė; I – investicijų projektas.</t>
  </si>
  <si>
    <t>________________________________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</si>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</sst>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[$-409]General"/>
    <numFmt numFmtId="167" formatCode="[$-409]#,##0"/>
  </numFmts>
  <fonts count="25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Calibri"/>
      <family val="2"/>
      <charset val="186"/>
      <scheme val="minor"/>
    </font>
    <font>
      <strike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FF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4" fillId="0" borderId="0" applyBorder="0" applyProtection="0"/>
  </cellStyleXfs>
  <cellXfs count="1262">
    <xf numFmtId="0" fontId="0" fillId="0" borderId="0" xfId="0"/>
    <xf numFmtId="0" fontId="2" fillId="0" borderId="0" xfId="0" applyFont="1"/>
    <xf numFmtId="49" fontId="5" fillId="2" borderId="16" xfId="0" applyNumberFormat="1" applyFont="1" applyFill="1" applyBorder="1" applyAlignment="1">
      <alignment vertical="top"/>
    </xf>
    <xf numFmtId="49" fontId="5" fillId="2" borderId="56" xfId="0" applyNumberFormat="1" applyFont="1" applyFill="1" applyBorder="1" applyAlignment="1">
      <alignment horizontal="center" vertical="top"/>
    </xf>
    <xf numFmtId="49" fontId="5" fillId="2" borderId="57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Alignment="1">
      <alignment vertical="top"/>
    </xf>
    <xf numFmtId="165" fontId="1" fillId="4" borderId="0" xfId="0" applyNumberFormat="1" applyFont="1" applyFill="1" applyBorder="1" applyAlignment="1">
      <alignment vertical="top" wrapText="1"/>
    </xf>
    <xf numFmtId="0" fontId="2" fillId="4" borderId="0" xfId="0" applyFont="1" applyFill="1"/>
    <xf numFmtId="0" fontId="4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5" fillId="3" borderId="38" xfId="0" applyNumberFormat="1" applyFont="1" applyFill="1" applyBorder="1" applyAlignment="1">
      <alignment vertical="top"/>
    </xf>
    <xf numFmtId="49" fontId="5" fillId="3" borderId="25" xfId="0" applyNumberFormat="1" applyFont="1" applyFill="1" applyBorder="1" applyAlignment="1">
      <alignment vertical="top"/>
    </xf>
    <xf numFmtId="0" fontId="9" fillId="0" borderId="0" xfId="0" applyFont="1"/>
    <xf numFmtId="49" fontId="3" fillId="2" borderId="25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vertical="top"/>
    </xf>
    <xf numFmtId="49" fontId="3" fillId="3" borderId="25" xfId="0" applyNumberFormat="1" applyFont="1" applyFill="1" applyBorder="1" applyAlignment="1">
      <alignment vertical="top"/>
    </xf>
    <xf numFmtId="49" fontId="3" fillId="2" borderId="57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2" borderId="10" xfId="0" applyNumberFormat="1" applyFont="1" applyFill="1" applyBorder="1" applyAlignment="1">
      <alignment vertical="top"/>
    </xf>
    <xf numFmtId="49" fontId="3" fillId="3" borderId="30" xfId="0" applyNumberFormat="1" applyFont="1" applyFill="1" applyBorder="1" applyAlignment="1">
      <alignment vertical="top"/>
    </xf>
    <xf numFmtId="0" fontId="12" fillId="0" borderId="0" xfId="0" applyFont="1"/>
    <xf numFmtId="0" fontId="1" fillId="0" borderId="2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/>
    <xf numFmtId="49" fontId="5" fillId="3" borderId="10" xfId="0" applyNumberFormat="1" applyFont="1" applyFill="1" applyBorder="1" applyAlignment="1">
      <alignment vertical="top"/>
    </xf>
    <xf numFmtId="49" fontId="3" fillId="2" borderId="45" xfId="0" applyNumberFormat="1" applyFont="1" applyFill="1" applyBorder="1" applyAlignment="1">
      <alignment vertical="top"/>
    </xf>
    <xf numFmtId="49" fontId="3" fillId="2" borderId="63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49" fontId="3" fillId="2" borderId="45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vertical="top"/>
    </xf>
    <xf numFmtId="49" fontId="5" fillId="2" borderId="63" xfId="0" applyNumberFormat="1" applyFont="1" applyFill="1" applyBorder="1" applyAlignment="1">
      <alignment horizontal="center" vertical="top"/>
    </xf>
    <xf numFmtId="49" fontId="3" fillId="8" borderId="24" xfId="0" applyNumberFormat="1" applyFont="1" applyFill="1" applyBorder="1" applyAlignment="1">
      <alignment horizontal="center" vertical="top"/>
    </xf>
    <xf numFmtId="49" fontId="3" fillId="8" borderId="27" xfId="0" applyNumberFormat="1" applyFont="1" applyFill="1" applyBorder="1" applyAlignment="1">
      <alignment horizontal="center" vertical="top"/>
    </xf>
    <xf numFmtId="49" fontId="3" fillId="8" borderId="36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vertical="top"/>
    </xf>
    <xf numFmtId="49" fontId="3" fillId="8" borderId="36" xfId="0" applyNumberFormat="1" applyFont="1" applyFill="1" applyBorder="1" applyAlignment="1">
      <alignment vertical="top"/>
    </xf>
    <xf numFmtId="49" fontId="3" fillId="8" borderId="27" xfId="0" applyNumberFormat="1" applyFont="1" applyFill="1" applyBorder="1" applyAlignment="1">
      <alignment vertical="top"/>
    </xf>
    <xf numFmtId="49" fontId="5" fillId="8" borderId="27" xfId="0" applyNumberFormat="1" applyFont="1" applyFill="1" applyBorder="1" applyAlignment="1">
      <alignment vertical="top"/>
    </xf>
    <xf numFmtId="49" fontId="5" fillId="8" borderId="29" xfId="0" applyNumberFormat="1" applyFont="1" applyFill="1" applyBorder="1" applyAlignment="1">
      <alignment vertical="top"/>
    </xf>
    <xf numFmtId="49" fontId="5" fillId="8" borderId="36" xfId="0" applyNumberFormat="1" applyFont="1" applyFill="1" applyBorder="1" applyAlignment="1">
      <alignment vertical="top"/>
    </xf>
    <xf numFmtId="49" fontId="5" fillId="8" borderId="24" xfId="0" applyNumberFormat="1" applyFont="1" applyFill="1" applyBorder="1" applyAlignment="1">
      <alignment horizontal="center" vertical="top"/>
    </xf>
    <xf numFmtId="49" fontId="5" fillId="8" borderId="24" xfId="0" applyNumberFormat="1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/>
    </xf>
    <xf numFmtId="49" fontId="5" fillId="7" borderId="24" xfId="0" applyNumberFormat="1" applyFont="1" applyFill="1" applyBorder="1" applyAlignment="1">
      <alignment horizontal="center" vertical="top"/>
    </xf>
    <xf numFmtId="49" fontId="5" fillId="8" borderId="27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49" fontId="1" fillId="3" borderId="38" xfId="0" applyNumberFormat="1" applyFont="1" applyFill="1" applyBorder="1" applyAlignment="1">
      <alignment horizontal="center" vertical="top"/>
    </xf>
    <xf numFmtId="49" fontId="1" fillId="3" borderId="30" xfId="0" applyNumberFormat="1" applyFont="1" applyFill="1" applyBorder="1" applyAlignment="1">
      <alignment horizontal="center" vertical="top"/>
    </xf>
    <xf numFmtId="49" fontId="1" fillId="3" borderId="25" xfId="0" applyNumberFormat="1" applyFont="1" applyFill="1" applyBorder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top"/>
    </xf>
    <xf numFmtId="49" fontId="4" fillId="3" borderId="38" xfId="0" applyNumberFormat="1" applyFont="1" applyFill="1" applyBorder="1" applyAlignment="1">
      <alignment horizontal="center" vertical="top"/>
    </xf>
    <xf numFmtId="49" fontId="4" fillId="3" borderId="25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165" fontId="1" fillId="4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53" xfId="0" applyFont="1" applyFill="1" applyBorder="1" applyAlignment="1">
      <alignment horizontal="center" vertical="top" wrapText="1"/>
    </xf>
    <xf numFmtId="0" fontId="1" fillId="4" borderId="50" xfId="0" applyFont="1" applyFill="1" applyBorder="1" applyAlignment="1">
      <alignment horizontal="center" vertical="top" wrapText="1"/>
    </xf>
    <xf numFmtId="164" fontId="3" fillId="5" borderId="19" xfId="0" applyNumberFormat="1" applyFont="1" applyFill="1" applyBorder="1" applyAlignment="1">
      <alignment horizontal="center" vertical="top"/>
    </xf>
    <xf numFmtId="164" fontId="3" fillId="5" borderId="35" xfId="0" applyNumberFormat="1" applyFont="1" applyFill="1" applyBorder="1" applyAlignment="1">
      <alignment horizontal="center" vertical="top"/>
    </xf>
    <xf numFmtId="165" fontId="1" fillId="10" borderId="23" xfId="1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/>
    </xf>
    <xf numFmtId="49" fontId="3" fillId="8" borderId="42" xfId="0" applyNumberFormat="1" applyFont="1" applyFill="1" applyBorder="1" applyAlignment="1">
      <alignment horizontal="center" vertical="top" wrapText="1"/>
    </xf>
    <xf numFmtId="0" fontId="1" fillId="4" borderId="53" xfId="0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49" fontId="3" fillId="4" borderId="47" xfId="0" applyNumberFormat="1" applyFont="1" applyFill="1" applyBorder="1" applyAlignment="1">
      <alignment horizontal="center" vertical="top"/>
    </xf>
    <xf numFmtId="0" fontId="1" fillId="4" borderId="2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4" borderId="5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" fillId="0" borderId="5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12" fillId="4" borderId="0" xfId="0" applyFont="1" applyFill="1" applyBorder="1"/>
    <xf numFmtId="0" fontId="13" fillId="4" borderId="0" xfId="0" applyFont="1" applyFill="1" applyBorder="1"/>
    <xf numFmtId="0" fontId="16" fillId="4" borderId="0" xfId="0" applyFont="1" applyFill="1" applyBorder="1"/>
    <xf numFmtId="49" fontId="3" fillId="0" borderId="12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5" fillId="3" borderId="4" xfId="0" applyNumberFormat="1" applyFont="1" applyFill="1" applyBorder="1" applyAlignment="1">
      <alignment horizontal="center" vertical="top"/>
    </xf>
    <xf numFmtId="0" fontId="12" fillId="4" borderId="0" xfId="0" applyFont="1" applyFill="1" applyBorder="1" applyAlignment="1">
      <alignment horizontal="left"/>
    </xf>
    <xf numFmtId="49" fontId="5" fillId="3" borderId="30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horizontal="center" vertical="top"/>
    </xf>
    <xf numFmtId="0" fontId="1" fillId="4" borderId="30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164" fontId="3" fillId="2" borderId="67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164" fontId="1" fillId="4" borderId="0" xfId="0" applyNumberFormat="1" applyFont="1" applyFill="1" applyBorder="1" applyAlignment="1">
      <alignment vertical="top"/>
    </xf>
    <xf numFmtId="0" fontId="1" fillId="4" borderId="5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5" fontId="1" fillId="4" borderId="4" xfId="0" applyNumberFormat="1" applyFont="1" applyFill="1" applyBorder="1" applyAlignment="1">
      <alignment horizontal="center" vertical="top" wrapText="1"/>
    </xf>
    <xf numFmtId="164" fontId="3" fillId="5" borderId="60" xfId="0" applyNumberFormat="1" applyFont="1" applyFill="1" applyBorder="1" applyAlignment="1">
      <alignment horizontal="center" vertical="top"/>
    </xf>
    <xf numFmtId="164" fontId="3" fillId="8" borderId="22" xfId="0" applyNumberFormat="1" applyFont="1" applyFill="1" applyBorder="1" applyAlignment="1">
      <alignment horizontal="center" vertical="top"/>
    </xf>
    <xf numFmtId="164" fontId="3" fillId="7" borderId="22" xfId="0" applyNumberFormat="1" applyFont="1" applyFill="1" applyBorder="1" applyAlignment="1">
      <alignment horizontal="center" vertical="top"/>
    </xf>
    <xf numFmtId="164" fontId="3" fillId="5" borderId="15" xfId="0" applyNumberFormat="1" applyFont="1" applyFill="1" applyBorder="1" applyAlignment="1">
      <alignment horizontal="center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center" vertical="top"/>
    </xf>
    <xf numFmtId="164" fontId="3" fillId="5" borderId="71" xfId="0" applyNumberFormat="1" applyFont="1" applyFill="1" applyBorder="1" applyAlignment="1">
      <alignment horizontal="center" vertical="top"/>
    </xf>
    <xf numFmtId="164" fontId="3" fillId="5" borderId="5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center" vertical="top" wrapText="1"/>
    </xf>
    <xf numFmtId="0" fontId="1" fillId="4" borderId="48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165" fontId="1" fillId="10" borderId="10" xfId="1" applyNumberFormat="1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 wrapText="1"/>
    </xf>
    <xf numFmtId="0" fontId="1" fillId="3" borderId="46" xfId="0" applyFont="1" applyFill="1" applyBorder="1" applyAlignment="1">
      <alignment horizontal="center" vertical="top" wrapText="1"/>
    </xf>
    <xf numFmtId="0" fontId="1" fillId="3" borderId="54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4" borderId="59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4" borderId="70" xfId="0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horizontal="center" vertical="top" wrapText="1"/>
    </xf>
    <xf numFmtId="165" fontId="1" fillId="10" borderId="46" xfId="1" applyNumberFormat="1" applyFont="1" applyFill="1" applyBorder="1" applyAlignment="1">
      <alignment horizontal="center" vertical="top" wrapText="1"/>
    </xf>
    <xf numFmtId="0" fontId="2" fillId="0" borderId="42" xfId="0" applyFont="1" applyBorder="1"/>
    <xf numFmtId="164" fontId="1" fillId="0" borderId="6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3" fillId="5" borderId="37" xfId="0" applyNumberFormat="1" applyFont="1" applyFill="1" applyBorder="1" applyAlignment="1">
      <alignment horizontal="center" vertical="top"/>
    </xf>
    <xf numFmtId="164" fontId="1" fillId="0" borderId="39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3" fillId="4" borderId="58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 wrapText="1"/>
    </xf>
    <xf numFmtId="164" fontId="3" fillId="5" borderId="59" xfId="0" applyNumberFormat="1" applyFont="1" applyFill="1" applyBorder="1" applyAlignment="1">
      <alignment horizontal="center" vertical="top" wrapText="1"/>
    </xf>
    <xf numFmtId="164" fontId="1" fillId="0" borderId="59" xfId="0" applyNumberFormat="1" applyFont="1" applyBorder="1" applyAlignment="1">
      <alignment horizontal="center" vertical="top" wrapText="1"/>
    </xf>
    <xf numFmtId="164" fontId="1" fillId="5" borderId="59" xfId="0" applyNumberFormat="1" applyFont="1" applyFill="1" applyBorder="1" applyAlignment="1">
      <alignment horizontal="center" vertical="top" wrapText="1"/>
    </xf>
    <xf numFmtId="164" fontId="1" fillId="4" borderId="59" xfId="0" applyNumberFormat="1" applyFont="1" applyFill="1" applyBorder="1" applyAlignment="1">
      <alignment horizontal="center" vertical="top" wrapText="1"/>
    </xf>
    <xf numFmtId="164" fontId="3" fillId="5" borderId="60" xfId="0" applyNumberFormat="1" applyFont="1" applyFill="1" applyBorder="1" applyAlignment="1">
      <alignment horizontal="center" vertical="top" wrapText="1"/>
    </xf>
    <xf numFmtId="164" fontId="3" fillId="7" borderId="9" xfId="0" applyNumberFormat="1" applyFont="1" applyFill="1" applyBorder="1" applyAlignment="1">
      <alignment horizontal="center" vertical="top" wrapText="1"/>
    </xf>
    <xf numFmtId="164" fontId="3" fillId="5" borderId="9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5" borderId="9" xfId="0" applyNumberFormat="1" applyFont="1" applyFill="1" applyBorder="1" applyAlignment="1">
      <alignment horizontal="center" vertical="top" wrapText="1"/>
    </xf>
    <xf numFmtId="164" fontId="1" fillId="4" borderId="9" xfId="0" applyNumberFormat="1" applyFont="1" applyFill="1" applyBorder="1" applyAlignment="1">
      <alignment horizontal="center" vertical="top" wrapText="1"/>
    </xf>
    <xf numFmtId="164" fontId="3" fillId="5" borderId="15" xfId="0" applyNumberFormat="1" applyFont="1" applyFill="1" applyBorder="1" applyAlignment="1">
      <alignment horizontal="center" vertical="top" wrapText="1"/>
    </xf>
    <xf numFmtId="165" fontId="1" fillId="10" borderId="40" xfId="1" applyNumberFormat="1" applyFont="1" applyFill="1" applyBorder="1" applyAlignment="1">
      <alignment vertical="top" wrapText="1"/>
    </xf>
    <xf numFmtId="165" fontId="1" fillId="10" borderId="42" xfId="1" applyNumberFormat="1" applyFont="1" applyFill="1" applyBorder="1" applyAlignment="1">
      <alignment vertical="top" wrapText="1"/>
    </xf>
    <xf numFmtId="165" fontId="1" fillId="10" borderId="42" xfId="1" applyNumberFormat="1" applyFont="1" applyFill="1" applyBorder="1" applyAlignment="1">
      <alignment horizontal="center" vertical="top" wrapText="1"/>
    </xf>
    <xf numFmtId="0" fontId="2" fillId="4" borderId="0" xfId="0" applyFont="1" applyFill="1" applyBorder="1"/>
    <xf numFmtId="164" fontId="3" fillId="4" borderId="3" xfId="0" applyNumberFormat="1" applyFont="1" applyFill="1" applyBorder="1" applyAlignment="1">
      <alignment horizontal="center" vertical="top"/>
    </xf>
    <xf numFmtId="0" fontId="1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/>
    <xf numFmtId="0" fontId="9" fillId="4" borderId="0" xfId="0" applyFont="1" applyFill="1"/>
    <xf numFmtId="0" fontId="1" fillId="4" borderId="0" xfId="0" applyFont="1" applyFill="1" applyAlignment="1">
      <alignment horizontal="left" wrapText="1"/>
    </xf>
    <xf numFmtId="0" fontId="12" fillId="4" borderId="0" xfId="0" applyFont="1" applyFill="1"/>
    <xf numFmtId="164" fontId="3" fillId="2" borderId="57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Fill="1" applyBorder="1" applyAlignment="1">
      <alignment horizontal="center" vertical="top"/>
    </xf>
    <xf numFmtId="49" fontId="1" fillId="4" borderId="12" xfId="0" applyNumberFormat="1" applyFont="1" applyFill="1" applyBorder="1" applyAlignment="1">
      <alignment vertical="top" wrapText="1"/>
    </xf>
    <xf numFmtId="0" fontId="1" fillId="4" borderId="53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164" fontId="1" fillId="4" borderId="68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center" textRotation="90" wrapText="1"/>
    </xf>
    <xf numFmtId="164" fontId="1" fillId="4" borderId="66" xfId="0" applyNumberFormat="1" applyFont="1" applyFill="1" applyBorder="1" applyAlignment="1">
      <alignment horizontal="center" vertical="top"/>
    </xf>
    <xf numFmtId="164" fontId="1" fillId="0" borderId="51" xfId="0" applyNumberFormat="1" applyFont="1" applyBorder="1" applyAlignment="1">
      <alignment horizontal="center" vertical="top"/>
    </xf>
    <xf numFmtId="164" fontId="1" fillId="0" borderId="66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1" fillId="4" borderId="68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" fillId="4" borderId="69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/>
    </xf>
    <xf numFmtId="164" fontId="1" fillId="4" borderId="10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164" fontId="1" fillId="4" borderId="59" xfId="0" applyNumberFormat="1" applyFont="1" applyFill="1" applyBorder="1" applyAlignment="1">
      <alignment horizontal="center" vertical="top"/>
    </xf>
    <xf numFmtId="164" fontId="1" fillId="4" borderId="61" xfId="0" applyNumberFormat="1" applyFont="1" applyFill="1" applyBorder="1" applyAlignment="1">
      <alignment horizontal="center" vertical="top"/>
    </xf>
    <xf numFmtId="164" fontId="1" fillId="4" borderId="53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59" xfId="0" applyNumberFormat="1" applyFont="1" applyFill="1" applyBorder="1" applyAlignment="1">
      <alignment horizontal="center" vertical="top" wrapText="1"/>
    </xf>
    <xf numFmtId="164" fontId="1" fillId="4" borderId="39" xfId="0" applyNumberFormat="1" applyFont="1" applyFill="1" applyBorder="1" applyAlignment="1">
      <alignment horizontal="center" vertical="top" wrapText="1"/>
    </xf>
    <xf numFmtId="164" fontId="3" fillId="2" borderId="67" xfId="0" applyNumberFormat="1" applyFont="1" applyFill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46" xfId="0" applyNumberFormat="1" applyFont="1" applyBorder="1" applyAlignment="1">
      <alignment horizontal="center" vertical="top" wrapText="1"/>
    </xf>
    <xf numFmtId="164" fontId="1" fillId="0" borderId="71" xfId="0" applyNumberFormat="1" applyFont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71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 vertical="top"/>
    </xf>
    <xf numFmtId="164" fontId="1" fillId="0" borderId="46" xfId="0" applyNumberFormat="1" applyFont="1" applyBorder="1" applyAlignment="1">
      <alignment horizontal="center" vertical="top"/>
    </xf>
    <xf numFmtId="164" fontId="1" fillId="0" borderId="71" xfId="0" applyNumberFormat="1" applyFont="1" applyBorder="1" applyAlignment="1">
      <alignment horizontal="center" vertical="top"/>
    </xf>
    <xf numFmtId="164" fontId="1" fillId="4" borderId="41" xfId="0" applyNumberFormat="1" applyFont="1" applyFill="1" applyBorder="1" applyAlignment="1">
      <alignment horizontal="center" vertical="top"/>
    </xf>
    <xf numFmtId="164" fontId="1" fillId="4" borderId="66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64" fontId="1" fillId="4" borderId="46" xfId="0" applyNumberFormat="1" applyFont="1" applyFill="1" applyBorder="1" applyAlignment="1">
      <alignment horizontal="center" vertical="top"/>
    </xf>
    <xf numFmtId="164" fontId="1" fillId="4" borderId="70" xfId="0" applyNumberFormat="1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164" fontId="1" fillId="4" borderId="40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vertical="top" wrapText="1"/>
    </xf>
    <xf numFmtId="164" fontId="3" fillId="5" borderId="66" xfId="0" applyNumberFormat="1" applyFont="1" applyFill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5" borderId="72" xfId="0" applyFont="1" applyFill="1" applyBorder="1" applyAlignment="1">
      <alignment horizontal="center" vertical="top"/>
    </xf>
    <xf numFmtId="0" fontId="1" fillId="0" borderId="73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/>
    </xf>
    <xf numFmtId="0" fontId="1" fillId="0" borderId="73" xfId="0" applyFont="1" applyFill="1" applyBorder="1" applyAlignment="1">
      <alignment horizontal="center" vertical="top"/>
    </xf>
    <xf numFmtId="0" fontId="1" fillId="4" borderId="32" xfId="0" applyFont="1" applyFill="1" applyBorder="1" applyAlignment="1">
      <alignment horizontal="center" vertical="top"/>
    </xf>
    <xf numFmtId="0" fontId="1" fillId="4" borderId="74" xfId="0" applyFont="1" applyFill="1" applyBorder="1" applyAlignment="1">
      <alignment horizontal="center" vertical="top"/>
    </xf>
    <xf numFmtId="0" fontId="1" fillId="0" borderId="7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/>
    </xf>
    <xf numFmtId="165" fontId="1" fillId="4" borderId="6" xfId="0" applyNumberFormat="1" applyFont="1" applyFill="1" applyBorder="1" applyAlignment="1">
      <alignment horizontal="center" vertical="top" wrapText="1"/>
    </xf>
    <xf numFmtId="165" fontId="1" fillId="4" borderId="74" xfId="0" applyNumberFormat="1" applyFont="1" applyFill="1" applyBorder="1" applyAlignment="1">
      <alignment horizontal="center" vertical="top" wrapText="1"/>
    </xf>
    <xf numFmtId="165" fontId="1" fillId="4" borderId="32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165" fontId="1" fillId="4" borderId="12" xfId="0" applyNumberFormat="1" applyFont="1" applyFill="1" applyBorder="1" applyAlignment="1">
      <alignment horizontal="center" vertical="top" wrapText="1"/>
    </xf>
    <xf numFmtId="0" fontId="1" fillId="3" borderId="40" xfId="0" applyFont="1" applyFill="1" applyBorder="1" applyAlignment="1">
      <alignment horizontal="center" vertical="top"/>
    </xf>
    <xf numFmtId="164" fontId="3" fillId="2" borderId="56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4" borderId="41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49" fontId="1" fillId="0" borderId="53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9" fontId="1" fillId="4" borderId="4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164" fontId="3" fillId="2" borderId="20" xfId="0" applyNumberFormat="1" applyFont="1" applyFill="1" applyBorder="1" applyAlignment="1">
      <alignment horizontal="center" vertical="top" wrapText="1"/>
    </xf>
    <xf numFmtId="164" fontId="3" fillId="8" borderId="20" xfId="0" applyNumberFormat="1" applyFont="1" applyFill="1" applyBorder="1" applyAlignment="1">
      <alignment horizontal="center" vertical="top"/>
    </xf>
    <xf numFmtId="164" fontId="3" fillId="7" borderId="20" xfId="0" applyNumberFormat="1" applyFont="1" applyFill="1" applyBorder="1" applyAlignment="1">
      <alignment horizontal="center" vertical="top"/>
    </xf>
    <xf numFmtId="165" fontId="1" fillId="4" borderId="61" xfId="0" applyNumberFormat="1" applyFont="1" applyFill="1" applyBorder="1" applyAlignment="1">
      <alignment horizontal="center" vertical="top" wrapText="1"/>
    </xf>
    <xf numFmtId="165" fontId="1" fillId="4" borderId="9" xfId="0" applyNumberFormat="1" applyFont="1" applyFill="1" applyBorder="1" applyAlignment="1">
      <alignment horizontal="center" vertical="top" wrapText="1"/>
    </xf>
    <xf numFmtId="165" fontId="1" fillId="4" borderId="59" xfId="0" applyNumberFormat="1" applyFont="1" applyFill="1" applyBorder="1" applyAlignment="1">
      <alignment horizontal="center" vertical="top" wrapText="1"/>
    </xf>
    <xf numFmtId="165" fontId="1" fillId="4" borderId="51" xfId="0" applyNumberFormat="1" applyFont="1" applyFill="1" applyBorder="1" applyAlignment="1">
      <alignment horizontal="center" vertical="top" wrapText="1"/>
    </xf>
    <xf numFmtId="165" fontId="1" fillId="4" borderId="71" xfId="0" applyNumberFormat="1" applyFont="1" applyFill="1" applyBorder="1" applyAlignment="1">
      <alignment horizontal="center" vertical="top" wrapText="1"/>
    </xf>
    <xf numFmtId="164" fontId="18" fillId="4" borderId="0" xfId="0" applyNumberFormat="1" applyFont="1" applyFill="1" applyBorder="1" applyAlignment="1">
      <alignment horizontal="center" vertical="top"/>
    </xf>
    <xf numFmtId="164" fontId="2" fillId="4" borderId="0" xfId="0" applyNumberFormat="1" applyFont="1" applyFill="1"/>
    <xf numFmtId="49" fontId="3" fillId="8" borderId="23" xfId="0" applyNumberFormat="1" applyFont="1" applyFill="1" applyBorder="1" applyAlignment="1">
      <alignment horizontal="center" vertical="top"/>
    </xf>
    <xf numFmtId="0" fontId="3" fillId="5" borderId="18" xfId="0" applyFont="1" applyFill="1" applyBorder="1" applyAlignment="1">
      <alignment horizontal="center" vertical="top"/>
    </xf>
    <xf numFmtId="164" fontId="3" fillId="5" borderId="16" xfId="0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 wrapText="1"/>
    </xf>
    <xf numFmtId="164" fontId="3" fillId="2" borderId="56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4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4" borderId="30" xfId="0" applyFont="1" applyFill="1" applyBorder="1" applyAlignment="1">
      <alignment horizontal="left"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left" vertical="top" wrapText="1"/>
    </xf>
    <xf numFmtId="0" fontId="1" fillId="0" borderId="42" xfId="0" applyFont="1" applyFill="1" applyBorder="1" applyAlignment="1">
      <alignment vertical="top" wrapText="1"/>
    </xf>
    <xf numFmtId="0" fontId="1" fillId="4" borderId="30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center" textRotation="90" wrapText="1"/>
    </xf>
    <xf numFmtId="0" fontId="1" fillId="4" borderId="16" xfId="0" applyFont="1" applyFill="1" applyBorder="1" applyAlignment="1">
      <alignment vertical="center" textRotation="90" wrapText="1"/>
    </xf>
    <xf numFmtId="0" fontId="3" fillId="4" borderId="16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center" textRotation="90"/>
    </xf>
    <xf numFmtId="0" fontId="3" fillId="4" borderId="16" xfId="0" applyFont="1" applyFill="1" applyBorder="1" applyAlignment="1">
      <alignment vertical="center" textRotation="90"/>
    </xf>
    <xf numFmtId="0" fontId="1" fillId="4" borderId="16" xfId="0" applyFont="1" applyFill="1" applyBorder="1" applyAlignment="1">
      <alignment vertical="center" textRotation="90"/>
    </xf>
    <xf numFmtId="0" fontId="1" fillId="4" borderId="10" xfId="0" applyFont="1" applyFill="1" applyBorder="1" applyAlignment="1">
      <alignment vertical="center" textRotation="90"/>
    </xf>
    <xf numFmtId="0" fontId="3" fillId="4" borderId="4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 textRotation="90"/>
    </xf>
    <xf numFmtId="165" fontId="3" fillId="0" borderId="51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vertical="top" wrapText="1"/>
    </xf>
    <xf numFmtId="165" fontId="1" fillId="0" borderId="16" xfId="0" applyNumberFormat="1" applyFont="1" applyFill="1" applyBorder="1" applyAlignment="1">
      <alignment vertical="center" textRotation="90" wrapText="1"/>
    </xf>
    <xf numFmtId="0" fontId="5" fillId="4" borderId="10" xfId="0" applyFont="1" applyFill="1" applyBorder="1" applyAlignment="1">
      <alignment horizontal="center" vertical="center" textRotation="90"/>
    </xf>
    <xf numFmtId="49" fontId="1" fillId="0" borderId="49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left" vertical="top" wrapText="1"/>
    </xf>
    <xf numFmtId="0" fontId="1" fillId="4" borderId="40" xfId="0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textRotation="90" wrapText="1"/>
    </xf>
    <xf numFmtId="49" fontId="3" fillId="8" borderId="14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 wrapText="1"/>
    </xf>
    <xf numFmtId="164" fontId="1" fillId="4" borderId="39" xfId="0" applyNumberFormat="1" applyFont="1" applyFill="1" applyBorder="1" applyAlignment="1">
      <alignment horizontal="center" vertical="top"/>
    </xf>
    <xf numFmtId="164" fontId="3" fillId="5" borderId="0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/>
    </xf>
    <xf numFmtId="164" fontId="1" fillId="11" borderId="39" xfId="1" applyNumberFormat="1" applyFont="1" applyFill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left" vertical="top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4" borderId="7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2" xfId="0" applyFont="1" applyBorder="1"/>
    <xf numFmtId="0" fontId="1" fillId="3" borderId="44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center" textRotation="90" wrapText="1"/>
    </xf>
    <xf numFmtId="0" fontId="2" fillId="0" borderId="46" xfId="0" applyFont="1" applyBorder="1"/>
    <xf numFmtId="49" fontId="1" fillId="4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165" fontId="1" fillId="10" borderId="12" xfId="1" applyNumberFormat="1" applyFont="1" applyFill="1" applyBorder="1" applyAlignment="1">
      <alignment horizontal="center" vertical="top" wrapText="1"/>
    </xf>
    <xf numFmtId="0" fontId="1" fillId="10" borderId="12" xfId="1" applyNumberFormat="1" applyFont="1" applyFill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 vertical="top"/>
    </xf>
    <xf numFmtId="49" fontId="1" fillId="4" borderId="32" xfId="0" applyNumberFormat="1" applyFont="1" applyFill="1" applyBorder="1" applyAlignment="1">
      <alignment horizontal="center" vertical="top"/>
    </xf>
    <xf numFmtId="49" fontId="1" fillId="4" borderId="47" xfId="0" applyNumberFormat="1" applyFont="1" applyFill="1" applyBorder="1" applyAlignment="1">
      <alignment horizontal="center" vertical="top"/>
    </xf>
    <xf numFmtId="49" fontId="1" fillId="0" borderId="74" xfId="0" applyNumberFormat="1" applyFont="1" applyFill="1" applyBorder="1" applyAlignment="1">
      <alignment horizontal="center" vertical="top"/>
    </xf>
    <xf numFmtId="49" fontId="1" fillId="0" borderId="47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165" fontId="1" fillId="0" borderId="30" xfId="0" applyNumberFormat="1" applyFont="1" applyFill="1" applyBorder="1" applyAlignment="1">
      <alignment horizontal="center" vertical="center" textRotation="90" wrapText="1"/>
    </xf>
    <xf numFmtId="165" fontId="1" fillId="10" borderId="18" xfId="1" applyNumberFormat="1" applyFont="1" applyFill="1" applyBorder="1" applyAlignment="1">
      <alignment horizontal="center" vertical="top" wrapText="1"/>
    </xf>
    <xf numFmtId="49" fontId="1" fillId="4" borderId="18" xfId="0" applyNumberFormat="1" applyFont="1" applyFill="1" applyBorder="1" applyAlignment="1">
      <alignment horizontal="center" vertical="top"/>
    </xf>
    <xf numFmtId="49" fontId="1" fillId="4" borderId="46" xfId="0" applyNumberFormat="1" applyFont="1" applyFill="1" applyBorder="1" applyAlignment="1">
      <alignment horizontal="center" vertical="top"/>
    </xf>
    <xf numFmtId="0" fontId="1" fillId="10" borderId="42" xfId="1" applyNumberFormat="1" applyFont="1" applyFill="1" applyBorder="1" applyAlignment="1">
      <alignment horizontal="center" vertical="top"/>
    </xf>
    <xf numFmtId="0" fontId="1" fillId="10" borderId="46" xfId="1" applyNumberFormat="1" applyFont="1" applyFill="1" applyBorder="1" applyAlignment="1">
      <alignment horizontal="center" vertical="top"/>
    </xf>
    <xf numFmtId="164" fontId="6" fillId="0" borderId="46" xfId="0" applyNumberFormat="1" applyFont="1" applyFill="1" applyBorder="1" applyAlignment="1">
      <alignment horizontal="center" vertical="top" wrapText="1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4" borderId="58" xfId="0" applyNumberFormat="1" applyFont="1" applyFill="1" applyBorder="1" applyAlignment="1">
      <alignment horizontal="center" vertical="top"/>
    </xf>
    <xf numFmtId="164" fontId="1" fillId="0" borderId="58" xfId="0" applyNumberFormat="1" applyFont="1" applyFill="1" applyBorder="1" applyAlignment="1">
      <alignment horizontal="center" vertical="top" wrapText="1"/>
    </xf>
    <xf numFmtId="164" fontId="1" fillId="0" borderId="70" xfId="0" applyNumberFormat="1" applyFont="1" applyBorder="1" applyAlignment="1">
      <alignment horizontal="center" vertical="top"/>
    </xf>
    <xf numFmtId="164" fontId="1" fillId="4" borderId="70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3" fillId="5" borderId="72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165" fontId="4" fillId="4" borderId="74" xfId="0" applyNumberFormat="1" applyFont="1" applyFill="1" applyBorder="1" applyAlignment="1">
      <alignment horizontal="center" vertical="top" wrapText="1"/>
    </xf>
    <xf numFmtId="0" fontId="3" fillId="5" borderId="74" xfId="0" applyFont="1" applyFill="1" applyBorder="1" applyAlignment="1">
      <alignment horizontal="right" vertical="top" wrapText="1"/>
    </xf>
    <xf numFmtId="0" fontId="3" fillId="5" borderId="18" xfId="0" applyFont="1" applyFill="1" applyBorder="1" applyAlignment="1">
      <alignment horizontal="right" vertical="top"/>
    </xf>
    <xf numFmtId="0" fontId="3" fillId="5" borderId="72" xfId="0" applyFont="1" applyFill="1" applyBorder="1" applyAlignment="1">
      <alignment horizontal="right" vertical="top"/>
    </xf>
    <xf numFmtId="0" fontId="1" fillId="0" borderId="74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right" vertical="top"/>
    </xf>
    <xf numFmtId="0" fontId="1" fillId="0" borderId="47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right" vertical="top" wrapText="1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32" xfId="0" applyNumberFormat="1" applyFont="1" applyFill="1" applyBorder="1" applyAlignment="1">
      <alignment horizontal="center" vertical="top" wrapText="1"/>
    </xf>
    <xf numFmtId="164" fontId="3" fillId="5" borderId="72" xfId="0" applyNumberFormat="1" applyFont="1" applyFill="1" applyBorder="1" applyAlignment="1">
      <alignment horizontal="center" vertical="top"/>
    </xf>
    <xf numFmtId="164" fontId="1" fillId="4" borderId="6" xfId="0" applyNumberFormat="1" applyFont="1" applyFill="1" applyBorder="1" applyAlignment="1">
      <alignment horizontal="center" vertical="top"/>
    </xf>
    <xf numFmtId="164" fontId="1" fillId="4" borderId="12" xfId="0" applyNumberFormat="1" applyFont="1" applyFill="1" applyBorder="1" applyAlignment="1">
      <alignment horizontal="center" vertical="top"/>
    </xf>
    <xf numFmtId="164" fontId="3" fillId="5" borderId="72" xfId="0" applyNumberFormat="1" applyFont="1" applyFill="1" applyBorder="1" applyAlignment="1">
      <alignment horizontal="center" vertical="top" wrapText="1"/>
    </xf>
    <xf numFmtId="164" fontId="1" fillId="11" borderId="6" xfId="1" applyNumberFormat="1" applyFont="1" applyFill="1" applyBorder="1" applyAlignment="1">
      <alignment horizontal="center" vertical="top"/>
    </xf>
    <xf numFmtId="164" fontId="1" fillId="11" borderId="47" xfId="1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164" fontId="1" fillId="4" borderId="6" xfId="0" applyNumberFormat="1" applyFont="1" applyFill="1" applyBorder="1" applyAlignment="1">
      <alignment horizontal="center" vertical="top" wrapText="1"/>
    </xf>
    <xf numFmtId="164" fontId="1" fillId="4" borderId="74" xfId="0" applyNumberFormat="1" applyFont="1" applyFill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/>
    </xf>
    <xf numFmtId="49" fontId="1" fillId="4" borderId="30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2" fillId="0" borderId="10" xfId="0" applyFont="1" applyBorder="1"/>
    <xf numFmtId="0" fontId="1" fillId="4" borderId="73" xfId="0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/>
    </xf>
    <xf numFmtId="49" fontId="1" fillId="4" borderId="40" xfId="0" applyNumberFormat="1" applyFont="1" applyFill="1" applyBorder="1" applyAlignment="1">
      <alignment horizontal="center" vertical="top"/>
    </xf>
    <xf numFmtId="167" fontId="1" fillId="10" borderId="40" xfId="1" applyNumberFormat="1" applyFont="1" applyFill="1" applyBorder="1" applyAlignment="1">
      <alignment horizontal="center" vertical="top" wrapText="1"/>
    </xf>
    <xf numFmtId="167" fontId="1" fillId="10" borderId="44" xfId="1" applyNumberFormat="1" applyFont="1" applyFill="1" applyBorder="1" applyAlignment="1">
      <alignment horizontal="center" vertical="top" wrapText="1"/>
    </xf>
    <xf numFmtId="165" fontId="1" fillId="10" borderId="23" xfId="1" applyNumberFormat="1" applyFont="1" applyFill="1" applyBorder="1" applyAlignment="1">
      <alignment horizontal="center" vertical="top" wrapText="1"/>
    </xf>
    <xf numFmtId="165" fontId="1" fillId="10" borderId="54" xfId="1" applyNumberFormat="1" applyFont="1" applyFill="1" applyBorder="1" applyAlignment="1">
      <alignment horizontal="center" vertical="top" wrapText="1"/>
    </xf>
    <xf numFmtId="165" fontId="1" fillId="10" borderId="23" xfId="1" applyNumberFormat="1" applyFont="1" applyFill="1" applyBorder="1" applyAlignment="1">
      <alignment horizontal="center" vertical="top"/>
    </xf>
    <xf numFmtId="0" fontId="1" fillId="10" borderId="18" xfId="1" applyNumberFormat="1" applyFont="1" applyFill="1" applyBorder="1" applyAlignment="1">
      <alignment horizontal="center" vertical="top"/>
    </xf>
    <xf numFmtId="0" fontId="1" fillId="10" borderId="23" xfId="1" applyNumberFormat="1" applyFont="1" applyFill="1" applyBorder="1" applyAlignment="1">
      <alignment horizontal="center" vertical="top"/>
    </xf>
    <xf numFmtId="0" fontId="1" fillId="10" borderId="54" xfId="1" applyNumberFormat="1" applyFont="1" applyFill="1" applyBorder="1" applyAlignment="1">
      <alignment horizontal="center" vertical="top"/>
    </xf>
    <xf numFmtId="49" fontId="1" fillId="4" borderId="44" xfId="0" applyNumberFormat="1" applyFont="1" applyFill="1" applyBorder="1" applyAlignment="1">
      <alignment horizontal="center" vertical="top"/>
    </xf>
    <xf numFmtId="49" fontId="1" fillId="4" borderId="23" xfId="0" applyNumberFormat="1" applyFont="1" applyFill="1" applyBorder="1" applyAlignment="1">
      <alignment horizontal="center" vertical="top"/>
    </xf>
    <xf numFmtId="49" fontId="1" fillId="4" borderId="54" xfId="0" applyNumberFormat="1" applyFont="1" applyFill="1" applyBorder="1" applyAlignment="1">
      <alignment horizontal="center" vertical="top"/>
    </xf>
    <xf numFmtId="164" fontId="3" fillId="2" borderId="75" xfId="0" applyNumberFormat="1" applyFont="1" applyFill="1" applyBorder="1" applyAlignment="1">
      <alignment horizontal="center" vertical="top" wrapText="1"/>
    </xf>
    <xf numFmtId="164" fontId="3" fillId="8" borderId="75" xfId="0" applyNumberFormat="1" applyFont="1" applyFill="1" applyBorder="1" applyAlignment="1">
      <alignment horizontal="center" vertical="top"/>
    </xf>
    <xf numFmtId="164" fontId="3" fillId="7" borderId="75" xfId="0" applyNumberFormat="1" applyFont="1" applyFill="1" applyBorder="1" applyAlignment="1">
      <alignment horizontal="center" vertical="top"/>
    </xf>
    <xf numFmtId="167" fontId="1" fillId="10" borderId="4" xfId="1" applyNumberFormat="1" applyFont="1" applyFill="1" applyBorder="1" applyAlignment="1">
      <alignment horizontal="center" vertical="top" wrapText="1"/>
    </xf>
    <xf numFmtId="165" fontId="1" fillId="10" borderId="16" xfId="1" applyNumberFormat="1" applyFont="1" applyFill="1" applyBorder="1" applyAlignment="1">
      <alignment horizontal="center" vertical="top" wrapText="1"/>
    </xf>
    <xf numFmtId="165" fontId="1" fillId="10" borderId="16" xfId="1" applyNumberFormat="1" applyFont="1" applyFill="1" applyBorder="1" applyAlignment="1">
      <alignment horizontal="center" vertical="top"/>
    </xf>
    <xf numFmtId="0" fontId="1" fillId="10" borderId="10" xfId="1" applyNumberFormat="1" applyFont="1" applyFill="1" applyBorder="1" applyAlignment="1">
      <alignment horizontal="center" vertical="top"/>
    </xf>
    <xf numFmtId="0" fontId="1" fillId="10" borderId="16" xfId="1" applyNumberFormat="1" applyFont="1" applyFill="1" applyBorder="1" applyAlignment="1">
      <alignment horizontal="center" vertical="top"/>
    </xf>
    <xf numFmtId="164" fontId="3" fillId="5" borderId="10" xfId="0" applyNumberFormat="1" applyFont="1" applyFill="1" applyBorder="1" applyAlignment="1">
      <alignment horizontal="center" vertical="top"/>
    </xf>
    <xf numFmtId="164" fontId="1" fillId="11" borderId="4" xfId="1" applyNumberFormat="1" applyFont="1" applyFill="1" applyBorder="1" applyAlignment="1">
      <alignment horizontal="center" vertical="top"/>
    </xf>
    <xf numFmtId="49" fontId="20" fillId="4" borderId="0" xfId="0" applyNumberFormat="1" applyFont="1" applyFill="1" applyBorder="1" applyAlignment="1">
      <alignment horizontal="left" vertical="top" wrapText="1"/>
    </xf>
    <xf numFmtId="0" fontId="1" fillId="0" borderId="74" xfId="0" applyFont="1" applyBorder="1" applyAlignment="1">
      <alignment horizontal="center" vertical="top"/>
    </xf>
    <xf numFmtId="164" fontId="3" fillId="5" borderId="54" xfId="0" applyNumberFormat="1" applyFont="1" applyFill="1" applyBorder="1" applyAlignment="1">
      <alignment horizontal="center" vertical="top"/>
    </xf>
    <xf numFmtId="164" fontId="1" fillId="0" borderId="7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center" textRotation="90" wrapText="1"/>
    </xf>
    <xf numFmtId="164" fontId="1" fillId="0" borderId="9" xfId="0" applyNumberFormat="1" applyFont="1" applyBorder="1" applyAlignment="1">
      <alignment horizontal="center" vertical="top"/>
    </xf>
    <xf numFmtId="164" fontId="1" fillId="0" borderId="59" xfId="0" applyNumberFormat="1" applyFont="1" applyBorder="1" applyAlignment="1">
      <alignment horizontal="center" vertical="top"/>
    </xf>
    <xf numFmtId="164" fontId="1" fillId="4" borderId="53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58" xfId="0" applyFont="1" applyFill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70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4" borderId="62" xfId="0" applyNumberFormat="1" applyFont="1" applyFill="1" applyBorder="1" applyAlignment="1">
      <alignment horizontal="center" vertical="top"/>
    </xf>
    <xf numFmtId="49" fontId="1" fillId="0" borderId="55" xfId="0" applyNumberFormat="1" applyFont="1" applyFill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 vertical="top"/>
    </xf>
    <xf numFmtId="164" fontId="1" fillId="4" borderId="41" xfId="0" applyNumberFormat="1" applyFont="1" applyFill="1" applyBorder="1" applyAlignment="1">
      <alignment horizontal="center" vertical="top" wrapText="1"/>
    </xf>
    <xf numFmtId="164" fontId="1" fillId="4" borderId="48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4" fontId="1" fillId="0" borderId="41" xfId="0" applyNumberFormat="1" applyFont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/>
    </xf>
    <xf numFmtId="49" fontId="1" fillId="4" borderId="55" xfId="0" applyNumberFormat="1" applyFont="1" applyFill="1" applyBorder="1" applyAlignment="1">
      <alignment horizontal="center" vertical="top"/>
    </xf>
    <xf numFmtId="49" fontId="1" fillId="4" borderId="13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11" borderId="48" xfId="1" applyNumberFormat="1" applyFont="1" applyFill="1" applyBorder="1" applyAlignment="1">
      <alignment horizontal="center" vertical="top"/>
    </xf>
    <xf numFmtId="164" fontId="1" fillId="11" borderId="70" xfId="1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59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 wrapText="1"/>
    </xf>
    <xf numFmtId="164" fontId="3" fillId="7" borderId="74" xfId="0" applyNumberFormat="1" applyFont="1" applyFill="1" applyBorder="1" applyAlignment="1">
      <alignment horizontal="center" vertical="top" wrapText="1"/>
    </xf>
    <xf numFmtId="164" fontId="3" fillId="5" borderId="74" xfId="0" applyNumberFormat="1" applyFont="1" applyFill="1" applyBorder="1" applyAlignment="1">
      <alignment horizontal="center" vertical="top" wrapText="1"/>
    </xf>
    <xf numFmtId="164" fontId="1" fillId="0" borderId="74" xfId="0" applyNumberFormat="1" applyFont="1" applyBorder="1" applyAlignment="1">
      <alignment horizontal="center" vertical="top" wrapText="1"/>
    </xf>
    <xf numFmtId="164" fontId="1" fillId="5" borderId="74" xfId="0" applyNumberFormat="1" applyFont="1" applyFill="1" applyBorder="1" applyAlignment="1">
      <alignment horizontal="center" vertical="top" wrapText="1"/>
    </xf>
    <xf numFmtId="164" fontId="3" fillId="7" borderId="47" xfId="0" applyNumberFormat="1" applyFont="1" applyFill="1" applyBorder="1" applyAlignment="1">
      <alignment horizontal="center" vertical="top" wrapText="1"/>
    </xf>
    <xf numFmtId="164" fontId="3" fillId="5" borderId="53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Border="1" applyAlignment="1">
      <alignment horizontal="center" vertical="top" wrapText="1"/>
    </xf>
    <xf numFmtId="164" fontId="1" fillId="5" borderId="53" xfId="0" applyNumberFormat="1" applyFont="1" applyFill="1" applyBorder="1" applyAlignment="1">
      <alignment horizontal="center" vertical="top" wrapText="1"/>
    </xf>
    <xf numFmtId="164" fontId="3" fillId="7" borderId="53" xfId="0" applyNumberFormat="1" applyFont="1" applyFill="1" applyBorder="1" applyAlignment="1">
      <alignment horizontal="center" vertical="top" wrapText="1"/>
    </xf>
    <xf numFmtId="164" fontId="21" fillId="0" borderId="75" xfId="0" applyNumberFormat="1" applyFont="1" applyBorder="1" applyAlignment="1">
      <alignment horizontal="center" vertical="center" textRotation="90" wrapText="1"/>
    </xf>
    <xf numFmtId="164" fontId="21" fillId="0" borderId="20" xfId="0" applyNumberFormat="1" applyFont="1" applyBorder="1" applyAlignment="1">
      <alignment horizontal="center" vertical="center" textRotation="90" wrapText="1"/>
    </xf>
    <xf numFmtId="164" fontId="21" fillId="0" borderId="56" xfId="0" applyNumberFormat="1" applyFont="1" applyBorder="1" applyAlignment="1">
      <alignment horizontal="center" vertical="center" textRotation="90" wrapText="1"/>
    </xf>
    <xf numFmtId="164" fontId="21" fillId="0" borderId="22" xfId="0" applyNumberFormat="1" applyFont="1" applyBorder="1" applyAlignment="1">
      <alignment horizontal="center" vertical="center" textRotation="90" wrapText="1"/>
    </xf>
    <xf numFmtId="164" fontId="3" fillId="7" borderId="41" xfId="0" applyNumberFormat="1" applyFont="1" applyFill="1" applyBorder="1" applyAlignment="1">
      <alignment horizontal="center" vertical="top" wrapText="1"/>
    </xf>
    <xf numFmtId="164" fontId="3" fillId="5" borderId="43" xfId="0" applyNumberFormat="1" applyFont="1" applyFill="1" applyBorder="1" applyAlignment="1">
      <alignment horizontal="center" vertical="top" wrapText="1"/>
    </xf>
    <xf numFmtId="164" fontId="3" fillId="7" borderId="70" xfId="0" applyNumberFormat="1" applyFont="1" applyFill="1" applyBorder="1" applyAlignment="1">
      <alignment horizontal="center" vertical="top" wrapText="1"/>
    </xf>
    <xf numFmtId="164" fontId="3" fillId="7" borderId="48" xfId="0" applyNumberFormat="1" applyFont="1" applyFill="1" applyBorder="1" applyAlignment="1">
      <alignment horizontal="center" vertical="top" wrapText="1"/>
    </xf>
    <xf numFmtId="164" fontId="3" fillId="5" borderId="46" xfId="0" applyNumberFormat="1" applyFont="1" applyFill="1" applyBorder="1" applyAlignment="1">
      <alignment horizontal="center" vertical="top"/>
    </xf>
    <xf numFmtId="164" fontId="3" fillId="4" borderId="68" xfId="0" applyNumberFormat="1" applyFont="1" applyFill="1" applyBorder="1" applyAlignment="1">
      <alignment horizontal="center" vertical="top"/>
    </xf>
    <xf numFmtId="1" fontId="1" fillId="10" borderId="42" xfId="1" applyNumberFormat="1" applyFont="1" applyFill="1" applyBorder="1" applyAlignment="1">
      <alignment horizontal="center" vertical="top" wrapText="1"/>
    </xf>
    <xf numFmtId="1" fontId="1" fillId="10" borderId="10" xfId="1" applyNumberFormat="1" applyFont="1" applyFill="1" applyBorder="1" applyAlignment="1">
      <alignment horizontal="center" vertical="top" wrapText="1"/>
    </xf>
    <xf numFmtId="167" fontId="1" fillId="10" borderId="73" xfId="1" applyNumberFormat="1" applyFont="1" applyFill="1" applyBorder="1" applyAlignment="1">
      <alignment horizontal="center" vertical="top" wrapText="1"/>
    </xf>
    <xf numFmtId="167" fontId="1" fillId="10" borderId="28" xfId="1" applyNumberFormat="1" applyFont="1" applyFill="1" applyBorder="1" applyAlignment="1">
      <alignment horizontal="center" vertical="top" wrapText="1"/>
    </xf>
    <xf numFmtId="167" fontId="1" fillId="10" borderId="3" xfId="1" applyNumberFormat="1" applyFont="1" applyFill="1" applyBorder="1" applyAlignment="1">
      <alignment horizontal="center" vertical="top" wrapText="1"/>
    </xf>
    <xf numFmtId="167" fontId="1" fillId="10" borderId="58" xfId="1" applyNumberFormat="1" applyFont="1" applyFill="1" applyBorder="1" applyAlignment="1">
      <alignment horizontal="center" vertical="top" wrapText="1"/>
    </xf>
    <xf numFmtId="165" fontId="1" fillId="10" borderId="1" xfId="1" applyNumberFormat="1" applyFont="1" applyFill="1" applyBorder="1" applyAlignment="1">
      <alignment horizontal="center" vertical="top"/>
    </xf>
    <xf numFmtId="164" fontId="3" fillId="4" borderId="73" xfId="0" applyNumberFormat="1" applyFont="1" applyFill="1" applyBorder="1" applyAlignment="1">
      <alignment horizontal="center" vertical="top"/>
    </xf>
    <xf numFmtId="165" fontId="1" fillId="10" borderId="42" xfId="1" applyNumberFormat="1" applyFont="1" applyFill="1" applyBorder="1" applyAlignment="1">
      <alignment vertical="top"/>
    </xf>
    <xf numFmtId="165" fontId="1" fillId="10" borderId="5" xfId="1" applyNumberFormat="1" applyFont="1" applyFill="1" applyBorder="1" applyAlignment="1">
      <alignment horizontal="center" vertical="top"/>
    </xf>
    <xf numFmtId="165" fontId="1" fillId="10" borderId="17" xfId="1" applyNumberFormat="1" applyFont="1" applyFill="1" applyBorder="1" applyAlignment="1">
      <alignment horizontal="center" vertical="top"/>
    </xf>
    <xf numFmtId="165" fontId="1" fillId="10" borderId="11" xfId="1" applyNumberFormat="1" applyFont="1" applyFill="1" applyBorder="1" applyAlignment="1">
      <alignment horizontal="center" vertical="top"/>
    </xf>
    <xf numFmtId="0" fontId="1" fillId="4" borderId="73" xfId="0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64" fontId="3" fillId="2" borderId="57" xfId="0" applyNumberFormat="1" applyFont="1" applyFill="1" applyBorder="1" applyAlignment="1">
      <alignment horizontal="center" vertical="top"/>
    </xf>
    <xf numFmtId="164" fontId="3" fillId="5" borderId="23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165" fontId="1" fillId="10" borderId="0" xfId="1" applyNumberFormat="1" applyFont="1" applyFill="1" applyBorder="1" applyAlignment="1">
      <alignment horizontal="center" vertical="top"/>
    </xf>
    <xf numFmtId="165" fontId="1" fillId="10" borderId="30" xfId="1" applyNumberFormat="1" applyFont="1" applyFill="1" applyBorder="1" applyAlignment="1">
      <alignment horizontal="center" vertical="top"/>
    </xf>
    <xf numFmtId="0" fontId="1" fillId="4" borderId="40" xfId="0" applyFont="1" applyFill="1" applyBorder="1" applyAlignment="1">
      <alignment vertical="top" wrapText="1"/>
    </xf>
    <xf numFmtId="164" fontId="1" fillId="4" borderId="73" xfId="0" applyNumberFormat="1" applyFont="1" applyFill="1" applyBorder="1" applyAlignment="1">
      <alignment horizontal="center" vertical="top"/>
    </xf>
    <xf numFmtId="1" fontId="1" fillId="10" borderId="12" xfId="1" applyNumberFormat="1" applyFont="1" applyFill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 wrapText="1"/>
    </xf>
    <xf numFmtId="49" fontId="1" fillId="4" borderId="9" xfId="0" applyNumberFormat="1" applyFont="1" applyFill="1" applyBorder="1" applyAlignment="1">
      <alignment horizontal="center" vertical="top" wrapText="1"/>
    </xf>
    <xf numFmtId="49" fontId="1" fillId="4" borderId="59" xfId="0" applyNumberFormat="1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165" fontId="1" fillId="4" borderId="73" xfId="0" applyNumberFormat="1" applyFont="1" applyFill="1" applyBorder="1" applyAlignment="1">
      <alignment horizontal="center" vertical="top" wrapText="1"/>
    </xf>
    <xf numFmtId="164" fontId="1" fillId="4" borderId="73" xfId="0" applyNumberFormat="1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center" vertical="top"/>
    </xf>
    <xf numFmtId="164" fontId="1" fillId="4" borderId="12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165" fontId="3" fillId="5" borderId="72" xfId="0" applyNumberFormat="1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3" fillId="4" borderId="10" xfId="0" applyNumberFormat="1" applyFont="1" applyFill="1" applyBorder="1" applyAlignment="1">
      <alignment horizontal="center" vertical="top"/>
    </xf>
    <xf numFmtId="49" fontId="3" fillId="4" borderId="4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vertical="top"/>
    </xf>
    <xf numFmtId="49" fontId="4" fillId="3" borderId="3" xfId="0" applyNumberFormat="1" applyFont="1" applyFill="1" applyBorder="1" applyAlignment="1">
      <alignment horizontal="center" vertical="top"/>
    </xf>
    <xf numFmtId="49" fontId="4" fillId="3" borderId="48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164" fontId="1" fillId="11" borderId="73" xfId="1" applyNumberFormat="1" applyFont="1" applyFill="1" applyBorder="1" applyAlignment="1">
      <alignment horizontal="center" vertical="top"/>
    </xf>
    <xf numFmtId="164" fontId="1" fillId="11" borderId="68" xfId="1" applyNumberFormat="1" applyFont="1" applyFill="1" applyBorder="1" applyAlignment="1">
      <alignment horizontal="center" vertical="top"/>
    </xf>
    <xf numFmtId="164" fontId="1" fillId="11" borderId="3" xfId="1" applyNumberFormat="1" applyFont="1" applyFill="1" applyBorder="1" applyAlignment="1">
      <alignment horizontal="center" vertical="top"/>
    </xf>
    <xf numFmtId="165" fontId="1" fillId="10" borderId="73" xfId="1" applyNumberFormat="1" applyFont="1" applyFill="1" applyBorder="1" applyAlignment="1">
      <alignment vertical="top" wrapText="1"/>
    </xf>
    <xf numFmtId="165" fontId="1" fillId="10" borderId="42" xfId="1" applyNumberFormat="1" applyFont="1" applyFill="1" applyBorder="1" applyAlignment="1">
      <alignment horizontal="center" vertical="top"/>
    </xf>
    <xf numFmtId="1" fontId="1" fillId="10" borderId="10" xfId="1" applyNumberFormat="1" applyFont="1" applyFill="1" applyBorder="1" applyAlignment="1">
      <alignment horizontal="center" vertical="top"/>
    </xf>
    <xf numFmtId="1" fontId="1" fillId="10" borderId="46" xfId="1" applyNumberFormat="1" applyFont="1" applyFill="1" applyBorder="1" applyAlignment="1">
      <alignment horizontal="center" vertical="top"/>
    </xf>
    <xf numFmtId="165" fontId="1" fillId="10" borderId="40" xfId="1" applyNumberFormat="1" applyFont="1" applyFill="1" applyBorder="1" applyAlignment="1">
      <alignment horizontal="center" vertical="top"/>
    </xf>
    <xf numFmtId="165" fontId="1" fillId="10" borderId="47" xfId="1" applyNumberFormat="1" applyFont="1" applyFill="1" applyBorder="1" applyAlignment="1">
      <alignment horizontal="center" vertical="top"/>
    </xf>
    <xf numFmtId="165" fontId="1" fillId="10" borderId="41" xfId="1" applyNumberFormat="1" applyFont="1" applyFill="1" applyBorder="1" applyAlignment="1">
      <alignment horizontal="center" vertical="top"/>
    </xf>
    <xf numFmtId="0" fontId="3" fillId="4" borderId="47" xfId="0" applyFont="1" applyFill="1" applyBorder="1" applyAlignment="1">
      <alignment horizontal="right" vertical="top"/>
    </xf>
    <xf numFmtId="164" fontId="3" fillId="4" borderId="41" xfId="0" applyNumberFormat="1" applyFont="1" applyFill="1" applyBorder="1" applyAlignment="1">
      <alignment horizontal="center" vertical="top"/>
    </xf>
    <xf numFmtId="164" fontId="3" fillId="4" borderId="48" xfId="0" applyNumberFormat="1" applyFont="1" applyFill="1" applyBorder="1" applyAlignment="1">
      <alignment horizontal="center" vertical="top"/>
    </xf>
    <xf numFmtId="164" fontId="3" fillId="4" borderId="70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1" fontId="1" fillId="10" borderId="54" xfId="1" applyNumberFormat="1" applyFont="1" applyFill="1" applyBorder="1" applyAlignment="1">
      <alignment horizontal="center" vertical="top"/>
    </xf>
    <xf numFmtId="1" fontId="1" fillId="10" borderId="44" xfId="1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center" textRotation="90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6" xfId="0" applyFont="1" applyFill="1" applyBorder="1" applyAlignment="1">
      <alignment horizontal="center" vertical="top"/>
    </xf>
    <xf numFmtId="0" fontId="4" fillId="4" borderId="74" xfId="0" applyFont="1" applyFill="1" applyBorder="1" applyAlignment="1">
      <alignment vertical="top" wrapText="1"/>
    </xf>
    <xf numFmtId="49" fontId="1" fillId="4" borderId="74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1" fontId="1" fillId="10" borderId="46" xfId="1" applyNumberFormat="1" applyFont="1" applyFill="1" applyBorder="1" applyAlignment="1">
      <alignment horizontal="center" vertical="top" wrapText="1"/>
    </xf>
    <xf numFmtId="165" fontId="1" fillId="10" borderId="40" xfId="1" applyNumberFormat="1" applyFont="1" applyFill="1" applyBorder="1" applyAlignment="1">
      <alignment vertical="top"/>
    </xf>
    <xf numFmtId="0" fontId="1" fillId="4" borderId="4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167" fontId="1" fillId="10" borderId="36" xfId="1" applyNumberFormat="1" applyFont="1" applyFill="1" applyBorder="1" applyAlignment="1">
      <alignment vertical="top" wrapText="1"/>
    </xf>
    <xf numFmtId="164" fontId="1" fillId="4" borderId="4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4" borderId="73" xfId="0" applyFont="1" applyFill="1" applyBorder="1" applyAlignment="1">
      <alignment horizontal="left" vertical="top" wrapText="1"/>
    </xf>
    <xf numFmtId="167" fontId="1" fillId="10" borderId="12" xfId="1" applyNumberFormat="1" applyFont="1" applyFill="1" applyBorder="1" applyAlignment="1">
      <alignment horizontal="center" vertical="top" wrapText="1"/>
    </xf>
    <xf numFmtId="167" fontId="20" fillId="10" borderId="18" xfId="1" applyNumberFormat="1" applyFont="1" applyFill="1" applyBorder="1" applyAlignment="1">
      <alignment vertical="top" wrapText="1"/>
    </xf>
    <xf numFmtId="167" fontId="1" fillId="10" borderId="29" xfId="1" applyNumberFormat="1" applyFont="1" applyFill="1" applyBorder="1" applyAlignment="1">
      <alignment horizontal="center" vertical="top" wrapText="1"/>
    </xf>
    <xf numFmtId="167" fontId="1" fillId="10" borderId="27" xfId="1" applyNumberFormat="1" applyFont="1" applyFill="1" applyBorder="1" applyAlignment="1">
      <alignment horizontal="center" vertical="top" wrapText="1"/>
    </xf>
    <xf numFmtId="167" fontId="1" fillId="10" borderId="34" xfId="1" applyNumberFormat="1" applyFont="1" applyFill="1" applyBorder="1" applyAlignment="1">
      <alignment vertical="top" wrapText="1"/>
    </xf>
    <xf numFmtId="167" fontId="20" fillId="10" borderId="4" xfId="1" applyNumberFormat="1" applyFont="1" applyFill="1" applyBorder="1" applyAlignment="1">
      <alignment vertical="top" wrapText="1"/>
    </xf>
    <xf numFmtId="167" fontId="20" fillId="10" borderId="10" xfId="1" applyNumberFormat="1" applyFont="1" applyFill="1" applyBorder="1" applyAlignment="1">
      <alignment vertical="top" wrapText="1"/>
    </xf>
    <xf numFmtId="167" fontId="20" fillId="10" borderId="16" xfId="1" applyNumberFormat="1" applyFont="1" applyFill="1" applyBorder="1" applyAlignment="1">
      <alignment vertical="top" wrapText="1"/>
    </xf>
    <xf numFmtId="167" fontId="20" fillId="10" borderId="48" xfId="1" applyNumberFormat="1" applyFont="1" applyFill="1" applyBorder="1" applyAlignment="1">
      <alignment vertical="top" wrapText="1"/>
    </xf>
    <xf numFmtId="167" fontId="20" fillId="10" borderId="5" xfId="1" applyNumberFormat="1" applyFont="1" applyFill="1" applyBorder="1" applyAlignment="1">
      <alignment vertical="top" wrapText="1"/>
    </xf>
    <xf numFmtId="167" fontId="20" fillId="10" borderId="11" xfId="1" applyNumberFormat="1" applyFont="1" applyFill="1" applyBorder="1" applyAlignment="1">
      <alignment vertical="top" wrapText="1"/>
    </xf>
    <xf numFmtId="167" fontId="20" fillId="10" borderId="17" xfId="1" applyNumberFormat="1" applyFont="1" applyFill="1" applyBorder="1" applyAlignment="1">
      <alignment vertical="top" wrapText="1"/>
    </xf>
    <xf numFmtId="167" fontId="20" fillId="10" borderId="49" xfId="1" applyNumberFormat="1" applyFont="1" applyFill="1" applyBorder="1" applyAlignment="1">
      <alignment vertical="top" wrapText="1"/>
    </xf>
    <xf numFmtId="164" fontId="1" fillId="4" borderId="48" xfId="0" applyNumberFormat="1" applyFont="1" applyFill="1" applyBorder="1" applyAlignment="1">
      <alignment horizontal="center" vertical="top"/>
    </xf>
    <xf numFmtId="1" fontId="1" fillId="10" borderId="39" xfId="1" applyNumberFormat="1" applyFont="1" applyFill="1" applyBorder="1" applyAlignment="1">
      <alignment horizontal="center" vertical="top"/>
    </xf>
    <xf numFmtId="164" fontId="1" fillId="4" borderId="10" xfId="0" applyNumberFormat="1" applyFont="1" applyFill="1" applyBorder="1" applyAlignment="1">
      <alignment horizontal="center" vertical="top"/>
    </xf>
    <xf numFmtId="49" fontId="3" fillId="8" borderId="4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164" fontId="1" fillId="4" borderId="10" xfId="0" applyNumberFormat="1" applyFont="1" applyFill="1" applyBorder="1" applyAlignment="1">
      <alignment horizontal="center" vertical="top"/>
    </xf>
    <xf numFmtId="0" fontId="1" fillId="4" borderId="74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49" fontId="1" fillId="4" borderId="50" xfId="0" applyNumberFormat="1" applyFont="1" applyFill="1" applyBorder="1" applyAlignment="1">
      <alignment horizontal="center" vertical="top" wrapText="1"/>
    </xf>
    <xf numFmtId="49" fontId="1" fillId="4" borderId="51" xfId="0" applyNumberFormat="1" applyFont="1" applyFill="1" applyBorder="1" applyAlignment="1">
      <alignment horizontal="center" vertical="top" wrapText="1"/>
    </xf>
    <xf numFmtId="49" fontId="1" fillId="4" borderId="71" xfId="0" applyNumberFormat="1" applyFont="1" applyFill="1" applyBorder="1" applyAlignment="1">
      <alignment horizontal="center" vertical="top" wrapText="1"/>
    </xf>
    <xf numFmtId="164" fontId="1" fillId="0" borderId="58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49" fontId="5" fillId="8" borderId="27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vertical="top"/>
    </xf>
    <xf numFmtId="49" fontId="5" fillId="3" borderId="16" xfId="0" applyNumberFormat="1" applyFont="1" applyFill="1" applyBorder="1" applyAlignment="1">
      <alignment vertical="top"/>
    </xf>
    <xf numFmtId="165" fontId="1" fillId="10" borderId="54" xfId="1" applyNumberFormat="1" applyFont="1" applyFill="1" applyBorder="1" applyAlignment="1">
      <alignment horizontal="center" vertical="top"/>
    </xf>
    <xf numFmtId="165" fontId="1" fillId="10" borderId="10" xfId="1" applyNumberFormat="1" applyFont="1" applyFill="1" applyBorder="1" applyAlignment="1">
      <alignment horizontal="center" vertical="top"/>
    </xf>
    <xf numFmtId="165" fontId="1" fillId="10" borderId="46" xfId="1" applyNumberFormat="1" applyFont="1" applyFill="1" applyBorder="1" applyAlignment="1">
      <alignment horizontal="center" vertical="top"/>
    </xf>
    <xf numFmtId="165" fontId="1" fillId="10" borderId="4" xfId="1" applyNumberFormat="1" applyFont="1" applyFill="1" applyBorder="1" applyAlignment="1">
      <alignment horizontal="center" vertical="top"/>
    </xf>
    <xf numFmtId="49" fontId="3" fillId="4" borderId="25" xfId="0" applyNumberFormat="1" applyFont="1" applyFill="1" applyBorder="1" applyAlignment="1">
      <alignment horizontal="center" vertical="top"/>
    </xf>
    <xf numFmtId="164" fontId="3" fillId="4" borderId="61" xfId="0" applyNumberFormat="1" applyFont="1" applyFill="1" applyBorder="1" applyAlignment="1">
      <alignment horizontal="center" vertical="top"/>
    </xf>
    <xf numFmtId="164" fontId="3" fillId="4" borderId="9" xfId="0" applyNumberFormat="1" applyFont="1" applyFill="1" applyBorder="1" applyAlignment="1">
      <alignment horizontal="center" vertical="top"/>
    </xf>
    <xf numFmtId="164" fontId="3" fillId="4" borderId="59" xfId="0" applyNumberFormat="1" applyFont="1" applyFill="1" applyBorder="1" applyAlignment="1">
      <alignment horizontal="center" vertical="top"/>
    </xf>
    <xf numFmtId="1" fontId="1" fillId="10" borderId="6" xfId="1" applyNumberFormat="1" applyFont="1" applyFill="1" applyBorder="1" applyAlignment="1">
      <alignment horizontal="center" vertical="top"/>
    </xf>
    <xf numFmtId="49" fontId="5" fillId="2" borderId="30" xfId="0" applyNumberFormat="1" applyFont="1" applyFill="1" applyBorder="1" applyAlignment="1">
      <alignment vertical="top"/>
    </xf>
    <xf numFmtId="49" fontId="5" fillId="2" borderId="38" xfId="0" applyNumberFormat="1" applyFont="1" applyFill="1" applyBorder="1" applyAlignment="1">
      <alignment vertical="top"/>
    </xf>
    <xf numFmtId="49" fontId="5" fillId="2" borderId="25" xfId="0" applyNumberFormat="1" applyFont="1" applyFill="1" applyBorder="1" applyAlignment="1">
      <alignment vertical="top"/>
    </xf>
    <xf numFmtId="49" fontId="5" fillId="3" borderId="4" xfId="0" applyNumberFormat="1" applyFont="1" applyFill="1" applyBorder="1" applyAlignment="1">
      <alignment vertical="top"/>
    </xf>
    <xf numFmtId="0" fontId="3" fillId="5" borderId="18" xfId="0" applyFont="1" applyFill="1" applyBorder="1" applyAlignment="1">
      <alignment horizontal="right" vertical="top" wrapText="1"/>
    </xf>
    <xf numFmtId="165" fontId="20" fillId="10" borderId="42" xfId="1" applyNumberFormat="1" applyFont="1" applyFill="1" applyBorder="1" applyAlignment="1">
      <alignment horizontal="left" vertical="top" wrapText="1"/>
    </xf>
    <xf numFmtId="164" fontId="1" fillId="4" borderId="10" xfId="0" applyNumberFormat="1" applyFont="1" applyFill="1" applyBorder="1" applyAlignment="1">
      <alignment horizontal="center" vertical="top"/>
    </xf>
    <xf numFmtId="165" fontId="1" fillId="10" borderId="44" xfId="1" applyNumberFormat="1" applyFont="1" applyFill="1" applyBorder="1" applyAlignment="1">
      <alignment horizontal="center" vertical="top"/>
    </xf>
    <xf numFmtId="164" fontId="1" fillId="11" borderId="69" xfId="1" applyNumberFormat="1" applyFont="1" applyFill="1" applyBorder="1" applyAlignment="1">
      <alignment horizontal="center" vertical="top"/>
    </xf>
    <xf numFmtId="165" fontId="1" fillId="10" borderId="48" xfId="1" applyNumberFormat="1" applyFont="1" applyFill="1" applyBorder="1" applyAlignment="1">
      <alignment horizontal="center" vertical="top"/>
    </xf>
    <xf numFmtId="165" fontId="1" fillId="10" borderId="70" xfId="1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164" fontId="1" fillId="11" borderId="41" xfId="1" applyNumberFormat="1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vertical="top" wrapText="1"/>
    </xf>
    <xf numFmtId="49" fontId="4" fillId="4" borderId="30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4" fillId="3" borderId="30" xfId="0" applyNumberFormat="1" applyFont="1" applyFill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12" fillId="0" borderId="23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1" fontId="22" fillId="10" borderId="54" xfId="1" applyNumberFormat="1" applyFont="1" applyFill="1" applyBorder="1" applyAlignment="1">
      <alignment horizontal="center" vertical="top"/>
    </xf>
    <xf numFmtId="164" fontId="1" fillId="4" borderId="5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164" fontId="3" fillId="4" borderId="12" xfId="0" applyNumberFormat="1" applyFont="1" applyFill="1" applyBorder="1" applyAlignment="1">
      <alignment vertical="top"/>
    </xf>
    <xf numFmtId="164" fontId="1" fillId="4" borderId="29" xfId="0" applyNumberFormat="1" applyFont="1" applyFill="1" applyBorder="1" applyAlignment="1">
      <alignment vertical="top"/>
    </xf>
    <xf numFmtId="164" fontId="1" fillId="4" borderId="10" xfId="0" applyNumberFormat="1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vertical="top"/>
    </xf>
    <xf numFmtId="164" fontId="3" fillId="4" borderId="74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167" fontId="1" fillId="10" borderId="6" xfId="1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4" fillId="4" borderId="40" xfId="0" applyFont="1" applyFill="1" applyBorder="1" applyAlignment="1">
      <alignment horizontal="left" vertical="top" wrapText="1"/>
    </xf>
    <xf numFmtId="165" fontId="1" fillId="10" borderId="6" xfId="1" applyNumberFormat="1" applyFont="1" applyFill="1" applyBorder="1" applyAlignment="1">
      <alignment horizontal="center" vertical="top"/>
    </xf>
    <xf numFmtId="165" fontId="1" fillId="10" borderId="12" xfId="1" applyNumberFormat="1" applyFont="1" applyFill="1" applyBorder="1" applyAlignment="1">
      <alignment horizontal="center" vertical="top"/>
    </xf>
    <xf numFmtId="165" fontId="1" fillId="10" borderId="18" xfId="1" applyNumberFormat="1" applyFont="1" applyFill="1" applyBorder="1" applyAlignment="1">
      <alignment horizontal="center" vertical="top"/>
    </xf>
    <xf numFmtId="0" fontId="1" fillId="4" borderId="44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left" vertical="top" wrapText="1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 wrapText="1"/>
    </xf>
    <xf numFmtId="49" fontId="1" fillId="4" borderId="4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12" xfId="0" applyNumberFormat="1" applyFont="1" applyFill="1" applyBorder="1" applyAlignment="1">
      <alignment horizontal="center" vertical="top" wrapText="1"/>
    </xf>
    <xf numFmtId="49" fontId="1" fillId="4" borderId="18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27" xfId="0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6" xfId="0" applyNumberFormat="1" applyFont="1" applyFill="1" applyBorder="1" applyAlignment="1">
      <alignment horizontal="center" vertical="top"/>
    </xf>
    <xf numFmtId="165" fontId="1" fillId="4" borderId="10" xfId="0" applyNumberFormat="1" applyFont="1" applyFill="1" applyBorder="1" applyAlignment="1">
      <alignment horizontal="left" vertical="top" wrapText="1"/>
    </xf>
    <xf numFmtId="165" fontId="1" fillId="4" borderId="16" xfId="0" applyNumberFormat="1" applyFont="1" applyFill="1" applyBorder="1" applyAlignment="1">
      <alignment horizontal="left" vertical="top" wrapText="1"/>
    </xf>
    <xf numFmtId="0" fontId="1" fillId="4" borderId="51" xfId="0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165" fontId="3" fillId="4" borderId="30" xfId="0" applyNumberFormat="1" applyFont="1" applyFill="1" applyBorder="1" applyAlignment="1">
      <alignment horizontal="left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47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164" fontId="1" fillId="4" borderId="71" xfId="0" applyNumberFormat="1" applyFont="1" applyFill="1" applyBorder="1" applyAlignment="1">
      <alignment horizontal="center" vertical="top" wrapText="1"/>
    </xf>
    <xf numFmtId="164" fontId="1" fillId="4" borderId="46" xfId="0" applyNumberFormat="1" applyFont="1" applyFill="1" applyBorder="1" applyAlignment="1">
      <alignment horizontal="center" vertical="top" wrapText="1"/>
    </xf>
    <xf numFmtId="164" fontId="1" fillId="4" borderId="70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4" fillId="3" borderId="51" xfId="0" applyNumberFormat="1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left" vertical="top" wrapText="1"/>
    </xf>
    <xf numFmtId="165" fontId="1" fillId="10" borderId="23" xfId="1" applyNumberFormat="1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top"/>
    </xf>
    <xf numFmtId="0" fontId="1" fillId="4" borderId="47" xfId="0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" fontId="1" fillId="10" borderId="4" xfId="1" applyNumberFormat="1" applyFont="1" applyFill="1" applyBorder="1" applyAlignment="1">
      <alignment horizontal="center" vertical="top"/>
    </xf>
    <xf numFmtId="1" fontId="1" fillId="10" borderId="10" xfId="1" applyNumberFormat="1" applyFont="1" applyFill="1" applyBorder="1" applyAlignment="1">
      <alignment horizontal="center" vertical="top"/>
    </xf>
    <xf numFmtId="1" fontId="1" fillId="10" borderId="16" xfId="1" applyNumberFormat="1" applyFont="1" applyFill="1" applyBorder="1" applyAlignment="1">
      <alignment horizontal="center" vertical="top"/>
    </xf>
    <xf numFmtId="164" fontId="3" fillId="4" borderId="47" xfId="0" applyNumberFormat="1" applyFont="1" applyFill="1" applyBorder="1" applyAlignment="1">
      <alignment horizontal="center" vertical="top"/>
    </xf>
    <xf numFmtId="164" fontId="1" fillId="4" borderId="27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164" fontId="1" fillId="4" borderId="51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top"/>
    </xf>
    <xf numFmtId="49" fontId="3" fillId="4" borderId="17" xfId="0" applyNumberFormat="1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left" vertical="top" wrapText="1"/>
    </xf>
    <xf numFmtId="165" fontId="1" fillId="4" borderId="68" xfId="0" applyNumberFormat="1" applyFont="1" applyFill="1" applyBorder="1" applyAlignment="1">
      <alignment horizontal="center" vertical="top" wrapText="1"/>
    </xf>
    <xf numFmtId="165" fontId="1" fillId="4" borderId="3" xfId="0" applyNumberFormat="1" applyFont="1" applyFill="1" applyBorder="1" applyAlignment="1">
      <alignment horizontal="center" vertical="top" wrapText="1"/>
    </xf>
    <xf numFmtId="165" fontId="1" fillId="4" borderId="58" xfId="0" applyNumberFormat="1" applyFont="1" applyFill="1" applyBorder="1" applyAlignment="1">
      <alignment horizontal="center" vertical="top" wrapText="1"/>
    </xf>
    <xf numFmtId="167" fontId="1" fillId="10" borderId="29" xfId="1" applyNumberFormat="1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8" borderId="27" xfId="0" applyNumberFormat="1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center" vertical="top" wrapText="1"/>
    </xf>
    <xf numFmtId="0" fontId="1" fillId="4" borderId="48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/>
    </xf>
    <xf numFmtId="0" fontId="1" fillId="4" borderId="70" xfId="0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horizontal="center" vertical="top" wrapText="1"/>
    </xf>
    <xf numFmtId="164" fontId="3" fillId="4" borderId="58" xfId="0" applyNumberFormat="1" applyFont="1" applyFill="1" applyBorder="1" applyAlignment="1">
      <alignment horizontal="center" vertical="top"/>
    </xf>
    <xf numFmtId="165" fontId="1" fillId="10" borderId="42" xfId="1" applyNumberFormat="1" applyFont="1" applyFill="1" applyBorder="1" applyAlignment="1">
      <alignment vertical="top" wrapText="1"/>
    </xf>
    <xf numFmtId="164" fontId="3" fillId="4" borderId="3" xfId="0" applyNumberFormat="1" applyFont="1" applyFill="1" applyBorder="1" applyAlignment="1">
      <alignment horizontal="center" vertical="top"/>
    </xf>
    <xf numFmtId="49" fontId="1" fillId="4" borderId="51" xfId="0" applyNumberFormat="1" applyFont="1" applyFill="1" applyBorder="1" applyAlignment="1">
      <alignment horizontal="center" vertical="top"/>
    </xf>
    <xf numFmtId="165" fontId="1" fillId="10" borderId="50" xfId="1" applyNumberFormat="1" applyFont="1" applyFill="1" applyBorder="1" applyAlignment="1">
      <alignment vertical="top" wrapText="1"/>
    </xf>
    <xf numFmtId="164" fontId="1" fillId="4" borderId="68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left" vertical="top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164" fontId="1" fillId="4" borderId="69" xfId="0" applyNumberFormat="1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left" vertical="top" wrapText="1"/>
    </xf>
    <xf numFmtId="49" fontId="1" fillId="4" borderId="50" xfId="0" applyNumberFormat="1" applyFont="1" applyFill="1" applyBorder="1" applyAlignment="1">
      <alignment horizontal="center" vertical="top"/>
    </xf>
    <xf numFmtId="49" fontId="1" fillId="4" borderId="42" xfId="0" applyNumberFormat="1" applyFont="1" applyFill="1" applyBorder="1" applyAlignment="1">
      <alignment horizontal="center" vertical="top"/>
    </xf>
    <xf numFmtId="164" fontId="18" fillId="4" borderId="0" xfId="0" applyNumberFormat="1" applyFont="1" applyFill="1" applyBorder="1" applyAlignment="1">
      <alignment horizontal="center" vertical="top"/>
    </xf>
    <xf numFmtId="164" fontId="18" fillId="4" borderId="10" xfId="0" applyNumberFormat="1" applyFont="1" applyFill="1" applyBorder="1" applyAlignment="1">
      <alignment horizontal="center" vertical="top"/>
    </xf>
    <xf numFmtId="165" fontId="18" fillId="4" borderId="12" xfId="0" applyNumberFormat="1" applyFont="1" applyFill="1" applyBorder="1" applyAlignment="1">
      <alignment horizontal="center" vertical="top" wrapText="1"/>
    </xf>
    <xf numFmtId="164" fontId="18" fillId="4" borderId="0" xfId="0" applyNumberFormat="1" applyFont="1" applyFill="1" applyBorder="1" applyAlignment="1">
      <alignment horizontal="center" vertical="top" wrapText="1"/>
    </xf>
    <xf numFmtId="164" fontId="18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64" fontId="18" fillId="4" borderId="46" xfId="0" applyNumberFormat="1" applyFont="1" applyFill="1" applyBorder="1" applyAlignment="1">
      <alignment horizontal="center" vertical="top"/>
    </xf>
    <xf numFmtId="164" fontId="18" fillId="4" borderId="42" xfId="0" applyNumberFormat="1" applyFont="1" applyFill="1" applyBorder="1" applyAlignment="1">
      <alignment horizontal="center" vertical="top" wrapText="1"/>
    </xf>
    <xf numFmtId="164" fontId="18" fillId="4" borderId="46" xfId="0" applyNumberFormat="1" applyFont="1" applyFill="1" applyBorder="1" applyAlignment="1">
      <alignment horizontal="center" vertical="top" wrapText="1"/>
    </xf>
    <xf numFmtId="164" fontId="19" fillId="4" borderId="42" xfId="0" applyNumberFormat="1" applyFont="1" applyFill="1" applyBorder="1" applyAlignment="1">
      <alignment horizontal="center" vertical="top"/>
    </xf>
    <xf numFmtId="164" fontId="19" fillId="4" borderId="10" xfId="0" applyNumberFormat="1" applyFont="1" applyFill="1" applyBorder="1" applyAlignment="1">
      <alignment horizontal="center" vertical="top"/>
    </xf>
    <xf numFmtId="164" fontId="19" fillId="4" borderId="46" xfId="0" applyNumberFormat="1" applyFont="1" applyFill="1" applyBorder="1" applyAlignment="1">
      <alignment horizontal="center" vertical="top"/>
    </xf>
    <xf numFmtId="164" fontId="18" fillId="11" borderId="0" xfId="1" applyNumberFormat="1" applyFont="1" applyFill="1" applyBorder="1" applyAlignment="1">
      <alignment horizontal="center" vertical="top"/>
    </xf>
    <xf numFmtId="164" fontId="18" fillId="11" borderId="10" xfId="1" applyNumberFormat="1" applyFont="1" applyFill="1" applyBorder="1" applyAlignment="1">
      <alignment horizontal="center" vertical="top"/>
    </xf>
    <xf numFmtId="164" fontId="18" fillId="11" borderId="46" xfId="1" applyNumberFormat="1" applyFont="1" applyFill="1" applyBorder="1" applyAlignment="1">
      <alignment horizontal="center" vertical="top"/>
    </xf>
    <xf numFmtId="0" fontId="1" fillId="10" borderId="41" xfId="1" applyNumberFormat="1" applyFont="1" applyFill="1" applyBorder="1" applyAlignment="1">
      <alignment horizontal="center" vertical="top"/>
    </xf>
    <xf numFmtId="0" fontId="1" fillId="10" borderId="48" xfId="1" applyNumberFormat="1" applyFont="1" applyFill="1" applyBorder="1" applyAlignment="1">
      <alignment horizontal="center" vertical="top"/>
    </xf>
    <xf numFmtId="0" fontId="1" fillId="10" borderId="50" xfId="1" applyNumberFormat="1" applyFont="1" applyFill="1" applyBorder="1" applyAlignment="1">
      <alignment horizontal="center" vertical="top"/>
    </xf>
    <xf numFmtId="0" fontId="1" fillId="10" borderId="51" xfId="1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 wrapText="1"/>
    </xf>
    <xf numFmtId="164" fontId="3" fillId="2" borderId="56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/>
    </xf>
    <xf numFmtId="49" fontId="1" fillId="4" borderId="46" xfId="0" applyNumberFormat="1" applyFont="1" applyFill="1" applyBorder="1" applyAlignment="1">
      <alignment horizontal="center" vertical="top"/>
    </xf>
    <xf numFmtId="0" fontId="1" fillId="10" borderId="42" xfId="1" applyNumberFormat="1" applyFont="1" applyFill="1" applyBorder="1" applyAlignment="1">
      <alignment horizontal="center" vertical="top"/>
    </xf>
    <xf numFmtId="0" fontId="1" fillId="10" borderId="46" xfId="1" applyNumberFormat="1" applyFont="1" applyFill="1" applyBorder="1" applyAlignment="1">
      <alignment horizontal="center" vertical="top"/>
    </xf>
    <xf numFmtId="0" fontId="1" fillId="4" borderId="47" xfId="0" applyFont="1" applyFill="1" applyBorder="1" applyAlignment="1">
      <alignment horizontal="center" vertical="top"/>
    </xf>
    <xf numFmtId="0" fontId="1" fillId="10" borderId="10" xfId="1" applyNumberFormat="1" applyFont="1" applyFill="1" applyBorder="1" applyAlignment="1">
      <alignment horizontal="center" vertical="top"/>
    </xf>
    <xf numFmtId="1" fontId="1" fillId="10" borderId="42" xfId="1" applyNumberFormat="1" applyFont="1" applyFill="1" applyBorder="1" applyAlignment="1">
      <alignment horizontal="center" vertical="top" wrapText="1"/>
    </xf>
    <xf numFmtId="1" fontId="1" fillId="10" borderId="10" xfId="1" applyNumberFormat="1" applyFont="1" applyFill="1" applyBorder="1" applyAlignment="1">
      <alignment horizontal="center" vertical="top" wrapText="1"/>
    </xf>
    <xf numFmtId="165" fontId="1" fillId="10" borderId="42" xfId="1" applyNumberFormat="1" applyFont="1" applyFill="1" applyBorder="1" applyAlignment="1">
      <alignment vertical="top"/>
    </xf>
    <xf numFmtId="0" fontId="1" fillId="4" borderId="73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 wrapText="1"/>
    </xf>
    <xf numFmtId="165" fontId="1" fillId="10" borderId="42" xfId="1" applyNumberFormat="1" applyFont="1" applyFill="1" applyBorder="1" applyAlignment="1">
      <alignment horizontal="center" vertical="top"/>
    </xf>
    <xf numFmtId="1" fontId="1" fillId="10" borderId="10" xfId="1" applyNumberFormat="1" applyFont="1" applyFill="1" applyBorder="1" applyAlignment="1">
      <alignment horizontal="center" vertical="top"/>
    </xf>
    <xf numFmtId="1" fontId="1" fillId="10" borderId="46" xfId="1" applyNumberFormat="1" applyFont="1" applyFill="1" applyBorder="1" applyAlignment="1">
      <alignment horizontal="center" vertical="top"/>
    </xf>
    <xf numFmtId="165" fontId="1" fillId="10" borderId="41" xfId="1" applyNumberFormat="1" applyFont="1" applyFill="1" applyBorder="1" applyAlignment="1">
      <alignment horizontal="center" vertical="top"/>
    </xf>
    <xf numFmtId="164" fontId="3" fillId="4" borderId="48" xfId="0" applyNumberFormat="1" applyFont="1" applyFill="1" applyBorder="1" applyAlignment="1">
      <alignment horizontal="center" vertical="top"/>
    </xf>
    <xf numFmtId="164" fontId="3" fillId="4" borderId="70" xfId="0" applyNumberFormat="1" applyFont="1" applyFill="1" applyBorder="1" applyAlignment="1">
      <alignment horizontal="center" vertical="top"/>
    </xf>
    <xf numFmtId="1" fontId="1" fillId="10" borderId="46" xfId="1" applyNumberFormat="1" applyFont="1" applyFill="1" applyBorder="1" applyAlignment="1">
      <alignment horizontal="center" vertical="top" wrapText="1"/>
    </xf>
    <xf numFmtId="167" fontId="20" fillId="10" borderId="10" xfId="1" applyNumberFormat="1" applyFont="1" applyFill="1" applyBorder="1" applyAlignment="1">
      <alignment vertical="top" wrapText="1"/>
    </xf>
    <xf numFmtId="167" fontId="20" fillId="10" borderId="48" xfId="1" applyNumberFormat="1" applyFont="1" applyFill="1" applyBorder="1" applyAlignment="1">
      <alignment vertical="top" wrapText="1"/>
    </xf>
    <xf numFmtId="167" fontId="20" fillId="10" borderId="11" xfId="1" applyNumberFormat="1" applyFont="1" applyFill="1" applyBorder="1" applyAlignment="1">
      <alignment vertical="top" wrapText="1"/>
    </xf>
    <xf numFmtId="167" fontId="20" fillId="10" borderId="49" xfId="1" applyNumberFormat="1" applyFont="1" applyFill="1" applyBorder="1" applyAlignment="1">
      <alignment vertical="top" wrapText="1"/>
    </xf>
    <xf numFmtId="167" fontId="1" fillId="10" borderId="47" xfId="1" applyNumberFormat="1" applyFont="1" applyFill="1" applyBorder="1" applyAlignment="1">
      <alignment horizontal="left" vertical="top" wrapText="1"/>
    </xf>
    <xf numFmtId="0" fontId="19" fillId="4" borderId="12" xfId="0" applyFont="1" applyFill="1" applyBorder="1" applyAlignment="1">
      <alignment horizontal="right" vertical="top"/>
    </xf>
    <xf numFmtId="165" fontId="3" fillId="0" borderId="52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1" fillId="10" borderId="41" xfId="1" applyNumberFormat="1" applyFont="1" applyFill="1" applyBorder="1" applyAlignment="1">
      <alignment vertical="top"/>
    </xf>
    <xf numFmtId="1" fontId="1" fillId="10" borderId="48" xfId="1" applyNumberFormat="1" applyFont="1" applyFill="1" applyBorder="1" applyAlignment="1">
      <alignment horizontal="center" vertical="top"/>
    </xf>
    <xf numFmtId="49" fontId="3" fillId="4" borderId="52" xfId="0" applyNumberFormat="1" applyFont="1" applyFill="1" applyBorder="1" applyAlignment="1">
      <alignment horizontal="center" vertical="top"/>
    </xf>
    <xf numFmtId="49" fontId="3" fillId="4" borderId="49" xfId="0" applyNumberFormat="1" applyFont="1" applyFill="1" applyBorder="1" applyAlignment="1">
      <alignment horizontal="center" vertical="top"/>
    </xf>
    <xf numFmtId="1" fontId="1" fillId="10" borderId="70" xfId="1" applyNumberFormat="1" applyFont="1" applyFill="1" applyBorder="1" applyAlignment="1">
      <alignment horizontal="center" vertical="top"/>
    </xf>
    <xf numFmtId="49" fontId="1" fillId="4" borderId="71" xfId="0" applyNumberFormat="1" applyFont="1" applyFill="1" applyBorder="1" applyAlignment="1">
      <alignment horizontal="center" vertical="top"/>
    </xf>
    <xf numFmtId="0" fontId="1" fillId="10" borderId="71" xfId="1" applyNumberFormat="1" applyFont="1" applyFill="1" applyBorder="1" applyAlignment="1">
      <alignment horizontal="center" vertical="top"/>
    </xf>
    <xf numFmtId="0" fontId="1" fillId="10" borderId="70" xfId="1" applyNumberFormat="1" applyFont="1" applyFill="1" applyBorder="1" applyAlignment="1">
      <alignment horizontal="center" vertical="top"/>
    </xf>
    <xf numFmtId="1" fontId="1" fillId="10" borderId="50" xfId="1" applyNumberFormat="1" applyFont="1" applyFill="1" applyBorder="1" applyAlignment="1">
      <alignment horizontal="center" vertical="top"/>
    </xf>
    <xf numFmtId="165" fontId="1" fillId="10" borderId="52" xfId="1" applyNumberFormat="1" applyFont="1" applyFill="1" applyBorder="1" applyAlignment="1">
      <alignment horizontal="center" vertical="top"/>
    </xf>
    <xf numFmtId="165" fontId="1" fillId="10" borderId="49" xfId="1" applyNumberFormat="1" applyFont="1" applyFill="1" applyBorder="1" applyAlignment="1">
      <alignment horizontal="center" vertical="top"/>
    </xf>
    <xf numFmtId="164" fontId="18" fillId="11" borderId="42" xfId="1" applyNumberFormat="1" applyFont="1" applyFill="1" applyBorder="1" applyAlignment="1">
      <alignment horizontal="center" vertical="top"/>
    </xf>
    <xf numFmtId="164" fontId="18" fillId="4" borderId="42" xfId="0" applyNumberFormat="1" applyFont="1" applyFill="1" applyBorder="1" applyAlignment="1">
      <alignment horizontal="center" vertical="top"/>
    </xf>
    <xf numFmtId="165" fontId="19" fillId="4" borderId="12" xfId="0" applyNumberFormat="1" applyFont="1" applyFill="1" applyBorder="1" applyAlignment="1">
      <alignment horizontal="center" vertical="top" wrapText="1"/>
    </xf>
    <xf numFmtId="164" fontId="19" fillId="4" borderId="30" xfId="0" applyNumberFormat="1" applyFont="1" applyFill="1" applyBorder="1" applyAlignment="1">
      <alignment horizontal="center" vertical="top"/>
    </xf>
    <xf numFmtId="164" fontId="19" fillId="4" borderId="11" xfId="0" applyNumberFormat="1" applyFont="1" applyFill="1" applyBorder="1" applyAlignment="1">
      <alignment horizontal="center" vertical="top"/>
    </xf>
    <xf numFmtId="1" fontId="1" fillId="10" borderId="50" xfId="1" applyNumberFormat="1" applyFont="1" applyFill="1" applyBorder="1" applyAlignment="1">
      <alignment horizontal="center" vertical="top" wrapText="1"/>
    </xf>
    <xf numFmtId="1" fontId="1" fillId="10" borderId="51" xfId="1" applyNumberFormat="1" applyFont="1" applyFill="1" applyBorder="1" applyAlignment="1">
      <alignment horizontal="center" vertical="top" wrapText="1"/>
    </xf>
    <xf numFmtId="1" fontId="1" fillId="10" borderId="71" xfId="1" applyNumberFormat="1" applyFont="1" applyFill="1" applyBorder="1" applyAlignment="1">
      <alignment horizontal="center" vertical="top" wrapText="1"/>
    </xf>
    <xf numFmtId="165" fontId="1" fillId="10" borderId="41" xfId="1" applyNumberFormat="1" applyFont="1" applyFill="1" applyBorder="1" applyAlignment="1">
      <alignment vertical="top" wrapText="1"/>
    </xf>
    <xf numFmtId="1" fontId="1" fillId="10" borderId="41" xfId="1" applyNumberFormat="1" applyFont="1" applyFill="1" applyBorder="1" applyAlignment="1">
      <alignment horizontal="center" vertical="top" wrapText="1"/>
    </xf>
    <xf numFmtId="1" fontId="1" fillId="10" borderId="48" xfId="1" applyNumberFormat="1" applyFont="1" applyFill="1" applyBorder="1" applyAlignment="1">
      <alignment horizontal="center" vertical="top" wrapText="1"/>
    </xf>
    <xf numFmtId="1" fontId="1" fillId="10" borderId="70" xfId="1" applyNumberFormat="1" applyFont="1" applyFill="1" applyBorder="1" applyAlignment="1">
      <alignment horizontal="center" vertical="top" wrapText="1"/>
    </xf>
    <xf numFmtId="0" fontId="23" fillId="4" borderId="0" xfId="0" applyFont="1" applyFill="1"/>
    <xf numFmtId="164" fontId="23" fillId="4" borderId="0" xfId="0" applyNumberFormat="1" applyFont="1" applyFill="1"/>
    <xf numFmtId="167" fontId="1" fillId="10" borderId="34" xfId="1" applyNumberFormat="1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/>
    </xf>
    <xf numFmtId="164" fontId="18" fillId="4" borderId="10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1" fillId="4" borderId="5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65" fontId="1" fillId="4" borderId="66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/>
    </xf>
    <xf numFmtId="0" fontId="23" fillId="4" borderId="0" xfId="0" applyFont="1" applyFill="1" applyBorder="1"/>
    <xf numFmtId="0" fontId="18" fillId="0" borderId="12" xfId="0" applyFont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 wrapText="1"/>
    </xf>
    <xf numFmtId="49" fontId="3" fillId="4" borderId="11" xfId="0" applyNumberFormat="1" applyFont="1" applyFill="1" applyBorder="1" applyAlignment="1">
      <alignment horizontal="center" vertical="top"/>
    </xf>
    <xf numFmtId="0" fontId="18" fillId="4" borderId="12" xfId="0" applyFont="1" applyFill="1" applyBorder="1" applyAlignment="1">
      <alignment horizontal="center" vertical="top"/>
    </xf>
    <xf numFmtId="1" fontId="1" fillId="10" borderId="16" xfId="1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165" fontId="1" fillId="4" borderId="25" xfId="0" applyNumberFormat="1" applyFont="1" applyFill="1" applyBorder="1" applyAlignment="1">
      <alignment horizontal="left" vertical="top" wrapText="1"/>
    </xf>
    <xf numFmtId="165" fontId="1" fillId="10" borderId="23" xfId="1" applyNumberFormat="1" applyFont="1" applyFill="1" applyBorder="1" applyAlignment="1">
      <alignment horizontal="left" vertical="top" wrapText="1"/>
    </xf>
    <xf numFmtId="49" fontId="3" fillId="4" borderId="11" xfId="0" applyNumberFormat="1" applyFont="1" applyFill="1" applyBorder="1" applyAlignment="1">
      <alignment horizontal="center" vertical="top"/>
    </xf>
    <xf numFmtId="0" fontId="19" fillId="4" borderId="47" xfId="0" applyFont="1" applyFill="1" applyBorder="1" applyAlignment="1">
      <alignment horizontal="right" vertical="top"/>
    </xf>
    <xf numFmtId="164" fontId="19" fillId="4" borderId="41" xfId="0" applyNumberFormat="1" applyFont="1" applyFill="1" applyBorder="1" applyAlignment="1">
      <alignment horizontal="center" vertical="top"/>
    </xf>
    <xf numFmtId="164" fontId="19" fillId="4" borderId="48" xfId="0" applyNumberFormat="1" applyFont="1" applyFill="1" applyBorder="1" applyAlignment="1">
      <alignment horizontal="center" vertical="top"/>
    </xf>
    <xf numFmtId="164" fontId="19" fillId="4" borderId="70" xfId="0" applyNumberFormat="1" applyFont="1" applyFill="1" applyBorder="1" applyAlignment="1">
      <alignment horizontal="center" vertical="top"/>
    </xf>
    <xf numFmtId="1" fontId="1" fillId="10" borderId="23" xfId="1" applyNumberFormat="1" applyFont="1" applyFill="1" applyBorder="1" applyAlignment="1">
      <alignment horizontal="center" vertical="top"/>
    </xf>
    <xf numFmtId="0" fontId="3" fillId="5" borderId="19" xfId="0" applyFont="1" applyFill="1" applyBorder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0" fontId="18" fillId="4" borderId="12" xfId="0" applyFont="1" applyFill="1" applyBorder="1" applyAlignment="1">
      <alignment horizontal="center" vertical="top"/>
    </xf>
    <xf numFmtId="164" fontId="3" fillId="2" borderId="20" xfId="0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" fontId="1" fillId="10" borderId="29" xfId="1" applyNumberFormat="1" applyFont="1" applyFill="1" applyBorder="1" applyAlignment="1">
      <alignment horizontal="center" vertical="top"/>
    </xf>
    <xf numFmtId="1" fontId="1" fillId="10" borderId="10" xfId="1" applyNumberFormat="1" applyFont="1" applyFill="1" applyBorder="1" applyAlignment="1">
      <alignment horizontal="center" vertical="top"/>
    </xf>
    <xf numFmtId="164" fontId="18" fillId="4" borderId="29" xfId="0" applyNumberFormat="1" applyFont="1" applyFill="1" applyBorder="1" applyAlignment="1">
      <alignment horizontal="center" vertical="top"/>
    </xf>
    <xf numFmtId="164" fontId="18" fillId="4" borderId="10" xfId="0" applyNumberFormat="1" applyFont="1" applyFill="1" applyBorder="1" applyAlignment="1">
      <alignment horizontal="center" vertical="top"/>
    </xf>
    <xf numFmtId="164" fontId="19" fillId="4" borderId="11" xfId="0" applyNumberFormat="1" applyFont="1" applyFill="1" applyBorder="1" applyAlignment="1">
      <alignment horizontal="center" vertical="top"/>
    </xf>
    <xf numFmtId="164" fontId="18" fillId="4" borderId="11" xfId="0" applyNumberFormat="1" applyFont="1" applyFill="1" applyBorder="1" applyAlignment="1">
      <alignment horizontal="center" vertical="top"/>
    </xf>
    <xf numFmtId="167" fontId="1" fillId="10" borderId="12" xfId="1" applyNumberFormat="1" applyFont="1" applyFill="1" applyBorder="1" applyAlignment="1">
      <alignment horizontal="left" vertical="top" wrapText="1"/>
    </xf>
    <xf numFmtId="165" fontId="1" fillId="10" borderId="12" xfId="1" applyNumberFormat="1" applyFont="1" applyFill="1" applyBorder="1" applyAlignment="1">
      <alignment horizontal="left" vertical="top" wrapText="1"/>
    </xf>
    <xf numFmtId="165" fontId="1" fillId="10" borderId="47" xfId="1" applyNumberFormat="1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4" borderId="4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4" borderId="33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4" borderId="38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49" fontId="5" fillId="2" borderId="20" xfId="0" applyNumberFormat="1" applyFont="1" applyFill="1" applyBorder="1" applyAlignment="1">
      <alignment horizontal="right" vertical="top" wrapText="1"/>
    </xf>
    <xf numFmtId="49" fontId="5" fillId="2" borderId="21" xfId="0" applyNumberFormat="1" applyFont="1" applyFill="1" applyBorder="1" applyAlignment="1">
      <alignment horizontal="right" vertical="top" wrapText="1"/>
    </xf>
    <xf numFmtId="0" fontId="1" fillId="4" borderId="51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48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5" fillId="5" borderId="53" xfId="0" applyFont="1" applyFill="1" applyBorder="1" applyAlignment="1">
      <alignment horizontal="right" vertical="top" wrapText="1"/>
    </xf>
    <xf numFmtId="0" fontId="5" fillId="5" borderId="61" xfId="0" applyFont="1" applyFill="1" applyBorder="1" applyAlignment="1">
      <alignment horizontal="righ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49" fontId="5" fillId="2" borderId="65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48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165" fontId="1" fillId="4" borderId="55" xfId="0" applyNumberFormat="1" applyFont="1" applyFill="1" applyBorder="1" applyAlignment="1">
      <alignment horizontal="left" vertical="top" wrapText="1"/>
    </xf>
    <xf numFmtId="165" fontId="1" fillId="4" borderId="30" xfId="0" applyNumberFormat="1" applyFont="1" applyFill="1" applyBorder="1" applyAlignment="1">
      <alignment horizontal="left" vertical="top" wrapText="1"/>
    </xf>
    <xf numFmtId="165" fontId="1" fillId="4" borderId="62" xfId="0" applyNumberFormat="1" applyFont="1" applyFill="1" applyBorder="1" applyAlignment="1">
      <alignment horizontal="left" vertical="top" wrapText="1"/>
    </xf>
    <xf numFmtId="49" fontId="5" fillId="7" borderId="57" xfId="0" applyNumberFormat="1" applyFont="1" applyFill="1" applyBorder="1" applyAlignment="1">
      <alignment horizontal="right" vertical="top"/>
    </xf>
    <xf numFmtId="49" fontId="5" fillId="7" borderId="21" xfId="0" applyNumberFormat="1" applyFont="1" applyFill="1" applyBorder="1" applyAlignment="1">
      <alignment horizontal="right" vertical="top"/>
    </xf>
    <xf numFmtId="165" fontId="1" fillId="4" borderId="51" xfId="0" applyNumberFormat="1" applyFont="1" applyFill="1" applyBorder="1" applyAlignment="1">
      <alignment horizontal="left" vertical="top" wrapText="1"/>
    </xf>
    <xf numFmtId="165" fontId="1" fillId="4" borderId="10" xfId="0" applyNumberFormat="1" applyFont="1" applyFill="1" applyBorder="1" applyAlignment="1">
      <alignment horizontal="left" vertical="top" wrapText="1"/>
    </xf>
    <xf numFmtId="165" fontId="3" fillId="4" borderId="33" xfId="0" applyNumberFormat="1" applyFont="1" applyFill="1" applyBorder="1" applyAlignment="1">
      <alignment horizontal="left" vertical="top" wrapText="1"/>
    </xf>
    <xf numFmtId="165" fontId="3" fillId="4" borderId="30" xfId="0" applyNumberFormat="1" applyFont="1" applyFill="1" applyBorder="1" applyAlignment="1">
      <alignment horizontal="left" vertical="top" wrapText="1"/>
    </xf>
    <xf numFmtId="165" fontId="1" fillId="4" borderId="33" xfId="0" applyNumberFormat="1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37" xfId="0" applyFont="1" applyFill="1" applyBorder="1" applyAlignment="1">
      <alignment horizontal="righ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5" borderId="53" xfId="0" applyFont="1" applyFill="1" applyBorder="1" applyAlignment="1">
      <alignment horizontal="left" vertical="top" wrapText="1"/>
    </xf>
    <xf numFmtId="0" fontId="4" fillId="5" borderId="61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right" vertical="top" wrapText="1"/>
    </xf>
    <xf numFmtId="0" fontId="5" fillId="7" borderId="48" xfId="0" applyFont="1" applyFill="1" applyBorder="1" applyAlignment="1">
      <alignment horizontal="right" vertical="top" wrapText="1"/>
    </xf>
    <xf numFmtId="0" fontId="5" fillId="7" borderId="62" xfId="0" applyFont="1" applyFill="1" applyBorder="1" applyAlignment="1">
      <alignment horizontal="right" vertical="top" wrapText="1"/>
    </xf>
    <xf numFmtId="0" fontId="3" fillId="4" borderId="53" xfId="0" applyFont="1" applyFill="1" applyBorder="1" applyAlignment="1">
      <alignment horizontal="left" vertical="top" wrapText="1"/>
    </xf>
    <xf numFmtId="0" fontId="3" fillId="4" borderId="61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right" vertical="top" wrapText="1"/>
    </xf>
    <xf numFmtId="0" fontId="5" fillId="7" borderId="9" xfId="0" applyFont="1" applyFill="1" applyBorder="1" applyAlignment="1">
      <alignment horizontal="right" vertical="top" wrapText="1"/>
    </xf>
    <xf numFmtId="0" fontId="5" fillId="7" borderId="55" xfId="0" applyFont="1" applyFill="1" applyBorder="1" applyAlignment="1">
      <alignment horizontal="right" vertical="top" wrapText="1"/>
    </xf>
    <xf numFmtId="0" fontId="5" fillId="4" borderId="6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8" borderId="34" xfId="0" applyNumberFormat="1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165" fontId="5" fillId="8" borderId="57" xfId="0" applyNumberFormat="1" applyFont="1" applyFill="1" applyBorder="1" applyAlignment="1">
      <alignment horizontal="right" vertical="top"/>
    </xf>
    <xf numFmtId="165" fontId="5" fillId="8" borderId="21" xfId="0" applyNumberFormat="1" applyFont="1" applyFill="1" applyBorder="1" applyAlignment="1">
      <alignment horizontal="right" vertical="top"/>
    </xf>
    <xf numFmtId="49" fontId="5" fillId="2" borderId="57" xfId="0" applyNumberFormat="1" applyFont="1" applyFill="1" applyBorder="1" applyAlignment="1">
      <alignment horizontal="right" vertical="top" wrapText="1"/>
    </xf>
    <xf numFmtId="49" fontId="5" fillId="2" borderId="20" xfId="0" applyNumberFormat="1" applyFont="1" applyFill="1" applyBorder="1" applyAlignment="1">
      <alignment horizontal="left" vertical="top" wrapText="1"/>
    </xf>
    <xf numFmtId="49" fontId="5" fillId="2" borderId="21" xfId="0" applyNumberFormat="1" applyFont="1" applyFill="1" applyBorder="1" applyAlignment="1">
      <alignment horizontal="left" vertical="top" wrapText="1"/>
    </xf>
    <xf numFmtId="49" fontId="5" fillId="2" borderId="22" xfId="0" applyNumberFormat="1" applyFont="1" applyFill="1" applyBorder="1" applyAlignment="1">
      <alignment horizontal="left" vertical="top" wrapText="1"/>
    </xf>
    <xf numFmtId="165" fontId="5" fillId="8" borderId="20" xfId="0" applyNumberFormat="1" applyFont="1" applyFill="1" applyBorder="1" applyAlignment="1">
      <alignment horizontal="center" vertical="top"/>
    </xf>
    <xf numFmtId="165" fontId="5" fillId="8" borderId="21" xfId="0" applyNumberFormat="1" applyFont="1" applyFill="1" applyBorder="1" applyAlignment="1">
      <alignment horizontal="center" vertical="top"/>
    </xf>
    <xf numFmtId="165" fontId="5" fillId="8" borderId="22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47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47" xfId="0" applyFont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165" fontId="5" fillId="2" borderId="20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left" vertical="top" wrapText="1"/>
    </xf>
    <xf numFmtId="165" fontId="3" fillId="4" borderId="51" xfId="0" applyNumberFormat="1" applyFont="1" applyFill="1" applyBorder="1" applyAlignment="1">
      <alignment horizontal="left" vertical="top" wrapText="1"/>
    </xf>
    <xf numFmtId="165" fontId="1" fillId="4" borderId="48" xfId="0" applyNumberFormat="1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165" fontId="1" fillId="10" borderId="50" xfId="1" applyNumberFormat="1" applyFont="1" applyFill="1" applyBorder="1" applyAlignment="1">
      <alignment horizontal="left" vertical="top" wrapText="1"/>
    </xf>
    <xf numFmtId="165" fontId="1" fillId="10" borderId="41" xfId="1" applyNumberFormat="1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textRotation="90" wrapText="1"/>
    </xf>
    <xf numFmtId="164" fontId="1" fillId="0" borderId="10" xfId="0" applyNumberFormat="1" applyFont="1" applyBorder="1" applyAlignment="1">
      <alignment horizontal="center" vertical="center" textRotation="90" wrapText="1"/>
    </xf>
    <xf numFmtId="164" fontId="1" fillId="0" borderId="16" xfId="0" applyNumberFormat="1" applyFont="1" applyBorder="1" applyAlignment="1">
      <alignment horizontal="center" vertical="center" textRotation="90" wrapText="1"/>
    </xf>
    <xf numFmtId="164" fontId="1" fillId="0" borderId="44" xfId="0" applyNumberFormat="1" applyFont="1" applyBorder="1" applyAlignment="1">
      <alignment horizontal="center" vertical="center" textRotation="90" wrapText="1"/>
    </xf>
    <xf numFmtId="164" fontId="1" fillId="0" borderId="46" xfId="0" applyNumberFormat="1" applyFont="1" applyBorder="1" applyAlignment="1">
      <alignment horizontal="center" vertical="center" textRotation="90" wrapText="1"/>
    </xf>
    <xf numFmtId="164" fontId="1" fillId="0" borderId="54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33" xfId="0" applyNumberFormat="1" applyFont="1" applyFill="1" applyBorder="1" applyAlignment="1">
      <alignment horizontal="center" vertical="top"/>
    </xf>
    <xf numFmtId="49" fontId="3" fillId="3" borderId="35" xfId="0" applyNumberFormat="1" applyFont="1" applyFill="1" applyBorder="1" applyAlignment="1">
      <alignment horizontal="center" vertical="top"/>
    </xf>
    <xf numFmtId="0" fontId="3" fillId="4" borderId="30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49" fontId="3" fillId="8" borderId="34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31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49" fontId="3" fillId="2" borderId="62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3" xfId="0" applyNumberFormat="1" applyFont="1" applyFill="1" applyBorder="1" applyAlignment="1">
      <alignment horizontal="center" vertical="top"/>
    </xf>
    <xf numFmtId="49" fontId="3" fillId="2" borderId="35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left" vertical="top" wrapText="1"/>
    </xf>
    <xf numFmtId="49" fontId="3" fillId="6" borderId="21" xfId="0" applyNumberFormat="1" applyFont="1" applyFill="1" applyBorder="1" applyAlignment="1">
      <alignment horizontal="left" vertical="top" wrapText="1"/>
    </xf>
    <xf numFmtId="49" fontId="3" fillId="6" borderId="22" xfId="0" applyNumberFormat="1" applyFont="1" applyFill="1" applyBorder="1" applyAlignment="1">
      <alignment horizontal="left" vertical="top" wrapText="1"/>
    </xf>
    <xf numFmtId="0" fontId="11" fillId="7" borderId="28" xfId="0" applyFont="1" applyFill="1" applyBorder="1" applyAlignment="1">
      <alignment horizontal="left" vertical="top" wrapText="1"/>
    </xf>
    <xf numFmtId="0" fontId="11" fillId="7" borderId="68" xfId="0" applyFont="1" applyFill="1" applyBorder="1" applyAlignment="1">
      <alignment horizontal="left" vertical="top" wrapText="1"/>
    </xf>
    <xf numFmtId="0" fontId="11" fillId="7" borderId="58" xfId="0" applyFont="1" applyFill="1" applyBorder="1" applyAlignment="1">
      <alignment horizontal="left" vertical="top" wrapText="1"/>
    </xf>
    <xf numFmtId="165" fontId="5" fillId="7" borderId="23" xfId="0" applyNumberFormat="1" applyFont="1" applyFill="1" applyBorder="1" applyAlignment="1">
      <alignment horizontal="center" vertical="top"/>
    </xf>
    <xf numFmtId="165" fontId="5" fillId="7" borderId="1" xfId="0" applyNumberFormat="1" applyFont="1" applyFill="1" applyBorder="1" applyAlignment="1">
      <alignment horizontal="center" vertical="top"/>
    </xf>
    <xf numFmtId="165" fontId="5" fillId="7" borderId="54" xfId="0" applyNumberFormat="1" applyFont="1" applyFill="1" applyBorder="1" applyAlignment="1">
      <alignment horizontal="center" vertical="top"/>
    </xf>
    <xf numFmtId="0" fontId="1" fillId="4" borderId="4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165" fontId="1" fillId="10" borderId="33" xfId="1" applyNumberFormat="1" applyFont="1" applyFill="1" applyBorder="1" applyAlignment="1">
      <alignment horizontal="center" vertical="top"/>
    </xf>
    <xf numFmtId="165" fontId="1" fillId="10" borderId="62" xfId="1" applyNumberFormat="1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165" fontId="1" fillId="10" borderId="42" xfId="1" applyNumberFormat="1" applyFont="1" applyFill="1" applyBorder="1" applyAlignment="1">
      <alignment horizontal="left" vertical="top" wrapText="1"/>
    </xf>
    <xf numFmtId="0" fontId="1" fillId="4" borderId="44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left" vertical="top" wrapText="1"/>
    </xf>
    <xf numFmtId="0" fontId="4" fillId="4" borderId="32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1" fillId="4" borderId="27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0" fontId="1" fillId="4" borderId="40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9" borderId="20" xfId="0" applyFont="1" applyFill="1" applyBorder="1" applyAlignment="1">
      <alignment horizontal="center" vertical="top" wrapText="1"/>
    </xf>
    <xf numFmtId="0" fontId="1" fillId="9" borderId="21" xfId="0" applyFont="1" applyFill="1" applyBorder="1" applyAlignment="1">
      <alignment horizontal="center" vertical="top" wrapText="1"/>
    </xf>
    <xf numFmtId="0" fontId="1" fillId="9" borderId="22" xfId="0" applyFont="1" applyFill="1" applyBorder="1" applyAlignment="1">
      <alignment horizontal="center" vertical="top" wrapText="1"/>
    </xf>
    <xf numFmtId="49" fontId="1" fillId="0" borderId="51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165" fontId="3" fillId="4" borderId="4" xfId="0" applyNumberFormat="1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164" fontId="1" fillId="0" borderId="40" xfId="0" applyNumberFormat="1" applyFont="1" applyBorder="1" applyAlignment="1">
      <alignment horizontal="center" vertical="center" textRotation="90" wrapText="1"/>
    </xf>
    <xf numFmtId="164" fontId="1" fillId="0" borderId="42" xfId="0" applyNumberFormat="1" applyFont="1" applyBorder="1" applyAlignment="1">
      <alignment horizontal="center" vertical="center" textRotation="90" wrapText="1"/>
    </xf>
    <xf numFmtId="164" fontId="1" fillId="0" borderId="23" xfId="0" applyNumberFormat="1" applyFont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3" fillId="8" borderId="55" xfId="0" applyFont="1" applyFill="1" applyBorder="1" applyAlignment="1">
      <alignment horizontal="left" vertical="top"/>
    </xf>
    <xf numFmtId="0" fontId="3" fillId="8" borderId="61" xfId="0" applyFont="1" applyFill="1" applyBorder="1" applyAlignment="1">
      <alignment horizontal="left" vertical="top"/>
    </xf>
    <xf numFmtId="0" fontId="3" fillId="8" borderId="59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left" vertical="top" wrapText="1"/>
    </xf>
    <xf numFmtId="49" fontId="3" fillId="2" borderId="20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49" fontId="3" fillId="2" borderId="22" xfId="0" applyNumberFormat="1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center" vertical="top"/>
    </xf>
    <xf numFmtId="49" fontId="1" fillId="4" borderId="48" xfId="0" applyNumberFormat="1" applyFont="1" applyFill="1" applyBorder="1" applyAlignment="1">
      <alignment horizontal="center" vertical="top"/>
    </xf>
    <xf numFmtId="49" fontId="1" fillId="4" borderId="5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top"/>
    </xf>
    <xf numFmtId="0" fontId="1" fillId="4" borderId="32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49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49" fontId="1" fillId="4" borderId="39" xfId="0" applyNumberFormat="1" applyFont="1" applyFill="1" applyBorder="1" applyAlignment="1">
      <alignment horizontal="left" vertical="top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6" xfId="0" applyNumberFormat="1" applyFont="1" applyFill="1" applyBorder="1" applyAlignment="1">
      <alignment horizontal="center" vertical="top"/>
    </xf>
    <xf numFmtId="165" fontId="1" fillId="4" borderId="4" xfId="0" applyNumberFormat="1" applyFont="1" applyFill="1" applyBorder="1" applyAlignment="1">
      <alignment horizontal="left" vertical="top" wrapText="1"/>
    </xf>
    <xf numFmtId="165" fontId="1" fillId="4" borderId="16" xfId="0" applyNumberFormat="1" applyFont="1" applyFill="1" applyBorder="1" applyAlignment="1">
      <alignment horizontal="left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12" xfId="0" applyNumberFormat="1" applyFont="1" applyFill="1" applyBorder="1" applyAlignment="1">
      <alignment horizontal="center" vertical="top" wrapText="1"/>
    </xf>
    <xf numFmtId="49" fontId="1" fillId="4" borderId="18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/>
    </xf>
    <xf numFmtId="0" fontId="1" fillId="4" borderId="47" xfId="0" applyFont="1" applyFill="1" applyBorder="1" applyAlignment="1">
      <alignment horizontal="center" vertical="top"/>
    </xf>
    <xf numFmtId="164" fontId="3" fillId="4" borderId="6" xfId="0" applyNumberFormat="1" applyFont="1" applyFill="1" applyBorder="1" applyAlignment="1">
      <alignment horizontal="center" vertical="top"/>
    </xf>
    <xf numFmtId="164" fontId="3" fillId="4" borderId="47" xfId="0" applyNumberFormat="1" applyFont="1" applyFill="1" applyBorder="1" applyAlignment="1">
      <alignment horizontal="center" vertical="top"/>
    </xf>
    <xf numFmtId="164" fontId="1" fillId="4" borderId="27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5" fontId="1" fillId="10" borderId="6" xfId="1" applyNumberFormat="1" applyFont="1" applyFill="1" applyBorder="1" applyAlignment="1">
      <alignment horizontal="left" vertical="top" wrapText="1"/>
    </xf>
    <xf numFmtId="165" fontId="1" fillId="10" borderId="18" xfId="1" applyNumberFormat="1" applyFont="1" applyFill="1" applyBorder="1" applyAlignment="1">
      <alignment horizontal="left" vertical="top" wrapText="1"/>
    </xf>
    <xf numFmtId="165" fontId="1" fillId="4" borderId="38" xfId="0" applyNumberFormat="1" applyFont="1" applyFill="1" applyBorder="1" applyAlignment="1">
      <alignment horizontal="left" vertical="top" wrapText="1"/>
    </xf>
    <xf numFmtId="165" fontId="1" fillId="4" borderId="25" xfId="0" applyNumberFormat="1" applyFont="1" applyFill="1" applyBorder="1" applyAlignment="1">
      <alignment horizontal="left" vertical="top" wrapText="1"/>
    </xf>
    <xf numFmtId="49" fontId="5" fillId="8" borderId="31" xfId="0" applyNumberFormat="1" applyFont="1" applyFill="1" applyBorder="1" applyAlignment="1">
      <alignment horizontal="center" vertical="top" wrapText="1"/>
    </xf>
    <xf numFmtId="49" fontId="5" fillId="2" borderId="64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center" vertical="top"/>
    </xf>
    <xf numFmtId="165" fontId="1" fillId="4" borderId="26" xfId="0" applyNumberFormat="1" applyFont="1" applyFill="1" applyBorder="1" applyAlignment="1">
      <alignment horizontal="left" vertical="top" wrapText="1"/>
    </xf>
    <xf numFmtId="165" fontId="1" fillId="4" borderId="35" xfId="0" applyNumberFormat="1" applyFont="1" applyFill="1" applyBorder="1" applyAlignment="1">
      <alignment horizontal="left" vertical="top" wrapText="1"/>
    </xf>
    <xf numFmtId="49" fontId="3" fillId="4" borderId="7" xfId="0" applyNumberFormat="1" applyFont="1" applyFill="1" applyBorder="1" applyAlignment="1">
      <alignment horizontal="center" vertical="top"/>
    </xf>
    <xf numFmtId="49" fontId="3" fillId="4" borderId="19" xfId="0" applyNumberFormat="1" applyFont="1" applyFill="1" applyBorder="1" applyAlignment="1">
      <alignment horizontal="center" vertical="top"/>
    </xf>
    <xf numFmtId="3" fontId="17" fillId="4" borderId="6" xfId="0" applyNumberFormat="1" applyFont="1" applyFill="1" applyBorder="1" applyAlignment="1">
      <alignment horizontal="center" vertical="top" wrapText="1"/>
    </xf>
    <xf numFmtId="3" fontId="17" fillId="4" borderId="12" xfId="0" applyNumberFormat="1" applyFont="1" applyFill="1" applyBorder="1" applyAlignment="1">
      <alignment horizontal="center" vertical="top" wrapText="1"/>
    </xf>
    <xf numFmtId="3" fontId="17" fillId="4" borderId="18" xfId="0" applyNumberFormat="1" applyFont="1" applyFill="1" applyBorder="1" applyAlignment="1">
      <alignment horizontal="center" vertical="top" wrapText="1"/>
    </xf>
    <xf numFmtId="49" fontId="5" fillId="3" borderId="51" xfId="0" applyNumberFormat="1" applyFont="1" applyFill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4" borderId="35" xfId="0" applyNumberFormat="1" applyFont="1" applyFill="1" applyBorder="1" applyAlignment="1">
      <alignment horizontal="center" vertical="top"/>
    </xf>
    <xf numFmtId="0" fontId="4" fillId="4" borderId="40" xfId="0" applyFont="1" applyFill="1" applyBorder="1" applyAlignment="1">
      <alignment horizontal="left" vertical="top" wrapText="1"/>
    </xf>
    <xf numFmtId="49" fontId="4" fillId="3" borderId="51" xfId="0" applyNumberFormat="1" applyFont="1" applyFill="1" applyBorder="1" applyAlignment="1">
      <alignment horizontal="center" vertical="top"/>
    </xf>
    <xf numFmtId="165" fontId="3" fillId="4" borderId="25" xfId="0" applyNumberFormat="1" applyFont="1" applyFill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center" vertical="center" textRotation="90"/>
    </xf>
    <xf numFmtId="0" fontId="1" fillId="4" borderId="25" xfId="0" applyFont="1" applyFill="1" applyBorder="1" applyAlignment="1">
      <alignment horizontal="center" vertical="center" textRotation="90"/>
    </xf>
    <xf numFmtId="0" fontId="1" fillId="4" borderId="39" xfId="0" applyFont="1" applyFill="1" applyBorder="1" applyAlignment="1">
      <alignment horizontal="left" vertical="top" wrapText="1"/>
    </xf>
    <xf numFmtId="0" fontId="1" fillId="4" borderId="38" xfId="0" applyFont="1" applyFill="1" applyBorder="1" applyAlignment="1">
      <alignment horizontal="center" vertical="center" textRotation="90"/>
    </xf>
    <xf numFmtId="0" fontId="1" fillId="4" borderId="48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49" fontId="1" fillId="4" borderId="16" xfId="0" applyNumberFormat="1" applyFont="1" applyFill="1" applyBorder="1" applyAlignment="1">
      <alignment horizontal="center" vertical="top"/>
    </xf>
    <xf numFmtId="164" fontId="1" fillId="4" borderId="71" xfId="0" applyNumberFormat="1" applyFont="1" applyFill="1" applyBorder="1" applyAlignment="1">
      <alignment horizontal="center" vertical="top" wrapText="1"/>
    </xf>
    <xf numFmtId="164" fontId="1" fillId="4" borderId="46" xfId="0" applyNumberFormat="1" applyFont="1" applyFill="1" applyBorder="1" applyAlignment="1">
      <alignment horizontal="center" vertical="top" wrapText="1"/>
    </xf>
    <xf numFmtId="164" fontId="1" fillId="4" borderId="7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4" fillId="4" borderId="39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44" xfId="0" applyFont="1" applyFill="1" applyBorder="1" applyAlignment="1">
      <alignment horizontal="center" vertical="top" wrapText="1"/>
    </xf>
    <xf numFmtId="0" fontId="4" fillId="4" borderId="54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46" xfId="0" applyFont="1" applyFill="1" applyBorder="1" applyAlignment="1">
      <alignment horizontal="center" vertical="top" wrapText="1"/>
    </xf>
    <xf numFmtId="167" fontId="1" fillId="10" borderId="6" xfId="1" applyNumberFormat="1" applyFont="1" applyFill="1" applyBorder="1" applyAlignment="1">
      <alignment horizontal="left" vertical="top" wrapText="1"/>
    </xf>
    <xf numFmtId="167" fontId="1" fillId="10" borderId="47" xfId="1" applyNumberFormat="1" applyFont="1" applyFill="1" applyBorder="1" applyAlignment="1">
      <alignment horizontal="left" vertical="top" wrapText="1"/>
    </xf>
    <xf numFmtId="167" fontId="1" fillId="10" borderId="6" xfId="1" applyNumberFormat="1" applyFont="1" applyFill="1" applyBorder="1" applyAlignment="1">
      <alignment horizontal="center" vertical="top" wrapText="1"/>
    </xf>
    <xf numFmtId="167" fontId="1" fillId="10" borderId="47" xfId="1" applyNumberFormat="1" applyFont="1" applyFill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164" fontId="1" fillId="4" borderId="52" xfId="0" applyNumberFormat="1" applyFont="1" applyFill="1" applyBorder="1" applyAlignment="1">
      <alignment horizontal="center" vertical="top"/>
    </xf>
    <xf numFmtId="164" fontId="1" fillId="4" borderId="49" xfId="0" applyNumberFormat="1" applyFont="1" applyFill="1" applyBorder="1" applyAlignment="1">
      <alignment horizontal="center" vertical="top"/>
    </xf>
    <xf numFmtId="167" fontId="1" fillId="10" borderId="32" xfId="1" applyNumberFormat="1" applyFont="1" applyFill="1" applyBorder="1" applyAlignment="1">
      <alignment horizontal="left" vertical="top" wrapText="1"/>
    </xf>
    <xf numFmtId="167" fontId="1" fillId="10" borderId="18" xfId="1" applyNumberFormat="1" applyFont="1" applyFill="1" applyBorder="1" applyAlignment="1">
      <alignment horizontal="left" vertical="top" wrapText="1"/>
    </xf>
    <xf numFmtId="164" fontId="1" fillId="4" borderId="31" xfId="0" applyNumberFormat="1" applyFont="1" applyFill="1" applyBorder="1" applyAlignment="1">
      <alignment horizontal="center" vertical="top"/>
    </xf>
    <xf numFmtId="165" fontId="1" fillId="10" borderId="6" xfId="1" applyNumberFormat="1" applyFont="1" applyFill="1" applyBorder="1" applyAlignment="1">
      <alignment horizontal="center" vertical="top"/>
    </xf>
    <xf numFmtId="165" fontId="1" fillId="10" borderId="18" xfId="1" applyNumberFormat="1" applyFont="1" applyFill="1" applyBorder="1" applyAlignment="1">
      <alignment horizontal="center" vertical="top"/>
    </xf>
    <xf numFmtId="165" fontId="1" fillId="10" borderId="38" xfId="1" applyNumberFormat="1" applyFont="1" applyFill="1" applyBorder="1" applyAlignment="1">
      <alignment horizontal="center" vertical="top"/>
    </xf>
    <xf numFmtId="165" fontId="1" fillId="10" borderId="25" xfId="1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3" fillId="4" borderId="5" xfId="0" applyNumberFormat="1" applyFont="1" applyFill="1" applyBorder="1" applyAlignment="1">
      <alignment horizontal="center" vertical="top"/>
    </xf>
    <xf numFmtId="164" fontId="3" fillId="4" borderId="49" xfId="0" applyNumberFormat="1" applyFont="1" applyFill="1" applyBorder="1" applyAlignment="1">
      <alignment horizontal="center" vertical="top"/>
    </xf>
    <xf numFmtId="165" fontId="1" fillId="10" borderId="12" xfId="1" applyNumberFormat="1" applyFont="1" applyFill="1" applyBorder="1" applyAlignment="1">
      <alignment horizontal="center" vertical="top"/>
    </xf>
    <xf numFmtId="1" fontId="1" fillId="10" borderId="27" xfId="1" applyNumberFormat="1" applyFont="1" applyFill="1" applyBorder="1" applyAlignment="1">
      <alignment horizontal="center" vertical="top"/>
    </xf>
    <xf numFmtId="1" fontId="1" fillId="10" borderId="36" xfId="1" applyNumberFormat="1" applyFont="1" applyFill="1" applyBorder="1" applyAlignment="1">
      <alignment horizontal="center" vertical="top"/>
    </xf>
    <xf numFmtId="1" fontId="1" fillId="10" borderId="4" xfId="1" applyNumberFormat="1" applyFont="1" applyFill="1" applyBorder="1" applyAlignment="1">
      <alignment horizontal="center" vertical="top"/>
    </xf>
    <xf numFmtId="1" fontId="1" fillId="10" borderId="16" xfId="1" applyNumberFormat="1" applyFont="1" applyFill="1" applyBorder="1" applyAlignment="1">
      <alignment horizontal="center" vertical="top"/>
    </xf>
    <xf numFmtId="165" fontId="1" fillId="10" borderId="40" xfId="1" applyNumberFormat="1" applyFont="1" applyFill="1" applyBorder="1" applyAlignment="1">
      <alignment horizontal="left" vertical="top" wrapText="1"/>
    </xf>
    <xf numFmtId="165" fontId="1" fillId="10" borderId="23" xfId="1" applyNumberFormat="1" applyFont="1" applyFill="1" applyBorder="1" applyAlignment="1">
      <alignment horizontal="left" vertical="top" wrapText="1"/>
    </xf>
    <xf numFmtId="0" fontId="24" fillId="4" borderId="0" xfId="0" applyFont="1" applyFill="1"/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mruColors>
      <color rgb="FFFFE1FF"/>
      <color rgb="FFFFCCFF"/>
      <color rgb="FFFFE1CF"/>
      <color rgb="FFFFFFFF"/>
      <color rgb="FFFFEBFF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48"/>
  <sheetViews>
    <sheetView tabSelected="1" zoomScaleNormal="100" zoomScaleSheetLayoutView="100" workbookViewId="0">
      <selection activeCell="A5" sqref="A5:M5"/>
    </sheetView>
  </sheetViews>
  <sheetFormatPr defaultColWidth="9.140625" defaultRowHeight="15" x14ac:dyDescent="0.25"/>
  <cols>
    <col min="1" max="3" width="3" style="29" customWidth="1"/>
    <col min="4" max="4" width="32.85546875" style="29" customWidth="1"/>
    <col min="5" max="5" width="3.7109375" style="32" customWidth="1"/>
    <col min="6" max="9" width="8.140625" style="29" customWidth="1"/>
    <col min="10" max="10" width="25.28515625" style="33" customWidth="1"/>
    <col min="11" max="13" width="5.85546875" style="69" customWidth="1"/>
    <col min="14" max="19" width="9.140625" style="184"/>
    <col min="20" max="16384" width="9.140625" style="29"/>
  </cols>
  <sheetData>
    <row r="1" spans="1:19" ht="34.5" customHeight="1" x14ac:dyDescent="0.25">
      <c r="F1" s="239"/>
      <c r="G1" s="239"/>
      <c r="H1" s="239"/>
      <c r="I1" s="239"/>
      <c r="J1" s="905" t="s">
        <v>159</v>
      </c>
      <c r="K1" s="905"/>
      <c r="L1" s="905"/>
      <c r="M1" s="905"/>
    </row>
    <row r="2" spans="1:19" ht="16.5" customHeight="1" x14ac:dyDescent="0.25">
      <c r="F2" s="303"/>
      <c r="G2" s="326"/>
      <c r="H2" s="326"/>
      <c r="I2" s="326"/>
      <c r="J2" s="303" t="s">
        <v>145</v>
      </c>
      <c r="K2" s="326"/>
      <c r="L2" s="326"/>
      <c r="M2" s="326"/>
    </row>
    <row r="3" spans="1:19" ht="15" customHeight="1" x14ac:dyDescent="0.25">
      <c r="F3" s="889"/>
      <c r="G3" s="889"/>
      <c r="H3" s="889"/>
      <c r="I3" s="889"/>
      <c r="J3" s="889"/>
      <c r="K3" s="889"/>
      <c r="L3" s="889"/>
      <c r="M3" s="889"/>
    </row>
    <row r="4" spans="1:19" s="20" customFormat="1" ht="16.5" customHeight="1" x14ac:dyDescent="0.2">
      <c r="A4" s="1045" t="s">
        <v>237</v>
      </c>
      <c r="B4" s="1045"/>
      <c r="C4" s="1045"/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82"/>
      <c r="O4" s="182"/>
      <c r="P4" s="182"/>
      <c r="Q4" s="182"/>
      <c r="R4" s="182"/>
      <c r="S4" s="182"/>
    </row>
    <row r="5" spans="1:19" s="20" customFormat="1" ht="16.5" customHeight="1" x14ac:dyDescent="0.2">
      <c r="A5" s="1046" t="s">
        <v>160</v>
      </c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82"/>
      <c r="O5" s="182"/>
      <c r="P5" s="182"/>
      <c r="Q5" s="182"/>
      <c r="R5" s="182"/>
      <c r="S5" s="182"/>
    </row>
    <row r="6" spans="1:19" s="20" customFormat="1" ht="16.5" customHeight="1" x14ac:dyDescent="0.2">
      <c r="A6" s="1047" t="s">
        <v>0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7"/>
      <c r="L6" s="1047"/>
      <c r="M6" s="1047"/>
      <c r="N6" s="182"/>
      <c r="O6" s="182"/>
      <c r="P6" s="182"/>
      <c r="Q6" s="182"/>
      <c r="R6" s="182"/>
      <c r="S6" s="182"/>
    </row>
    <row r="7" spans="1:19" s="1" customFormat="1" ht="19.5" customHeight="1" thickBot="1" x14ac:dyDescent="0.25">
      <c r="A7" s="1065" t="s">
        <v>1</v>
      </c>
      <c r="B7" s="1065"/>
      <c r="C7" s="1065"/>
      <c r="D7" s="1065"/>
      <c r="E7" s="1065"/>
      <c r="F7" s="1065"/>
      <c r="G7" s="1065"/>
      <c r="H7" s="1065"/>
      <c r="I7" s="1065"/>
      <c r="J7" s="1065"/>
      <c r="K7" s="1065"/>
      <c r="L7" s="1065"/>
      <c r="M7" s="1065"/>
      <c r="N7" s="12"/>
      <c r="O7" s="12"/>
      <c r="P7" s="12"/>
      <c r="Q7" s="12"/>
      <c r="R7" s="12"/>
      <c r="S7" s="12"/>
    </row>
    <row r="8" spans="1:19" s="1" customFormat="1" ht="16.5" customHeight="1" thickBot="1" x14ac:dyDescent="0.25">
      <c r="A8" s="1030" t="s">
        <v>174</v>
      </c>
      <c r="B8" s="1033" t="s">
        <v>2</v>
      </c>
      <c r="C8" s="1033" t="s">
        <v>3</v>
      </c>
      <c r="D8" s="974" t="s">
        <v>4</v>
      </c>
      <c r="E8" s="1022" t="s">
        <v>175</v>
      </c>
      <c r="F8" s="1025" t="s">
        <v>5</v>
      </c>
      <c r="G8" s="1112" t="s">
        <v>178</v>
      </c>
      <c r="H8" s="1039" t="s">
        <v>229</v>
      </c>
      <c r="I8" s="1042" t="s">
        <v>179</v>
      </c>
      <c r="J8" s="1036" t="s">
        <v>168</v>
      </c>
      <c r="K8" s="1037"/>
      <c r="L8" s="1037"/>
      <c r="M8" s="1038"/>
      <c r="N8" s="282"/>
      <c r="O8" s="12"/>
      <c r="P8" s="12"/>
      <c r="Q8" s="12"/>
      <c r="R8" s="12"/>
      <c r="S8" s="12"/>
    </row>
    <row r="9" spans="1:19" s="1" customFormat="1" ht="18" customHeight="1" x14ac:dyDescent="0.2">
      <c r="A9" s="1031"/>
      <c r="B9" s="1034"/>
      <c r="C9" s="1034"/>
      <c r="D9" s="975"/>
      <c r="E9" s="1023"/>
      <c r="F9" s="1026"/>
      <c r="G9" s="1113"/>
      <c r="H9" s="1040"/>
      <c r="I9" s="1043"/>
      <c r="J9" s="1028" t="s">
        <v>4</v>
      </c>
      <c r="K9" s="1066" t="s">
        <v>169</v>
      </c>
      <c r="L9" s="1067"/>
      <c r="M9" s="1068"/>
      <c r="N9" s="12"/>
      <c r="O9" s="12"/>
      <c r="P9" s="12"/>
      <c r="Q9" s="12"/>
      <c r="R9" s="12"/>
      <c r="S9" s="12"/>
    </row>
    <row r="10" spans="1:19" s="1" customFormat="1" ht="97.5" customHeight="1" thickBot="1" x14ac:dyDescent="0.25">
      <c r="A10" s="1032"/>
      <c r="B10" s="1035"/>
      <c r="C10" s="1035"/>
      <c r="D10" s="976"/>
      <c r="E10" s="1024"/>
      <c r="F10" s="1027"/>
      <c r="G10" s="1114"/>
      <c r="H10" s="1041"/>
      <c r="I10" s="1044"/>
      <c r="J10" s="1029"/>
      <c r="K10" s="890" t="s">
        <v>181</v>
      </c>
      <c r="L10" s="345" t="s">
        <v>182</v>
      </c>
      <c r="M10" s="346" t="s">
        <v>183</v>
      </c>
      <c r="N10" s="12"/>
      <c r="O10" s="12"/>
      <c r="P10" s="12"/>
      <c r="Q10" s="12"/>
      <c r="R10" s="12"/>
      <c r="S10" s="12"/>
    </row>
    <row r="11" spans="1:19" s="1" customFormat="1" ht="15" customHeight="1" thickBot="1" x14ac:dyDescent="0.25">
      <c r="A11" s="1069" t="s">
        <v>6</v>
      </c>
      <c r="B11" s="1070"/>
      <c r="C11" s="1070"/>
      <c r="D11" s="1070"/>
      <c r="E11" s="1070"/>
      <c r="F11" s="1070"/>
      <c r="G11" s="1070"/>
      <c r="H11" s="1070"/>
      <c r="I11" s="1070"/>
      <c r="J11" s="1070"/>
      <c r="K11" s="1070"/>
      <c r="L11" s="1070"/>
      <c r="M11" s="1071"/>
      <c r="N11" s="12"/>
      <c r="O11" s="12"/>
      <c r="P11" s="12"/>
      <c r="Q11" s="12"/>
      <c r="R11" s="12"/>
      <c r="S11" s="12"/>
    </row>
    <row r="12" spans="1:19" s="1" customFormat="1" ht="15" customHeight="1" x14ac:dyDescent="0.2">
      <c r="A12" s="1072" t="s">
        <v>140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4"/>
      <c r="N12" s="282"/>
      <c r="O12" s="12"/>
      <c r="P12" s="12"/>
      <c r="Q12" s="12"/>
      <c r="R12" s="12"/>
      <c r="S12" s="12"/>
    </row>
    <row r="13" spans="1:19" s="1" customFormat="1" ht="15" customHeight="1" x14ac:dyDescent="0.2">
      <c r="A13" s="77" t="s">
        <v>7</v>
      </c>
      <c r="B13" s="1117" t="s">
        <v>8</v>
      </c>
      <c r="C13" s="1118"/>
      <c r="D13" s="1118"/>
      <c r="E13" s="1118"/>
      <c r="F13" s="1118"/>
      <c r="G13" s="1118"/>
      <c r="H13" s="1118"/>
      <c r="I13" s="1118"/>
      <c r="J13" s="1118"/>
      <c r="K13" s="1118"/>
      <c r="L13" s="1118"/>
      <c r="M13" s="1119"/>
      <c r="N13" s="12"/>
      <c r="O13" s="12"/>
      <c r="P13" s="12"/>
      <c r="Q13" s="12"/>
      <c r="R13" s="12"/>
      <c r="S13" s="12"/>
    </row>
    <row r="14" spans="1:19" s="1" customFormat="1" ht="15" customHeight="1" thickBot="1" x14ac:dyDescent="0.25">
      <c r="A14" s="330" t="s">
        <v>7</v>
      </c>
      <c r="B14" s="21" t="s">
        <v>7</v>
      </c>
      <c r="C14" s="1120" t="s">
        <v>9</v>
      </c>
      <c r="D14" s="1121"/>
      <c r="E14" s="1121"/>
      <c r="F14" s="1121"/>
      <c r="G14" s="1121"/>
      <c r="H14" s="1121"/>
      <c r="I14" s="1121"/>
      <c r="J14" s="1121"/>
      <c r="K14" s="1121"/>
      <c r="L14" s="1121"/>
      <c r="M14" s="1122"/>
      <c r="N14" s="12"/>
      <c r="O14" s="12"/>
      <c r="P14" s="12"/>
      <c r="Q14" s="12"/>
      <c r="R14" s="12"/>
      <c r="S14" s="12"/>
    </row>
    <row r="15" spans="1:19" s="1" customFormat="1" ht="18.75" customHeight="1" x14ac:dyDescent="0.2">
      <c r="A15" s="1057" t="s">
        <v>7</v>
      </c>
      <c r="B15" s="1061" t="s">
        <v>7</v>
      </c>
      <c r="C15" s="1050" t="s">
        <v>7</v>
      </c>
      <c r="D15" s="1053" t="s">
        <v>10</v>
      </c>
      <c r="E15" s="529" t="s">
        <v>95</v>
      </c>
      <c r="F15" s="241" t="s">
        <v>12</v>
      </c>
      <c r="G15" s="193">
        <v>43.9</v>
      </c>
      <c r="H15" s="206">
        <f>43.9+44.4</f>
        <v>88.3</v>
      </c>
      <c r="I15" s="377">
        <f>43.9+44.4</f>
        <v>88.3</v>
      </c>
      <c r="J15" s="1131" t="s">
        <v>13</v>
      </c>
      <c r="K15" s="262">
        <v>100</v>
      </c>
      <c r="L15" s="124">
        <v>100</v>
      </c>
      <c r="M15" s="355">
        <v>100</v>
      </c>
      <c r="N15" s="12"/>
      <c r="O15" s="12"/>
      <c r="P15" s="12"/>
      <c r="Q15" s="12"/>
      <c r="R15" s="12"/>
      <c r="S15" s="12"/>
    </row>
    <row r="16" spans="1:19" s="1" customFormat="1" ht="18.75" customHeight="1" x14ac:dyDescent="0.2">
      <c r="A16" s="1058"/>
      <c r="B16" s="1062"/>
      <c r="C16" s="1020"/>
      <c r="D16" s="1053"/>
      <c r="E16" s="529" t="s">
        <v>190</v>
      </c>
      <c r="F16" s="446" t="s">
        <v>15</v>
      </c>
      <c r="G16" s="210">
        <v>126</v>
      </c>
      <c r="H16" s="208">
        <v>126</v>
      </c>
      <c r="I16" s="209">
        <v>126</v>
      </c>
      <c r="J16" s="1132"/>
      <c r="K16" s="125"/>
      <c r="L16" s="126"/>
      <c r="M16" s="144"/>
      <c r="N16" s="12"/>
      <c r="O16" s="12"/>
      <c r="P16" s="12"/>
      <c r="Q16" s="12"/>
      <c r="R16" s="12"/>
      <c r="S16" s="12"/>
    </row>
    <row r="17" spans="1:19" s="1" customFormat="1" ht="15" customHeight="1" x14ac:dyDescent="0.2">
      <c r="A17" s="1058"/>
      <c r="B17" s="1062"/>
      <c r="C17" s="1020"/>
      <c r="D17" s="1053"/>
      <c r="E17" s="586" t="s">
        <v>201</v>
      </c>
      <c r="F17" s="243" t="s">
        <v>58</v>
      </c>
      <c r="G17" s="40">
        <v>48.1</v>
      </c>
      <c r="H17" s="605"/>
      <c r="I17" s="40"/>
      <c r="J17" s="1132"/>
      <c r="K17" s="125"/>
      <c r="L17" s="126"/>
      <c r="M17" s="144"/>
      <c r="N17" s="12"/>
      <c r="O17" s="12"/>
      <c r="P17" s="12"/>
      <c r="Q17" s="12"/>
      <c r="R17" s="12"/>
      <c r="S17" s="12"/>
    </row>
    <row r="18" spans="1:19" s="1" customFormat="1" ht="18" customHeight="1" x14ac:dyDescent="0.2">
      <c r="A18" s="1058"/>
      <c r="B18" s="1062"/>
      <c r="C18" s="1020"/>
      <c r="D18" s="306" t="s">
        <v>14</v>
      </c>
      <c r="E18" s="548"/>
      <c r="F18" s="243"/>
      <c r="G18" s="40"/>
      <c r="H18" s="207"/>
      <c r="I18" s="40"/>
      <c r="J18" s="1132"/>
      <c r="K18" s="125"/>
      <c r="L18" s="126"/>
      <c r="M18" s="144"/>
      <c r="N18" s="12"/>
      <c r="O18" s="12"/>
      <c r="P18" s="12"/>
      <c r="Q18" s="12"/>
      <c r="R18" s="12"/>
      <c r="S18" s="12"/>
    </row>
    <row r="19" spans="1:19" s="1" customFormat="1" ht="18" customHeight="1" x14ac:dyDescent="0.2">
      <c r="A19" s="1059"/>
      <c r="B19" s="1063"/>
      <c r="C19" s="1051"/>
      <c r="D19" s="101" t="s">
        <v>16</v>
      </c>
      <c r="E19" s="548"/>
      <c r="F19" s="243"/>
      <c r="G19" s="199"/>
      <c r="H19" s="198"/>
      <c r="I19" s="199"/>
      <c r="J19" s="1132"/>
      <c r="K19" s="125"/>
      <c r="L19" s="126"/>
      <c r="M19" s="144"/>
      <c r="N19" s="12"/>
      <c r="O19" s="12"/>
      <c r="P19" s="12"/>
      <c r="Q19" s="12"/>
      <c r="R19" s="12"/>
      <c r="S19" s="12"/>
    </row>
    <row r="20" spans="1:19" s="1" customFormat="1" ht="27.75" customHeight="1" x14ac:dyDescent="0.2">
      <c r="A20" s="1059"/>
      <c r="B20" s="1063"/>
      <c r="C20" s="1051"/>
      <c r="D20" s="101" t="s">
        <v>17</v>
      </c>
      <c r="E20" s="548"/>
      <c r="F20" s="244"/>
      <c r="G20" s="200"/>
      <c r="H20" s="201"/>
      <c r="I20" s="200"/>
      <c r="J20" s="1132"/>
      <c r="K20" s="125"/>
      <c r="L20" s="126"/>
      <c r="M20" s="144"/>
      <c r="N20" s="12"/>
      <c r="O20" s="12"/>
      <c r="P20" s="12"/>
      <c r="Q20" s="12"/>
      <c r="R20" s="12"/>
      <c r="S20" s="12"/>
    </row>
    <row r="21" spans="1:19" s="1" customFormat="1" ht="29.25" customHeight="1" x14ac:dyDescent="0.2">
      <c r="A21" s="1059"/>
      <c r="B21" s="1063"/>
      <c r="C21" s="1051"/>
      <c r="D21" s="101" t="s">
        <v>18</v>
      </c>
      <c r="E21" s="548"/>
      <c r="F21" s="244"/>
      <c r="G21" s="200"/>
      <c r="H21" s="201"/>
      <c r="I21" s="200"/>
      <c r="J21" s="1132"/>
      <c r="K21" s="125"/>
      <c r="L21" s="126"/>
      <c r="M21" s="144"/>
      <c r="N21" s="12"/>
      <c r="O21" s="12"/>
      <c r="P21" s="12"/>
      <c r="Q21" s="12"/>
      <c r="R21" s="12"/>
      <c r="S21" s="12"/>
    </row>
    <row r="22" spans="1:19" s="1" customFormat="1" ht="14.25" customHeight="1" x14ac:dyDescent="0.2">
      <c r="A22" s="1059"/>
      <c r="B22" s="1063"/>
      <c r="C22" s="1051"/>
      <c r="D22" s="927" t="s">
        <v>19</v>
      </c>
      <c r="E22" s="548"/>
      <c r="F22" s="395"/>
      <c r="G22" s="214"/>
      <c r="H22" s="215"/>
      <c r="I22" s="448"/>
      <c r="J22" s="1132"/>
      <c r="K22" s="125"/>
      <c r="L22" s="126"/>
      <c r="M22" s="144"/>
      <c r="N22" s="12"/>
      <c r="O22" s="12"/>
      <c r="P22" s="12"/>
      <c r="Q22" s="12"/>
      <c r="R22" s="12"/>
      <c r="S22" s="12"/>
    </row>
    <row r="23" spans="1:19" s="1" customFormat="1" ht="17.25" customHeight="1" thickBot="1" x14ac:dyDescent="0.25">
      <c r="A23" s="1060"/>
      <c r="B23" s="1064"/>
      <c r="C23" s="1052"/>
      <c r="D23" s="925"/>
      <c r="E23" s="549"/>
      <c r="F23" s="284" t="s">
        <v>20</v>
      </c>
      <c r="G23" s="256">
        <f>SUM(G15:G22)</f>
        <v>218</v>
      </c>
      <c r="H23" s="118">
        <f>SUM(H15:H22)</f>
        <v>214.3</v>
      </c>
      <c r="I23" s="447">
        <f>SUM(I15:I22)</f>
        <v>214.3</v>
      </c>
      <c r="J23" s="1133"/>
      <c r="K23" s="127"/>
      <c r="L23" s="128"/>
      <c r="M23" s="145"/>
      <c r="N23" s="12"/>
      <c r="O23" s="12"/>
      <c r="P23" s="12"/>
      <c r="Q23" s="12"/>
      <c r="R23" s="12"/>
      <c r="S23" s="12"/>
    </row>
    <row r="24" spans="1:19" s="1" customFormat="1" ht="26.25" customHeight="1" x14ac:dyDescent="0.2">
      <c r="A24" s="44" t="s">
        <v>7</v>
      </c>
      <c r="B24" s="22" t="s">
        <v>7</v>
      </c>
      <c r="C24" s="1019" t="s">
        <v>21</v>
      </c>
      <c r="D24" s="1054" t="s">
        <v>22</v>
      </c>
      <c r="E24" s="572" t="s">
        <v>190</v>
      </c>
      <c r="F24" s="247" t="s">
        <v>23</v>
      </c>
      <c r="G24" s="202">
        <v>990.6</v>
      </c>
      <c r="H24" s="203">
        <v>939.1</v>
      </c>
      <c r="I24" s="376">
        <v>939.1</v>
      </c>
      <c r="J24" s="1084" t="s">
        <v>24</v>
      </c>
      <c r="K24" s="106">
        <v>106</v>
      </c>
      <c r="L24" s="113">
        <v>106</v>
      </c>
      <c r="M24" s="143">
        <v>106</v>
      </c>
      <c r="N24" s="12"/>
      <c r="O24" s="12"/>
      <c r="P24" s="12"/>
      <c r="Q24" s="12"/>
      <c r="R24" s="12"/>
      <c r="S24" s="12"/>
    </row>
    <row r="25" spans="1:19" s="1" customFormat="1" ht="26.25" customHeight="1" x14ac:dyDescent="0.2">
      <c r="A25" s="301"/>
      <c r="B25" s="302"/>
      <c r="C25" s="1020"/>
      <c r="D25" s="1055"/>
      <c r="E25" s="573" t="s">
        <v>201</v>
      </c>
      <c r="F25" s="446" t="s">
        <v>12</v>
      </c>
      <c r="G25" s="210">
        <v>601.5</v>
      </c>
      <c r="H25" s="208">
        <v>601.5</v>
      </c>
      <c r="I25" s="209">
        <v>601.5</v>
      </c>
      <c r="J25" s="1084"/>
      <c r="K25" s="57"/>
      <c r="L25" s="110"/>
      <c r="M25" s="146"/>
      <c r="N25" s="183"/>
      <c r="O25" s="12"/>
      <c r="P25" s="12"/>
      <c r="Q25" s="12"/>
      <c r="R25" s="12"/>
      <c r="S25" s="12"/>
    </row>
    <row r="26" spans="1:19" s="1" customFormat="1" ht="17.25" customHeight="1" thickBot="1" x14ac:dyDescent="0.25">
      <c r="A26" s="45"/>
      <c r="B26" s="21"/>
      <c r="C26" s="1021"/>
      <c r="D26" s="1056"/>
      <c r="E26" s="571"/>
      <c r="F26" s="284" t="s">
        <v>20</v>
      </c>
      <c r="G26" s="256">
        <f>SUM(G24:G25)</f>
        <v>1592.1</v>
      </c>
      <c r="H26" s="118">
        <f t="shared" ref="H26:I26" si="0">SUM(H24:H25)</f>
        <v>1540.6</v>
      </c>
      <c r="I26" s="447">
        <f t="shared" si="0"/>
        <v>1540.6</v>
      </c>
      <c r="J26" s="1085"/>
      <c r="K26" s="131"/>
      <c r="L26" s="132"/>
      <c r="M26" s="150"/>
      <c r="N26" s="12"/>
      <c r="O26" s="12"/>
      <c r="P26" s="12"/>
      <c r="Q26" s="12"/>
      <c r="R26" s="12"/>
      <c r="S26" s="12"/>
    </row>
    <row r="27" spans="1:19" s="1" customFormat="1" ht="26.25" customHeight="1" x14ac:dyDescent="0.2">
      <c r="A27" s="44" t="s">
        <v>7</v>
      </c>
      <c r="B27" s="36" t="s">
        <v>7</v>
      </c>
      <c r="C27" s="37" t="s">
        <v>25</v>
      </c>
      <c r="D27" s="926" t="s">
        <v>26</v>
      </c>
      <c r="E27" s="307" t="s">
        <v>95</v>
      </c>
      <c r="F27" s="253" t="s">
        <v>23</v>
      </c>
      <c r="G27" s="338">
        <v>377.9</v>
      </c>
      <c r="H27" s="885">
        <v>329.6</v>
      </c>
      <c r="I27" s="237">
        <v>329.8</v>
      </c>
      <c r="J27" s="1151" t="s">
        <v>68</v>
      </c>
      <c r="K27" s="106">
        <v>6300</v>
      </c>
      <c r="L27" s="715">
        <v>6400</v>
      </c>
      <c r="M27" s="143">
        <v>6500</v>
      </c>
      <c r="N27" s="12"/>
      <c r="O27" s="876" t="s">
        <v>23</v>
      </c>
      <c r="P27" s="877">
        <f>G27+G28</f>
        <v>377.9</v>
      </c>
      <c r="Q27" s="877">
        <f>H27+H28</f>
        <v>329.6</v>
      </c>
      <c r="R27" s="877">
        <f>I27+I28</f>
        <v>329.8</v>
      </c>
      <c r="S27" s="12"/>
    </row>
    <row r="28" spans="1:19" s="1" customFormat="1" ht="30" customHeight="1" x14ac:dyDescent="0.2">
      <c r="A28" s="301"/>
      <c r="B28" s="39"/>
      <c r="C28" s="296"/>
      <c r="D28" s="927"/>
      <c r="E28" s="543" t="s">
        <v>201</v>
      </c>
      <c r="F28" s="384"/>
      <c r="G28" s="204"/>
      <c r="H28" s="205"/>
      <c r="I28" s="204"/>
      <c r="J28" s="1015"/>
      <c r="K28" s="776"/>
      <c r="L28" s="112"/>
      <c r="M28" s="192"/>
      <c r="N28" s="180"/>
      <c r="O28" s="12"/>
      <c r="P28" s="12"/>
      <c r="Q28" s="12"/>
      <c r="R28" s="12"/>
      <c r="S28" s="12"/>
    </row>
    <row r="29" spans="1:19" s="1" customFormat="1" ht="54.6" customHeight="1" x14ac:dyDescent="0.2">
      <c r="A29" s="46"/>
      <c r="B29" s="35"/>
      <c r="C29" s="28"/>
      <c r="D29" s="101"/>
      <c r="E29" s="308"/>
      <c r="F29" s="250" t="s">
        <v>27</v>
      </c>
      <c r="G29" s="211">
        <v>3.1</v>
      </c>
      <c r="H29" s="208">
        <v>3.1</v>
      </c>
      <c r="I29" s="209">
        <v>3.1</v>
      </c>
      <c r="J29" s="1115" t="s">
        <v>82</v>
      </c>
      <c r="K29" s="332">
        <v>122300</v>
      </c>
      <c r="L29" s="329">
        <v>122500</v>
      </c>
      <c r="M29" s="356">
        <v>123000</v>
      </c>
      <c r="N29" s="12"/>
      <c r="O29" s="12"/>
      <c r="P29" s="12"/>
      <c r="Q29" s="12"/>
      <c r="R29" s="12"/>
      <c r="S29" s="12"/>
    </row>
    <row r="30" spans="1:19" s="1" customFormat="1" ht="15.6" customHeight="1" x14ac:dyDescent="0.2">
      <c r="A30" s="46"/>
      <c r="B30" s="35"/>
      <c r="C30" s="28"/>
      <c r="D30" s="305"/>
      <c r="E30" s="308"/>
      <c r="F30" s="251" t="s">
        <v>60</v>
      </c>
      <c r="G30" s="204">
        <v>1.2</v>
      </c>
      <c r="H30" s="205"/>
      <c r="I30" s="204"/>
      <c r="J30" s="1116"/>
      <c r="K30" s="194"/>
      <c r="L30" s="190"/>
      <c r="M30" s="451"/>
      <c r="N30" s="12"/>
      <c r="O30" s="12"/>
      <c r="P30" s="12"/>
      <c r="Q30" s="12"/>
      <c r="R30" s="12"/>
      <c r="S30" s="12"/>
    </row>
    <row r="31" spans="1:19" s="1" customFormat="1" ht="30" customHeight="1" x14ac:dyDescent="0.2">
      <c r="A31" s="301"/>
      <c r="B31" s="39"/>
      <c r="C31" s="296"/>
      <c r="D31" s="101"/>
      <c r="E31" s="308"/>
      <c r="F31" s="250" t="s">
        <v>12</v>
      </c>
      <c r="G31" s="195">
        <v>173.1</v>
      </c>
      <c r="H31" s="882">
        <v>158.19999999999999</v>
      </c>
      <c r="I31" s="227">
        <v>158.19999999999999</v>
      </c>
      <c r="J31" s="78" t="s">
        <v>224</v>
      </c>
      <c r="K31" s="188">
        <v>8</v>
      </c>
      <c r="L31" s="189">
        <v>8</v>
      </c>
      <c r="M31" s="148">
        <v>8</v>
      </c>
      <c r="N31" s="12"/>
      <c r="O31" s="12"/>
      <c r="P31" s="12"/>
      <c r="Q31" s="12"/>
      <c r="R31" s="12"/>
      <c r="S31" s="12"/>
    </row>
    <row r="32" spans="1:19" s="1" customFormat="1" ht="43.15" customHeight="1" x14ac:dyDescent="0.2">
      <c r="A32" s="531"/>
      <c r="B32" s="39"/>
      <c r="C32" s="530"/>
      <c r="D32" s="101"/>
      <c r="E32" s="308"/>
      <c r="F32" s="879"/>
      <c r="G32" s="804"/>
      <c r="H32" s="880"/>
      <c r="I32" s="810"/>
      <c r="J32" s="109" t="s">
        <v>232</v>
      </c>
      <c r="K32" s="525" t="s">
        <v>188</v>
      </c>
      <c r="L32" s="526" t="s">
        <v>189</v>
      </c>
      <c r="M32" s="527" t="s">
        <v>189</v>
      </c>
      <c r="N32" s="12"/>
      <c r="O32" s="876" t="s">
        <v>12</v>
      </c>
      <c r="P32" s="877">
        <f>G31+G32+G33+G34</f>
        <v>173.1</v>
      </c>
      <c r="Q32" s="877">
        <f>H31+H32+H33</f>
        <v>158.19999999999999</v>
      </c>
      <c r="R32" s="877">
        <f>I31+I32+I33</f>
        <v>158.19999999999999</v>
      </c>
      <c r="S32" s="12"/>
    </row>
    <row r="33" spans="1:19" s="1" customFormat="1" ht="52.5" customHeight="1" x14ac:dyDescent="0.2">
      <c r="A33" s="531"/>
      <c r="B33" s="39"/>
      <c r="C33" s="530"/>
      <c r="D33" s="101"/>
      <c r="E33" s="308"/>
      <c r="F33" s="879"/>
      <c r="G33" s="804"/>
      <c r="H33" s="880"/>
      <c r="I33" s="810"/>
      <c r="J33" s="109" t="s">
        <v>206</v>
      </c>
      <c r="K33" s="525" t="s">
        <v>191</v>
      </c>
      <c r="L33" s="526" t="s">
        <v>191</v>
      </c>
      <c r="M33" s="527" t="s">
        <v>191</v>
      </c>
      <c r="N33" s="12"/>
      <c r="O33" s="12"/>
      <c r="P33" s="12"/>
      <c r="Q33" s="12"/>
      <c r="R33" s="12"/>
      <c r="S33" s="12"/>
    </row>
    <row r="34" spans="1:19" s="1" customFormat="1" ht="26.25" customHeight="1" x14ac:dyDescent="0.2">
      <c r="A34" s="519"/>
      <c r="B34" s="39"/>
      <c r="C34" s="518"/>
      <c r="D34" s="101"/>
      <c r="E34" s="308"/>
      <c r="F34" s="879"/>
      <c r="G34" s="804"/>
      <c r="H34" s="880"/>
      <c r="I34" s="804"/>
      <c r="J34" s="1145" t="s">
        <v>209</v>
      </c>
      <c r="K34" s="616" t="s">
        <v>123</v>
      </c>
      <c r="L34" s="617"/>
      <c r="M34" s="618"/>
      <c r="N34" s="12"/>
      <c r="O34" s="12"/>
      <c r="P34" s="12"/>
      <c r="Q34" s="12"/>
      <c r="R34" s="12"/>
      <c r="S34" s="12"/>
    </row>
    <row r="35" spans="1:19" s="1" customFormat="1" ht="17.45" customHeight="1" thickBot="1" x14ac:dyDescent="0.25">
      <c r="A35" s="47"/>
      <c r="B35" s="23"/>
      <c r="C35" s="24"/>
      <c r="D35" s="102"/>
      <c r="E35" s="309"/>
      <c r="F35" s="246" t="s">
        <v>20</v>
      </c>
      <c r="G35" s="158">
        <f>SUM(G27:G31)</f>
        <v>555.29999999999995</v>
      </c>
      <c r="H35" s="118">
        <f>SUM(H27:H31)</f>
        <v>490.90000000000003</v>
      </c>
      <c r="I35" s="158">
        <f>SUM(I27:I31)</f>
        <v>491.1</v>
      </c>
      <c r="J35" s="1146"/>
      <c r="K35" s="129"/>
      <c r="L35" s="130"/>
      <c r="M35" s="149"/>
      <c r="N35" s="12"/>
      <c r="O35" s="12"/>
      <c r="P35" s="12"/>
      <c r="Q35" s="12"/>
      <c r="R35" s="12"/>
      <c r="S35" s="12"/>
    </row>
    <row r="36" spans="1:19" s="1" customFormat="1" ht="18" customHeight="1" x14ac:dyDescent="0.2">
      <c r="A36" s="44" t="s">
        <v>7</v>
      </c>
      <c r="B36" s="22" t="s">
        <v>7</v>
      </c>
      <c r="C36" s="1019" t="s">
        <v>28</v>
      </c>
      <c r="D36" s="926" t="s">
        <v>83</v>
      </c>
      <c r="E36" s="542" t="s">
        <v>95</v>
      </c>
      <c r="F36" s="247" t="s">
        <v>69</v>
      </c>
      <c r="G36" s="481">
        <v>111.9</v>
      </c>
      <c r="H36" s="212"/>
      <c r="I36" s="378"/>
      <c r="J36" s="1111" t="s">
        <v>71</v>
      </c>
      <c r="K36" s="106">
        <v>4265</v>
      </c>
      <c r="L36" s="113"/>
      <c r="M36" s="143"/>
      <c r="N36" s="12"/>
      <c r="O36" s="12"/>
      <c r="P36" s="12"/>
      <c r="Q36" s="12"/>
      <c r="R36" s="12"/>
      <c r="S36" s="12"/>
    </row>
    <row r="37" spans="1:19" s="1" customFormat="1" ht="18" customHeight="1" x14ac:dyDescent="0.2">
      <c r="A37" s="301"/>
      <c r="B37" s="302"/>
      <c r="C37" s="1020"/>
      <c r="D37" s="927"/>
      <c r="E37" s="543" t="s">
        <v>190</v>
      </c>
      <c r="F37" s="248" t="s">
        <v>12</v>
      </c>
      <c r="G37" s="211">
        <v>9.6</v>
      </c>
      <c r="H37" s="452"/>
      <c r="I37" s="453"/>
      <c r="J37" s="1084"/>
      <c r="K37" s="57"/>
      <c r="L37" s="110"/>
      <c r="M37" s="146"/>
      <c r="N37" s="12"/>
      <c r="O37" s="12"/>
      <c r="P37" s="12"/>
      <c r="Q37" s="12"/>
      <c r="R37" s="12"/>
      <c r="S37" s="12"/>
    </row>
    <row r="38" spans="1:19" s="1" customFormat="1" ht="28.5" customHeight="1" x14ac:dyDescent="0.2">
      <c r="A38" s="301"/>
      <c r="B38" s="302"/>
      <c r="C38" s="1020"/>
      <c r="D38" s="927"/>
      <c r="E38" s="548"/>
      <c r="F38" s="248" t="s">
        <v>23</v>
      </c>
      <c r="G38" s="211">
        <v>9.6999999999999993</v>
      </c>
      <c r="H38" s="452"/>
      <c r="I38" s="453"/>
      <c r="J38" s="1084"/>
      <c r="K38" s="57"/>
      <c r="L38" s="110"/>
      <c r="M38" s="146"/>
      <c r="N38" s="12"/>
      <c r="O38" s="12"/>
      <c r="P38" s="12"/>
      <c r="Q38" s="12"/>
      <c r="R38" s="12"/>
      <c r="S38" s="12"/>
    </row>
    <row r="39" spans="1:19" s="1" customFormat="1" ht="18" customHeight="1" thickBot="1" x14ac:dyDescent="0.25">
      <c r="A39" s="45"/>
      <c r="B39" s="21"/>
      <c r="C39" s="1021"/>
      <c r="D39" s="925"/>
      <c r="E39" s="549"/>
      <c r="F39" s="246" t="s">
        <v>20</v>
      </c>
      <c r="G39" s="158">
        <f t="shared" ref="G39:I39" si="1">SUM(G36:G38)</f>
        <v>131.19999999999999</v>
      </c>
      <c r="H39" s="118">
        <f t="shared" si="1"/>
        <v>0</v>
      </c>
      <c r="I39" s="115">
        <f t="shared" si="1"/>
        <v>0</v>
      </c>
      <c r="J39" s="1085"/>
      <c r="K39" s="131"/>
      <c r="L39" s="132"/>
      <c r="M39" s="150"/>
      <c r="N39" s="12"/>
      <c r="O39" s="12"/>
      <c r="P39" s="12"/>
      <c r="Q39" s="12"/>
      <c r="R39" s="12"/>
      <c r="S39" s="12"/>
    </row>
    <row r="40" spans="1:19" s="1" customFormat="1" ht="18.75" customHeight="1" x14ac:dyDescent="0.2">
      <c r="A40" s="44" t="s">
        <v>7</v>
      </c>
      <c r="B40" s="22" t="s">
        <v>7</v>
      </c>
      <c r="C40" s="1019" t="s">
        <v>38</v>
      </c>
      <c r="D40" s="926" t="s">
        <v>72</v>
      </c>
      <c r="E40" s="1048" t="s">
        <v>190</v>
      </c>
      <c r="F40" s="241" t="s">
        <v>12</v>
      </c>
      <c r="G40" s="475">
        <v>5</v>
      </c>
      <c r="H40" s="206">
        <v>5</v>
      </c>
      <c r="I40" s="377">
        <v>5</v>
      </c>
      <c r="J40" s="1111" t="s">
        <v>86</v>
      </c>
      <c r="K40" s="106">
        <v>1</v>
      </c>
      <c r="L40" s="113">
        <v>1</v>
      </c>
      <c r="M40" s="143">
        <v>1</v>
      </c>
      <c r="N40" s="12"/>
      <c r="O40" s="12"/>
      <c r="P40" s="12"/>
      <c r="Q40" s="12"/>
      <c r="R40" s="12"/>
      <c r="S40" s="12"/>
    </row>
    <row r="41" spans="1:19" s="1" customFormat="1" ht="14.25" customHeight="1" thickBot="1" x14ac:dyDescent="0.25">
      <c r="A41" s="45"/>
      <c r="B41" s="21"/>
      <c r="C41" s="1021"/>
      <c r="D41" s="925"/>
      <c r="E41" s="1049"/>
      <c r="F41" s="246" t="s">
        <v>20</v>
      </c>
      <c r="G41" s="158">
        <f t="shared" ref="G41:I41" si="2">SUM(G40:G40)</f>
        <v>5</v>
      </c>
      <c r="H41" s="118">
        <f t="shared" si="2"/>
        <v>5</v>
      </c>
      <c r="I41" s="115">
        <f t="shared" si="2"/>
        <v>5</v>
      </c>
      <c r="J41" s="1084"/>
      <c r="K41" s="131"/>
      <c r="L41" s="132"/>
      <c r="M41" s="150"/>
      <c r="N41" s="12"/>
      <c r="O41" s="12"/>
      <c r="P41" s="12"/>
      <c r="Q41" s="12"/>
      <c r="R41" s="12"/>
      <c r="S41" s="12"/>
    </row>
    <row r="42" spans="1:19" s="1" customFormat="1" ht="19.5" customHeight="1" x14ac:dyDescent="0.2">
      <c r="A42" s="44" t="s">
        <v>7</v>
      </c>
      <c r="B42" s="22" t="s">
        <v>7</v>
      </c>
      <c r="C42" s="295" t="s">
        <v>39</v>
      </c>
      <c r="D42" s="926" t="s">
        <v>154</v>
      </c>
      <c r="E42" s="307" t="s">
        <v>95</v>
      </c>
      <c r="F42" s="253" t="s">
        <v>69</v>
      </c>
      <c r="G42" s="338">
        <v>60</v>
      </c>
      <c r="H42" s="585">
        <v>25.1</v>
      </c>
      <c r="I42" s="159"/>
      <c r="J42" s="84" t="s">
        <v>125</v>
      </c>
      <c r="K42" s="455">
        <v>80</v>
      </c>
      <c r="L42" s="456">
        <v>100</v>
      </c>
      <c r="M42" s="147"/>
      <c r="N42" s="178"/>
      <c r="O42" s="12"/>
      <c r="P42" s="12"/>
      <c r="Q42" s="12"/>
      <c r="R42" s="12"/>
      <c r="S42" s="12"/>
    </row>
    <row r="43" spans="1:19" s="1" customFormat="1" ht="27" customHeight="1" x14ac:dyDescent="0.2">
      <c r="A43" s="610"/>
      <c r="B43" s="611"/>
      <c r="C43" s="608"/>
      <c r="D43" s="927"/>
      <c r="E43" s="609"/>
      <c r="F43" s="254"/>
      <c r="G43" s="40"/>
      <c r="H43" s="612"/>
      <c r="I43" s="156"/>
      <c r="J43" s="613" t="s">
        <v>126</v>
      </c>
      <c r="K43" s="133">
        <v>2</v>
      </c>
      <c r="L43" s="134">
        <v>1</v>
      </c>
      <c r="M43" s="192"/>
      <c r="N43" s="178"/>
      <c r="O43" s="12"/>
      <c r="P43" s="12"/>
      <c r="Q43" s="12"/>
      <c r="R43" s="12"/>
      <c r="S43" s="12"/>
    </row>
    <row r="44" spans="1:19" s="1" customFormat="1" ht="28.5" customHeight="1" x14ac:dyDescent="0.2">
      <c r="A44" s="540"/>
      <c r="B44" s="541"/>
      <c r="C44" s="539"/>
      <c r="D44" s="927"/>
      <c r="E44" s="543" t="s">
        <v>190</v>
      </c>
      <c r="F44" s="254"/>
      <c r="G44" s="156"/>
      <c r="H44" s="157"/>
      <c r="I44" s="156"/>
      <c r="J44" s="88" t="s">
        <v>213</v>
      </c>
      <c r="K44" s="71">
        <v>7200</v>
      </c>
      <c r="L44" s="615">
        <v>7938</v>
      </c>
      <c r="M44" s="191"/>
      <c r="N44" s="178"/>
      <c r="O44" s="12"/>
      <c r="P44" s="12"/>
      <c r="Q44" s="12"/>
      <c r="R44" s="12"/>
      <c r="S44" s="12"/>
    </row>
    <row r="45" spans="1:19" s="1" customFormat="1" ht="16.5" customHeight="1" thickBot="1" x14ac:dyDescent="0.25">
      <c r="A45" s="45"/>
      <c r="B45" s="21"/>
      <c r="C45" s="297"/>
      <c r="D45" s="925"/>
      <c r="E45" s="310"/>
      <c r="F45" s="246" t="s">
        <v>20</v>
      </c>
      <c r="G45" s="158">
        <f>G42</f>
        <v>60</v>
      </c>
      <c r="H45" s="118">
        <f>H42</f>
        <v>25.1</v>
      </c>
      <c r="I45" s="115">
        <f>I42</f>
        <v>0</v>
      </c>
      <c r="J45" s="677"/>
      <c r="K45" s="131"/>
      <c r="L45" s="132"/>
      <c r="M45" s="150"/>
      <c r="N45" s="178"/>
      <c r="O45" s="12"/>
      <c r="P45" s="12"/>
      <c r="Q45" s="12"/>
      <c r="R45" s="12"/>
      <c r="S45" s="12"/>
    </row>
    <row r="46" spans="1:19" s="1" customFormat="1" ht="16.5" customHeight="1" x14ac:dyDescent="0.2">
      <c r="A46" s="779" t="s">
        <v>7</v>
      </c>
      <c r="B46" s="778" t="s">
        <v>7</v>
      </c>
      <c r="C46" s="1019" t="s">
        <v>11</v>
      </c>
      <c r="D46" s="926" t="s">
        <v>105</v>
      </c>
      <c r="E46" s="825" t="s">
        <v>95</v>
      </c>
      <c r="F46" s="836" t="s">
        <v>59</v>
      </c>
      <c r="G46" s="792">
        <v>1.6</v>
      </c>
      <c r="H46" s="789"/>
      <c r="I46" s="787"/>
      <c r="J46" s="676"/>
      <c r="K46" s="57"/>
      <c r="L46" s="716"/>
      <c r="M46" s="146"/>
      <c r="N46" s="178"/>
      <c r="O46" s="12"/>
      <c r="P46" s="12"/>
      <c r="Q46" s="12"/>
      <c r="R46" s="12"/>
      <c r="S46" s="12"/>
    </row>
    <row r="47" spans="1:19" s="1" customFormat="1" ht="20.25" customHeight="1" x14ac:dyDescent="0.2">
      <c r="A47" s="794"/>
      <c r="B47" s="795"/>
      <c r="C47" s="1020"/>
      <c r="D47" s="927"/>
      <c r="E47" s="826" t="s">
        <v>190</v>
      </c>
      <c r="F47" s="831" t="s">
        <v>70</v>
      </c>
      <c r="G47" s="800">
        <v>0.3</v>
      </c>
      <c r="H47" s="842"/>
      <c r="I47" s="843"/>
      <c r="J47" s="676"/>
      <c r="K47" s="57"/>
      <c r="L47" s="716"/>
      <c r="M47" s="146"/>
      <c r="N47" s="178"/>
      <c r="O47" s="12"/>
      <c r="P47" s="12"/>
      <c r="Q47" s="12"/>
      <c r="R47" s="12"/>
      <c r="S47" s="12"/>
    </row>
    <row r="48" spans="1:19" s="1" customFormat="1" ht="16.5" customHeight="1" thickBot="1" x14ac:dyDescent="0.25">
      <c r="A48" s="794"/>
      <c r="B48" s="795"/>
      <c r="C48" s="1020"/>
      <c r="D48" s="927"/>
      <c r="E48" s="837"/>
      <c r="F48" s="777" t="s">
        <v>20</v>
      </c>
      <c r="G48" s="339">
        <f>G46+G47</f>
        <v>1.9000000000000001</v>
      </c>
      <c r="H48" s="443"/>
      <c r="I48" s="499"/>
      <c r="J48" s="676"/>
      <c r="K48" s="57"/>
      <c r="L48" s="716"/>
      <c r="M48" s="146"/>
      <c r="N48" s="178"/>
      <c r="O48" s="12"/>
      <c r="P48" s="12"/>
      <c r="Q48" s="12"/>
      <c r="R48" s="12"/>
      <c r="S48" s="12"/>
    </row>
    <row r="49" spans="1:19" s="1" customFormat="1" ht="19.149999999999999" customHeight="1" x14ac:dyDescent="0.2">
      <c r="A49" s="44" t="s">
        <v>7</v>
      </c>
      <c r="B49" s="22" t="s">
        <v>7</v>
      </c>
      <c r="C49" s="1019" t="s">
        <v>40</v>
      </c>
      <c r="D49" s="926" t="s">
        <v>110</v>
      </c>
      <c r="E49" s="542" t="s">
        <v>95</v>
      </c>
      <c r="F49" s="255" t="s">
        <v>69</v>
      </c>
      <c r="G49" s="481">
        <v>39.9</v>
      </c>
      <c r="H49" s="203">
        <v>5.4</v>
      </c>
      <c r="I49" s="378"/>
      <c r="J49" s="1099" t="s">
        <v>111</v>
      </c>
      <c r="K49" s="582">
        <v>2640</v>
      </c>
      <c r="L49" s="673">
        <v>2640</v>
      </c>
      <c r="M49" s="682"/>
      <c r="N49" s="12"/>
      <c r="O49" s="12"/>
      <c r="P49" s="12"/>
      <c r="Q49" s="12"/>
      <c r="R49" s="12"/>
      <c r="S49" s="12"/>
    </row>
    <row r="50" spans="1:19" s="1" customFormat="1" ht="30" customHeight="1" x14ac:dyDescent="0.2">
      <c r="A50" s="333"/>
      <c r="B50" s="334"/>
      <c r="C50" s="1020"/>
      <c r="D50" s="927"/>
      <c r="E50" s="543" t="s">
        <v>190</v>
      </c>
      <c r="F50" s="252" t="s">
        <v>23</v>
      </c>
      <c r="G50" s="454">
        <v>7.1</v>
      </c>
      <c r="H50" s="173">
        <v>1</v>
      </c>
      <c r="I50" s="217"/>
      <c r="J50" s="1139"/>
      <c r="K50" s="135"/>
      <c r="L50" s="136"/>
      <c r="M50" s="152"/>
      <c r="N50" s="12"/>
      <c r="O50" s="12"/>
      <c r="P50" s="12"/>
      <c r="Q50" s="12"/>
      <c r="R50" s="12"/>
      <c r="S50" s="12"/>
    </row>
    <row r="51" spans="1:19" s="1" customFormat="1" ht="15.75" customHeight="1" thickBot="1" x14ac:dyDescent="0.25">
      <c r="A51" s="45"/>
      <c r="B51" s="21"/>
      <c r="C51" s="1021"/>
      <c r="D51" s="925"/>
      <c r="E51" s="549"/>
      <c r="F51" s="246" t="s">
        <v>20</v>
      </c>
      <c r="G51" s="158">
        <f>SUM(G49:G50)</f>
        <v>47</v>
      </c>
      <c r="H51" s="118">
        <f t="shared" ref="H51:I51" si="3">SUM(H49:H50)</f>
        <v>6.4</v>
      </c>
      <c r="I51" s="115">
        <f t="shared" si="3"/>
        <v>0</v>
      </c>
      <c r="J51" s="1100"/>
      <c r="K51" s="583"/>
      <c r="L51" s="674"/>
      <c r="M51" s="683"/>
      <c r="N51" s="178"/>
      <c r="O51" s="12"/>
      <c r="P51" s="12"/>
      <c r="Q51" s="12"/>
      <c r="R51" s="12"/>
      <c r="S51" s="12"/>
    </row>
    <row r="52" spans="1:19" s="1" customFormat="1" ht="35.25" customHeight="1" x14ac:dyDescent="0.2">
      <c r="A52" s="606" t="s">
        <v>7</v>
      </c>
      <c r="B52" s="22" t="s">
        <v>7</v>
      </c>
      <c r="C52" s="922" t="s">
        <v>41</v>
      </c>
      <c r="D52" s="1127" t="s">
        <v>214</v>
      </c>
      <c r="E52" s="1125" t="s">
        <v>200</v>
      </c>
      <c r="F52" s="513" t="s">
        <v>12</v>
      </c>
      <c r="G52" s="204">
        <v>18.8</v>
      </c>
      <c r="H52" s="603">
        <v>18.8</v>
      </c>
      <c r="I52" s="236">
        <v>18.8</v>
      </c>
      <c r="J52" s="1099" t="s">
        <v>216</v>
      </c>
      <c r="K52" s="1078">
        <v>2</v>
      </c>
      <c r="L52" s="1080">
        <v>2</v>
      </c>
      <c r="M52" s="1089">
        <v>2</v>
      </c>
      <c r="N52" s="178"/>
      <c r="O52" s="12"/>
      <c r="P52" s="12"/>
      <c r="Q52" s="12"/>
      <c r="R52" s="12"/>
      <c r="S52" s="12"/>
    </row>
    <row r="53" spans="1:19" s="1" customFormat="1" ht="15.75" customHeight="1" thickBot="1" x14ac:dyDescent="0.25">
      <c r="A53" s="283"/>
      <c r="B53" s="21"/>
      <c r="C53" s="923"/>
      <c r="D53" s="932"/>
      <c r="E53" s="1126"/>
      <c r="F53" s="284" t="s">
        <v>20</v>
      </c>
      <c r="G53" s="339">
        <f>G52</f>
        <v>18.8</v>
      </c>
      <c r="H53" s="285">
        <f>H52</f>
        <v>18.8</v>
      </c>
      <c r="I53" s="499">
        <f>I52</f>
        <v>18.8</v>
      </c>
      <c r="J53" s="1100"/>
      <c r="K53" s="1079"/>
      <c r="L53" s="1081"/>
      <c r="M53" s="1090"/>
      <c r="N53" s="178"/>
      <c r="O53" s="12"/>
      <c r="P53" s="12"/>
      <c r="Q53" s="12"/>
      <c r="R53" s="12"/>
      <c r="S53" s="12"/>
    </row>
    <row r="54" spans="1:19" s="1" customFormat="1" ht="14.25" customHeight="1" thickBot="1" x14ac:dyDescent="0.25">
      <c r="A54" s="283" t="s">
        <v>7</v>
      </c>
      <c r="B54" s="21" t="s">
        <v>7</v>
      </c>
      <c r="C54" s="919" t="s">
        <v>29</v>
      </c>
      <c r="D54" s="920"/>
      <c r="E54" s="920"/>
      <c r="F54" s="921"/>
      <c r="G54" s="515">
        <f>+G35+G26+G23+G39+G41+G51+G45+G53+G48</f>
        <v>2629.2999999999997</v>
      </c>
      <c r="H54" s="263">
        <f>+H35+H26+H23+H39+H41+H51+H45+H53</f>
        <v>2301.1000000000004</v>
      </c>
      <c r="I54" s="514">
        <f>+I35+I26+I23+I39+I41+I51+I45+I53</f>
        <v>2269.8000000000002</v>
      </c>
      <c r="J54" s="1105"/>
      <c r="K54" s="1106"/>
      <c r="L54" s="1106"/>
      <c r="M54" s="1107"/>
      <c r="N54" s="12"/>
      <c r="O54" s="12"/>
      <c r="P54" s="12"/>
      <c r="Q54" s="12"/>
      <c r="R54" s="12"/>
      <c r="S54" s="12"/>
    </row>
    <row r="55" spans="1:19" s="1" customFormat="1" ht="14.25" customHeight="1" thickBot="1" x14ac:dyDescent="0.25">
      <c r="A55" s="43" t="s">
        <v>7</v>
      </c>
      <c r="B55" s="25" t="s">
        <v>21</v>
      </c>
      <c r="C55" s="1128" t="s">
        <v>30</v>
      </c>
      <c r="D55" s="1129"/>
      <c r="E55" s="1129"/>
      <c r="F55" s="1129"/>
      <c r="G55" s="1129"/>
      <c r="H55" s="1129"/>
      <c r="I55" s="1129"/>
      <c r="J55" s="1129"/>
      <c r="K55" s="1129"/>
      <c r="L55" s="1129"/>
      <c r="M55" s="1130"/>
      <c r="N55" s="12"/>
      <c r="O55" s="12"/>
      <c r="P55" s="12"/>
      <c r="Q55" s="12"/>
      <c r="R55" s="12"/>
      <c r="S55" s="12"/>
    </row>
    <row r="56" spans="1:19" s="1" customFormat="1" ht="18" customHeight="1" x14ac:dyDescent="0.2">
      <c r="A56" s="48" t="s">
        <v>7</v>
      </c>
      <c r="B56" s="26" t="s">
        <v>21</v>
      </c>
      <c r="C56" s="28" t="s">
        <v>7</v>
      </c>
      <c r="D56" s="927" t="s">
        <v>31</v>
      </c>
      <c r="E56" s="546" t="s">
        <v>95</v>
      </c>
      <c r="F56" s="740" t="s">
        <v>12</v>
      </c>
      <c r="G56" s="204">
        <v>628.4</v>
      </c>
      <c r="H56" s="762">
        <v>628.4</v>
      </c>
      <c r="I56" s="204">
        <v>628.4</v>
      </c>
      <c r="J56" s="105" t="s">
        <v>96</v>
      </c>
      <c r="K56" s="464" t="s">
        <v>116</v>
      </c>
      <c r="L56" s="465" t="s">
        <v>116</v>
      </c>
      <c r="M56" s="325" t="s">
        <v>116</v>
      </c>
      <c r="N56" s="12"/>
      <c r="O56" s="12"/>
      <c r="P56" s="12"/>
      <c r="Q56" s="12"/>
      <c r="R56" s="12"/>
      <c r="S56" s="12"/>
    </row>
    <row r="57" spans="1:19" s="1" customFormat="1" ht="15" customHeight="1" x14ac:dyDescent="0.2">
      <c r="A57" s="46"/>
      <c r="B57" s="27"/>
      <c r="C57" s="28"/>
      <c r="D57" s="927"/>
      <c r="E57" s="550"/>
      <c r="F57" s="385" t="s">
        <v>32</v>
      </c>
      <c r="G57" s="454">
        <v>460.7</v>
      </c>
      <c r="H57" s="173">
        <v>509</v>
      </c>
      <c r="I57" s="167">
        <v>539.4</v>
      </c>
      <c r="J57" s="1101" t="s">
        <v>89</v>
      </c>
      <c r="K57" s="271" t="s">
        <v>192</v>
      </c>
      <c r="L57" s="412" t="s">
        <v>192</v>
      </c>
      <c r="M57" s="292" t="s">
        <v>117</v>
      </c>
      <c r="N57" s="181"/>
      <c r="O57" s="12"/>
      <c r="P57" s="12"/>
      <c r="Q57" s="12"/>
      <c r="R57" s="12"/>
      <c r="S57" s="12"/>
    </row>
    <row r="58" spans="1:19" s="1" customFormat="1" ht="39" customHeight="1" x14ac:dyDescent="0.2">
      <c r="A58" s="46"/>
      <c r="B58" s="27"/>
      <c r="C58" s="28"/>
      <c r="D58" s="927"/>
      <c r="E58" s="546" t="s">
        <v>190</v>
      </c>
      <c r="F58" s="385" t="s">
        <v>27</v>
      </c>
      <c r="G58" s="341">
        <v>11</v>
      </c>
      <c r="H58" s="223">
        <v>11</v>
      </c>
      <c r="I58" s="341">
        <v>12</v>
      </c>
      <c r="J58" s="1102"/>
      <c r="K58" s="265"/>
      <c r="L58" s="462"/>
      <c r="M58" s="289"/>
      <c r="N58" s="12"/>
      <c r="O58" s="12"/>
      <c r="P58" s="12"/>
      <c r="Q58" s="12"/>
      <c r="R58" s="12"/>
      <c r="S58" s="12"/>
    </row>
    <row r="59" spans="1:19" s="1" customFormat="1" ht="18" customHeight="1" x14ac:dyDescent="0.2">
      <c r="A59" s="46"/>
      <c r="B59" s="27"/>
      <c r="C59" s="28"/>
      <c r="D59" s="294"/>
      <c r="E59" s="313"/>
      <c r="F59" s="991" t="s">
        <v>60</v>
      </c>
      <c r="G59" s="233">
        <v>16.600000000000001</v>
      </c>
      <c r="H59" s="226"/>
      <c r="I59" s="233"/>
      <c r="J59" s="1013" t="s">
        <v>55</v>
      </c>
      <c r="K59" s="1016" t="s">
        <v>119</v>
      </c>
      <c r="L59" s="1108" t="s">
        <v>193</v>
      </c>
      <c r="M59" s="1123" t="s">
        <v>194</v>
      </c>
      <c r="N59" s="12"/>
      <c r="O59" s="12"/>
      <c r="P59" s="12"/>
      <c r="Q59" s="12"/>
      <c r="R59" s="12"/>
      <c r="S59" s="12"/>
    </row>
    <row r="60" spans="1:19" s="1" customFormat="1" ht="15" customHeight="1" x14ac:dyDescent="0.2">
      <c r="A60" s="46"/>
      <c r="B60" s="27"/>
      <c r="C60" s="28"/>
      <c r="D60" s="294"/>
      <c r="E60" s="314"/>
      <c r="F60" s="992"/>
      <c r="G60" s="340"/>
      <c r="H60" s="221"/>
      <c r="I60" s="340"/>
      <c r="J60" s="1014"/>
      <c r="K60" s="1017"/>
      <c r="L60" s="1147"/>
      <c r="M60" s="1149"/>
      <c r="N60" s="12"/>
      <c r="O60" s="12"/>
      <c r="P60" s="178"/>
      <c r="Q60" s="12"/>
      <c r="R60" s="12"/>
      <c r="S60" s="12"/>
    </row>
    <row r="61" spans="1:19" s="1" customFormat="1" ht="6" customHeight="1" x14ac:dyDescent="0.2">
      <c r="A61" s="46"/>
      <c r="B61" s="27"/>
      <c r="C61" s="28"/>
      <c r="D61" s="294"/>
      <c r="E61" s="314"/>
      <c r="F61" s="992"/>
      <c r="G61" s="340"/>
      <c r="H61" s="221"/>
      <c r="I61" s="340"/>
      <c r="J61" s="1015"/>
      <c r="K61" s="1018"/>
      <c r="L61" s="1148"/>
      <c r="M61" s="1150"/>
      <c r="N61" s="12"/>
      <c r="O61" s="12"/>
      <c r="P61" s="12"/>
      <c r="Q61" s="12"/>
      <c r="R61" s="12"/>
      <c r="S61" s="12"/>
    </row>
    <row r="62" spans="1:19" s="1" customFormat="1" ht="24.75" customHeight="1" x14ac:dyDescent="0.2">
      <c r="A62" s="46"/>
      <c r="B62" s="27"/>
      <c r="C62" s="28"/>
      <c r="D62" s="101"/>
      <c r="E62" s="314"/>
      <c r="F62" s="993"/>
      <c r="G62" s="466"/>
      <c r="H62" s="467"/>
      <c r="I62" s="380"/>
      <c r="J62" s="1084" t="s">
        <v>155</v>
      </c>
      <c r="K62" s="266" t="s">
        <v>34</v>
      </c>
      <c r="L62" s="413" t="s">
        <v>61</v>
      </c>
      <c r="M62" s="291" t="s">
        <v>116</v>
      </c>
      <c r="N62" s="12"/>
      <c r="O62" s="12"/>
      <c r="P62" s="12"/>
      <c r="Q62" s="12"/>
      <c r="R62" s="12"/>
      <c r="S62" s="12"/>
    </row>
    <row r="63" spans="1:19" s="1" customFormat="1" ht="15" customHeight="1" thickBot="1" x14ac:dyDescent="0.25">
      <c r="A63" s="47"/>
      <c r="B63" s="23"/>
      <c r="C63" s="24"/>
      <c r="D63" s="102"/>
      <c r="E63" s="315"/>
      <c r="F63" s="386" t="s">
        <v>20</v>
      </c>
      <c r="G63" s="158">
        <f>SUM(G56:G59)</f>
        <v>1116.6999999999998</v>
      </c>
      <c r="H63" s="118">
        <f>SUM(H56:H59)</f>
        <v>1148.4000000000001</v>
      </c>
      <c r="I63" s="158">
        <f>SUM(I56:I59)</f>
        <v>1179.8</v>
      </c>
      <c r="J63" s="1085"/>
      <c r="K63" s="272"/>
      <c r="L63" s="419"/>
      <c r="M63" s="293"/>
      <c r="N63" s="12"/>
      <c r="O63" s="12"/>
      <c r="P63" s="12"/>
      <c r="Q63" s="12"/>
      <c r="R63" s="12"/>
      <c r="S63" s="12"/>
    </row>
    <row r="64" spans="1:19" s="1" customFormat="1" ht="30.75" customHeight="1" x14ac:dyDescent="0.2">
      <c r="A64" s="49" t="s">
        <v>7</v>
      </c>
      <c r="B64" s="5" t="s">
        <v>21</v>
      </c>
      <c r="C64" s="18" t="s">
        <v>21</v>
      </c>
      <c r="D64" s="926" t="s">
        <v>56</v>
      </c>
      <c r="E64" s="547" t="s">
        <v>201</v>
      </c>
      <c r="F64" s="387" t="s">
        <v>27</v>
      </c>
      <c r="G64" s="218">
        <v>15</v>
      </c>
      <c r="H64" s="234">
        <v>15</v>
      </c>
      <c r="I64" s="218">
        <v>15</v>
      </c>
      <c r="J64" s="589" t="s">
        <v>57</v>
      </c>
      <c r="K64" s="264" t="s">
        <v>116</v>
      </c>
      <c r="L64" s="461" t="s">
        <v>116</v>
      </c>
      <c r="M64" s="288" t="s">
        <v>116</v>
      </c>
      <c r="N64" s="12"/>
      <c r="O64" s="12"/>
      <c r="P64" s="12"/>
      <c r="Q64" s="12"/>
      <c r="R64" s="12"/>
      <c r="S64" s="12"/>
    </row>
    <row r="65" spans="1:19" s="1" customFormat="1" ht="18.75" customHeight="1" x14ac:dyDescent="0.2">
      <c r="A65" s="50"/>
      <c r="B65" s="6"/>
      <c r="C65" s="41"/>
      <c r="D65" s="927"/>
      <c r="E65" s="546" t="s">
        <v>190</v>
      </c>
      <c r="F65" s="588"/>
      <c r="G65" s="340"/>
      <c r="H65" s="221"/>
      <c r="I65" s="340"/>
      <c r="J65" s="1009" t="s">
        <v>87</v>
      </c>
      <c r="K65" s="1016" t="s">
        <v>122</v>
      </c>
      <c r="L65" s="1108"/>
      <c r="M65" s="1123"/>
      <c r="N65" s="12"/>
      <c r="O65" s="12"/>
      <c r="P65" s="12"/>
      <c r="Q65" s="12"/>
      <c r="R65" s="12"/>
      <c r="S65" s="12"/>
    </row>
    <row r="66" spans="1:19" s="1" customFormat="1" ht="15" customHeight="1" thickBot="1" x14ac:dyDescent="0.25">
      <c r="A66" s="51"/>
      <c r="B66" s="2"/>
      <c r="C66" s="19"/>
      <c r="D66" s="925"/>
      <c r="E66" s="546"/>
      <c r="F66" s="386" t="s">
        <v>20</v>
      </c>
      <c r="G66" s="158">
        <f>SUM(G64:G64)</f>
        <v>15</v>
      </c>
      <c r="H66" s="118">
        <f t="shared" ref="H66:I66" si="4">SUM(H64:H64)</f>
        <v>15</v>
      </c>
      <c r="I66" s="115">
        <f t="shared" si="4"/>
        <v>15</v>
      </c>
      <c r="J66" s="1010"/>
      <c r="K66" s="1136"/>
      <c r="L66" s="1109"/>
      <c r="M66" s="1124"/>
      <c r="N66" s="12"/>
      <c r="O66" s="12"/>
      <c r="P66" s="12"/>
      <c r="Q66" s="12"/>
      <c r="R66" s="12"/>
      <c r="S66" s="12"/>
    </row>
    <row r="67" spans="1:19" s="1" customFormat="1" ht="21" customHeight="1" x14ac:dyDescent="0.2">
      <c r="A67" s="49" t="s">
        <v>7</v>
      </c>
      <c r="B67" s="5" t="s">
        <v>21</v>
      </c>
      <c r="C67" s="18" t="s">
        <v>25</v>
      </c>
      <c r="D67" s="926" t="s">
        <v>62</v>
      </c>
      <c r="E67" s="318" t="s">
        <v>190</v>
      </c>
      <c r="F67" s="388" t="s">
        <v>12</v>
      </c>
      <c r="G67" s="342">
        <v>12</v>
      </c>
      <c r="H67" s="228">
        <v>12</v>
      </c>
      <c r="I67" s="342">
        <v>12</v>
      </c>
      <c r="J67" s="85" t="s">
        <v>97</v>
      </c>
      <c r="K67" s="468">
        <v>1</v>
      </c>
      <c r="L67" s="469">
        <v>1</v>
      </c>
      <c r="M67" s="470">
        <v>1</v>
      </c>
      <c r="N67" s="12"/>
      <c r="O67" s="12"/>
      <c r="P67" s="12"/>
      <c r="Q67" s="12"/>
      <c r="R67" s="12"/>
      <c r="S67" s="12"/>
    </row>
    <row r="68" spans="1:19" s="1" customFormat="1" ht="22.5" customHeight="1" x14ac:dyDescent="0.2">
      <c r="A68" s="50"/>
      <c r="B68" s="6"/>
      <c r="C68" s="41"/>
      <c r="D68" s="927"/>
      <c r="E68" s="319"/>
      <c r="F68" s="243"/>
      <c r="G68" s="199"/>
      <c r="H68" s="198"/>
      <c r="I68" s="199"/>
      <c r="J68" s="1096" t="s">
        <v>208</v>
      </c>
      <c r="K68" s="1137">
        <v>1</v>
      </c>
      <c r="L68" s="1134">
        <v>1</v>
      </c>
      <c r="M68" s="1103">
        <v>1</v>
      </c>
      <c r="N68" s="12"/>
      <c r="O68" s="12"/>
      <c r="P68" s="12"/>
      <c r="Q68" s="12"/>
      <c r="R68" s="12"/>
      <c r="S68" s="12"/>
    </row>
    <row r="69" spans="1:19" s="1" customFormat="1" ht="18" customHeight="1" thickBot="1" x14ac:dyDescent="0.25">
      <c r="A69" s="51"/>
      <c r="B69" s="2"/>
      <c r="C69" s="19"/>
      <c r="D69" s="925"/>
      <c r="E69" s="575"/>
      <c r="F69" s="386" t="s">
        <v>20</v>
      </c>
      <c r="G69" s="158">
        <f t="shared" ref="G69:I69" si="5">SUM(G67)</f>
        <v>12</v>
      </c>
      <c r="H69" s="118">
        <f t="shared" si="5"/>
        <v>12</v>
      </c>
      <c r="I69" s="115">
        <f t="shared" si="5"/>
        <v>12</v>
      </c>
      <c r="J69" s="1140"/>
      <c r="K69" s="1138"/>
      <c r="L69" s="1135"/>
      <c r="M69" s="1104"/>
      <c r="N69" s="12"/>
      <c r="O69" s="12"/>
      <c r="P69" s="12"/>
      <c r="Q69" s="12"/>
      <c r="R69" s="12"/>
      <c r="S69" s="12"/>
    </row>
    <row r="70" spans="1:19" s="1" customFormat="1" ht="15" customHeight="1" x14ac:dyDescent="0.2">
      <c r="A70" s="49" t="s">
        <v>7</v>
      </c>
      <c r="B70" s="5" t="s">
        <v>21</v>
      </c>
      <c r="C70" s="18" t="s">
        <v>28</v>
      </c>
      <c r="D70" s="926" t="s">
        <v>79</v>
      </c>
      <c r="E70" s="318" t="s">
        <v>190</v>
      </c>
      <c r="F70" s="388" t="s">
        <v>59</v>
      </c>
      <c r="G70" s="338">
        <v>19.5</v>
      </c>
      <c r="H70" s="228"/>
      <c r="I70" s="342"/>
      <c r="J70" s="1095" t="s">
        <v>207</v>
      </c>
      <c r="K70" s="269">
        <v>10</v>
      </c>
      <c r="L70" s="420"/>
      <c r="M70" s="75"/>
      <c r="N70" s="12"/>
      <c r="O70" s="12"/>
      <c r="P70" s="12"/>
      <c r="Q70" s="12"/>
      <c r="R70" s="12"/>
      <c r="S70" s="12"/>
    </row>
    <row r="71" spans="1:19" s="1" customFormat="1" ht="15" customHeight="1" x14ac:dyDescent="0.2">
      <c r="A71" s="50"/>
      <c r="B71" s="6"/>
      <c r="C71" s="41"/>
      <c r="D71" s="927"/>
      <c r="E71" s="574"/>
      <c r="F71" s="243"/>
      <c r="G71" s="199"/>
      <c r="H71" s="198"/>
      <c r="I71" s="199"/>
      <c r="J71" s="1096"/>
      <c r="K71" s="268"/>
      <c r="L71" s="414"/>
      <c r="M71" s="80"/>
      <c r="N71" s="12"/>
      <c r="O71" s="12"/>
      <c r="P71" s="12"/>
      <c r="Q71" s="12"/>
      <c r="R71" s="12"/>
      <c r="S71" s="12"/>
    </row>
    <row r="72" spans="1:19" s="1" customFormat="1" ht="15" customHeight="1" x14ac:dyDescent="0.2">
      <c r="A72" s="50"/>
      <c r="B72" s="6"/>
      <c r="C72" s="41"/>
      <c r="D72" s="927"/>
      <c r="E72" s="574"/>
      <c r="F72" s="243"/>
      <c r="G72" s="471"/>
      <c r="H72" s="213"/>
      <c r="I72" s="379"/>
      <c r="J72" s="89"/>
      <c r="K72" s="268"/>
      <c r="L72" s="414"/>
      <c r="M72" s="80"/>
      <c r="N72" s="12"/>
      <c r="O72" s="12"/>
      <c r="P72" s="12"/>
      <c r="Q72" s="12"/>
      <c r="R72" s="12"/>
      <c r="S72" s="12"/>
    </row>
    <row r="73" spans="1:19" s="1" customFormat="1" ht="15" customHeight="1" thickBot="1" x14ac:dyDescent="0.25">
      <c r="A73" s="51"/>
      <c r="B73" s="2"/>
      <c r="C73" s="19"/>
      <c r="D73" s="925"/>
      <c r="E73" s="316"/>
      <c r="F73" s="386" t="s">
        <v>20</v>
      </c>
      <c r="G73" s="158">
        <f t="shared" ref="G73:I73" si="6">SUM(G70:G72)</f>
        <v>19.5</v>
      </c>
      <c r="H73" s="118">
        <f t="shared" si="6"/>
        <v>0</v>
      </c>
      <c r="I73" s="115">
        <f t="shared" si="6"/>
        <v>0</v>
      </c>
      <c r="J73" s="90"/>
      <c r="K73" s="270"/>
      <c r="L73" s="421"/>
      <c r="M73" s="81"/>
      <c r="N73" s="12"/>
      <c r="O73" s="12"/>
      <c r="P73" s="178"/>
      <c r="Q73" s="12"/>
      <c r="R73" s="12"/>
      <c r="S73" s="12"/>
    </row>
    <row r="74" spans="1:19" s="1" customFormat="1" ht="17.25" customHeight="1" x14ac:dyDescent="0.2">
      <c r="A74" s="49" t="s">
        <v>7</v>
      </c>
      <c r="B74" s="5" t="s">
        <v>21</v>
      </c>
      <c r="C74" s="18" t="s">
        <v>38</v>
      </c>
      <c r="D74" s="933" t="s">
        <v>78</v>
      </c>
      <c r="E74" s="318" t="s">
        <v>190</v>
      </c>
      <c r="F74" s="388"/>
      <c r="G74" s="199"/>
      <c r="H74" s="198"/>
      <c r="I74" s="199"/>
      <c r="J74" s="1093"/>
      <c r="K74" s="1097"/>
      <c r="L74" s="1141"/>
      <c r="M74" s="1143"/>
      <c r="N74" s="12"/>
      <c r="O74" s="12"/>
      <c r="P74" s="12"/>
      <c r="Q74" s="12"/>
      <c r="R74" s="12"/>
      <c r="S74" s="12"/>
    </row>
    <row r="75" spans="1:19" s="1" customFormat="1" ht="17.25" customHeight="1" x14ac:dyDescent="0.2">
      <c r="A75" s="50"/>
      <c r="B75" s="6"/>
      <c r="C75" s="41"/>
      <c r="D75" s="934"/>
      <c r="E75" s="319" t="s">
        <v>201</v>
      </c>
      <c r="F75" s="243"/>
      <c r="G75" s="199"/>
      <c r="H75" s="198"/>
      <c r="I75" s="199"/>
      <c r="J75" s="1094"/>
      <c r="K75" s="1098"/>
      <c r="L75" s="1142"/>
      <c r="M75" s="1144"/>
      <c r="N75" s="12"/>
      <c r="O75" s="12"/>
      <c r="P75" s="12"/>
      <c r="Q75" s="12"/>
      <c r="R75" s="12"/>
      <c r="S75" s="12"/>
    </row>
    <row r="76" spans="1:19" s="1" customFormat="1" ht="69" customHeight="1" x14ac:dyDescent="0.2">
      <c r="A76" s="50"/>
      <c r="B76" s="6"/>
      <c r="C76" s="41"/>
      <c r="D76" s="311" t="s">
        <v>77</v>
      </c>
      <c r="E76" s="317"/>
      <c r="F76" s="242" t="s">
        <v>12</v>
      </c>
      <c r="G76" s="197">
        <v>12</v>
      </c>
      <c r="H76" s="196">
        <v>12</v>
      </c>
      <c r="I76" s="197">
        <v>12</v>
      </c>
      <c r="J76" s="86" t="s">
        <v>210</v>
      </c>
      <c r="K76" s="472" t="s">
        <v>130</v>
      </c>
      <c r="L76" s="473" t="s">
        <v>130</v>
      </c>
      <c r="M76" s="474" t="s">
        <v>130</v>
      </c>
      <c r="N76" s="12"/>
      <c r="O76" s="12"/>
      <c r="P76" s="12"/>
      <c r="Q76" s="12"/>
      <c r="R76" s="12"/>
      <c r="S76" s="12"/>
    </row>
    <row r="77" spans="1:19" s="1" customFormat="1" ht="26.25" customHeight="1" x14ac:dyDescent="0.2">
      <c r="A77" s="50"/>
      <c r="B77" s="6"/>
      <c r="C77" s="41"/>
      <c r="D77" s="924" t="s">
        <v>63</v>
      </c>
      <c r="E77" s="317"/>
      <c r="F77" s="389" t="s">
        <v>23</v>
      </c>
      <c r="G77" s="454">
        <v>9.3000000000000007</v>
      </c>
      <c r="H77" s="173">
        <v>8.4</v>
      </c>
      <c r="I77" s="167">
        <v>8.4</v>
      </c>
      <c r="J77" s="1086" t="s">
        <v>73</v>
      </c>
      <c r="K77" s="271" t="s">
        <v>195</v>
      </c>
      <c r="L77" s="412" t="s">
        <v>196</v>
      </c>
      <c r="M77" s="292" t="s">
        <v>196</v>
      </c>
      <c r="N77" s="12"/>
      <c r="O77" s="12"/>
      <c r="P77" s="12"/>
      <c r="Q77" s="12"/>
      <c r="R77" s="12"/>
      <c r="S77" s="12"/>
    </row>
    <row r="78" spans="1:19" s="1" customFormat="1" ht="16.5" customHeight="1" thickBot="1" x14ac:dyDescent="0.25">
      <c r="A78" s="51"/>
      <c r="B78" s="2"/>
      <c r="C78" s="19"/>
      <c r="D78" s="925"/>
      <c r="E78" s="316"/>
      <c r="F78" s="386" t="s">
        <v>20</v>
      </c>
      <c r="G78" s="158">
        <f>SUM(G76:G77)</f>
        <v>21.3</v>
      </c>
      <c r="H78" s="118">
        <f>SUM(H76:H77)</f>
        <v>20.399999999999999</v>
      </c>
      <c r="I78" s="115">
        <f t="shared" ref="I78" si="7">SUM(I76:I77)</f>
        <v>20.399999999999999</v>
      </c>
      <c r="J78" s="1087"/>
      <c r="K78" s="272"/>
      <c r="L78" s="419"/>
      <c r="M78" s="293"/>
      <c r="N78" s="12"/>
      <c r="O78" s="12"/>
      <c r="P78" s="12"/>
      <c r="Q78" s="12"/>
      <c r="R78" s="12"/>
      <c r="S78" s="12"/>
    </row>
    <row r="79" spans="1:19" s="1" customFormat="1" ht="27" customHeight="1" x14ac:dyDescent="0.2">
      <c r="A79" s="49" t="s">
        <v>7</v>
      </c>
      <c r="B79" s="5" t="s">
        <v>21</v>
      </c>
      <c r="C79" s="18" t="s">
        <v>39</v>
      </c>
      <c r="D79" s="579" t="s">
        <v>197</v>
      </c>
      <c r="E79" s="318" t="s">
        <v>201</v>
      </c>
      <c r="F79" s="388" t="s">
        <v>12</v>
      </c>
      <c r="G79" s="338">
        <v>153.30000000000001</v>
      </c>
      <c r="H79" s="881">
        <v>203.9</v>
      </c>
      <c r="I79" s="237">
        <v>203.9</v>
      </c>
      <c r="J79" s="85"/>
      <c r="K79" s="264"/>
      <c r="L79" s="461"/>
      <c r="M79" s="288"/>
      <c r="N79" s="12"/>
      <c r="O79" s="886" t="s">
        <v>12</v>
      </c>
      <c r="P79" s="877">
        <f>G80+G81</f>
        <v>153.30000000000001</v>
      </c>
      <c r="Q79" s="877">
        <f>H80+H81</f>
        <v>203.89999999999998</v>
      </c>
      <c r="R79" s="877">
        <f>I80+I81</f>
        <v>203.89999999999998</v>
      </c>
      <c r="S79" s="12"/>
    </row>
    <row r="80" spans="1:19" s="1" customFormat="1" ht="39.75" customHeight="1" x14ac:dyDescent="0.2">
      <c r="A80" s="50"/>
      <c r="B80" s="6"/>
      <c r="C80" s="41"/>
      <c r="D80" s="732" t="s">
        <v>198</v>
      </c>
      <c r="E80" s="319" t="s">
        <v>190</v>
      </c>
      <c r="F80" s="887" t="s">
        <v>146</v>
      </c>
      <c r="G80" s="804">
        <v>53.3</v>
      </c>
      <c r="H80" s="880">
        <v>53.3</v>
      </c>
      <c r="I80" s="810">
        <v>53.3</v>
      </c>
      <c r="J80" s="578" t="s">
        <v>211</v>
      </c>
      <c r="K80" s="464" t="s">
        <v>33</v>
      </c>
      <c r="L80" s="465" t="s">
        <v>33</v>
      </c>
      <c r="M80" s="325" t="s">
        <v>33</v>
      </c>
      <c r="N80" s="12"/>
      <c r="O80" s="876"/>
      <c r="P80" s="876"/>
      <c r="Q80" s="876"/>
      <c r="R80" s="876"/>
      <c r="S80" s="12"/>
    </row>
    <row r="81" spans="1:19" s="1" customFormat="1" ht="14.45" customHeight="1" x14ac:dyDescent="0.2">
      <c r="A81" s="50"/>
      <c r="B81" s="6"/>
      <c r="C81" s="41"/>
      <c r="D81" s="930" t="s">
        <v>199</v>
      </c>
      <c r="E81" s="319" t="s">
        <v>200</v>
      </c>
      <c r="F81" s="994" t="s">
        <v>146</v>
      </c>
      <c r="G81" s="804">
        <v>100</v>
      </c>
      <c r="H81" s="880">
        <v>150.6</v>
      </c>
      <c r="I81" s="810">
        <v>150.6</v>
      </c>
      <c r="J81" s="1092" t="s">
        <v>228</v>
      </c>
      <c r="K81" s="271" t="s">
        <v>116</v>
      </c>
      <c r="L81" s="412" t="s">
        <v>109</v>
      </c>
      <c r="M81" s="292" t="s">
        <v>109</v>
      </c>
      <c r="N81" s="12"/>
      <c r="O81" s="12"/>
      <c r="P81" s="12"/>
      <c r="Q81" s="12"/>
      <c r="R81" s="12"/>
      <c r="S81" s="12"/>
    </row>
    <row r="82" spans="1:19" s="1" customFormat="1" ht="15" customHeight="1" x14ac:dyDescent="0.2">
      <c r="A82" s="50"/>
      <c r="B82" s="6"/>
      <c r="C82" s="41"/>
      <c r="D82" s="931"/>
      <c r="E82" s="317"/>
      <c r="F82" s="995"/>
      <c r="G82" s="804"/>
      <c r="H82" s="880"/>
      <c r="I82" s="810"/>
      <c r="J82" s="1009"/>
      <c r="K82" s="271"/>
      <c r="L82" s="412"/>
      <c r="M82" s="292"/>
      <c r="N82" s="12"/>
      <c r="O82" s="12"/>
      <c r="P82" s="12"/>
      <c r="Q82" s="12"/>
      <c r="R82" s="12"/>
      <c r="S82" s="12"/>
    </row>
    <row r="83" spans="1:19" s="1" customFormat="1" ht="15.75" customHeight="1" thickBot="1" x14ac:dyDescent="0.25">
      <c r="A83" s="50"/>
      <c r="B83" s="6"/>
      <c r="C83" s="34"/>
      <c r="D83" s="932"/>
      <c r="E83" s="317"/>
      <c r="F83" s="386" t="s">
        <v>20</v>
      </c>
      <c r="G83" s="158">
        <f>G79</f>
        <v>153.30000000000001</v>
      </c>
      <c r="H83" s="118">
        <f>H79</f>
        <v>203.9</v>
      </c>
      <c r="I83" s="158">
        <f>I79</f>
        <v>203.9</v>
      </c>
      <c r="J83" s="1010"/>
      <c r="K83" s="139"/>
      <c r="L83" s="416"/>
      <c r="M83" s="82"/>
      <c r="N83" s="12"/>
      <c r="O83" s="12"/>
      <c r="P83" s="12"/>
      <c r="Q83" s="12"/>
      <c r="R83" s="12"/>
      <c r="S83" s="12"/>
    </row>
    <row r="84" spans="1:19" s="1" customFormat="1" ht="18" customHeight="1" x14ac:dyDescent="0.2">
      <c r="A84" s="49" t="s">
        <v>7</v>
      </c>
      <c r="B84" s="5" t="s">
        <v>21</v>
      </c>
      <c r="C84" s="18" t="s">
        <v>11</v>
      </c>
      <c r="D84" s="926" t="s">
        <v>139</v>
      </c>
      <c r="E84" s="318" t="s">
        <v>95</v>
      </c>
      <c r="F84" s="883" t="s">
        <v>66</v>
      </c>
      <c r="G84" s="186">
        <v>15</v>
      </c>
      <c r="H84" s="157"/>
      <c r="I84" s="382"/>
      <c r="J84" s="1008" t="s">
        <v>157</v>
      </c>
      <c r="K84" s="1005">
        <v>1</v>
      </c>
      <c r="L84" s="988"/>
      <c r="M84" s="996"/>
      <c r="N84" s="12"/>
      <c r="O84" s="12"/>
      <c r="P84" s="12"/>
      <c r="Q84" s="12"/>
      <c r="R84" s="12"/>
      <c r="S84" s="12"/>
    </row>
    <row r="85" spans="1:19" s="1" customFormat="1" ht="24" customHeight="1" x14ac:dyDescent="0.2">
      <c r="A85" s="50"/>
      <c r="B85" s="6"/>
      <c r="C85" s="41"/>
      <c r="D85" s="927"/>
      <c r="E85" s="319"/>
      <c r="F85" s="245"/>
      <c r="G85" s="458"/>
      <c r="H85" s="459"/>
      <c r="I85" s="460"/>
      <c r="J85" s="1009"/>
      <c r="K85" s="1006"/>
      <c r="L85" s="989"/>
      <c r="M85" s="997"/>
      <c r="N85" s="12"/>
      <c r="O85" s="12"/>
      <c r="P85" s="178"/>
      <c r="Q85" s="178"/>
      <c r="R85" s="12"/>
      <c r="S85" s="12"/>
    </row>
    <row r="86" spans="1:19" s="1" customFormat="1" ht="17.25" customHeight="1" thickBot="1" x14ac:dyDescent="0.25">
      <c r="A86" s="50"/>
      <c r="B86" s="6"/>
      <c r="C86" s="41"/>
      <c r="D86" s="927"/>
      <c r="E86" s="320"/>
      <c r="F86" s="386" t="s">
        <v>20</v>
      </c>
      <c r="G86" s="158">
        <f>SUM(G84:G84)</f>
        <v>15</v>
      </c>
      <c r="H86" s="118">
        <f>SUM(H84:H85)</f>
        <v>0</v>
      </c>
      <c r="I86" s="158">
        <f>SUM(I84:I85)</f>
        <v>0</v>
      </c>
      <c r="J86" s="1010"/>
      <c r="K86" s="1007"/>
      <c r="L86" s="990"/>
      <c r="M86" s="998"/>
      <c r="N86" s="12"/>
      <c r="O86" s="12"/>
      <c r="P86" s="12"/>
      <c r="Q86" s="12"/>
      <c r="R86" s="12"/>
      <c r="S86" s="12"/>
    </row>
    <row r="87" spans="1:19" s="1" customFormat="1" ht="15.75" customHeight="1" thickBot="1" x14ac:dyDescent="0.25">
      <c r="A87" s="52" t="s">
        <v>7</v>
      </c>
      <c r="B87" s="4" t="s">
        <v>21</v>
      </c>
      <c r="C87" s="928" t="s">
        <v>29</v>
      </c>
      <c r="D87" s="929"/>
      <c r="E87" s="929"/>
      <c r="F87" s="929"/>
      <c r="G87" s="185">
        <f>+G83+G69+G66+G63+G78+G73+G86</f>
        <v>1352.7999999999997</v>
      </c>
      <c r="H87" s="185">
        <f>+H83+H69+H66+H63+H78+H73+H86</f>
        <v>1399.7000000000003</v>
      </c>
      <c r="I87" s="185">
        <f>+I83+I69+I66+I63+I78+I73+I86</f>
        <v>1431.1000000000001</v>
      </c>
      <c r="J87" s="907"/>
      <c r="K87" s="908"/>
      <c r="L87" s="908"/>
      <c r="M87" s="909"/>
      <c r="N87" s="12"/>
      <c r="O87" s="178"/>
      <c r="P87" s="12"/>
      <c r="Q87" s="12"/>
      <c r="R87" s="12"/>
      <c r="S87" s="12"/>
    </row>
    <row r="88" spans="1:19" s="1" customFormat="1" ht="13.5" customHeight="1" thickBot="1" x14ac:dyDescent="0.25">
      <c r="A88" s="52" t="s">
        <v>7</v>
      </c>
      <c r="B88" s="4" t="s">
        <v>25</v>
      </c>
      <c r="C88" s="982" t="s">
        <v>35</v>
      </c>
      <c r="D88" s="983"/>
      <c r="E88" s="983"/>
      <c r="F88" s="983"/>
      <c r="G88" s="983"/>
      <c r="H88" s="983"/>
      <c r="I88" s="983"/>
      <c r="J88" s="983"/>
      <c r="K88" s="983"/>
      <c r="L88" s="983"/>
      <c r="M88" s="984"/>
      <c r="N88" s="12"/>
      <c r="O88" s="12"/>
      <c r="P88" s="12"/>
      <c r="Q88" s="12"/>
      <c r="R88" s="12"/>
      <c r="S88" s="12"/>
    </row>
    <row r="89" spans="1:19" s="1" customFormat="1" ht="16.5" customHeight="1" x14ac:dyDescent="0.2">
      <c r="A89" s="56" t="s">
        <v>7</v>
      </c>
      <c r="B89" s="42" t="s">
        <v>25</v>
      </c>
      <c r="C89" s="328" t="s">
        <v>7</v>
      </c>
      <c r="D89" s="1110" t="s">
        <v>106</v>
      </c>
      <c r="E89" s="369"/>
      <c r="F89" s="533" t="s">
        <v>12</v>
      </c>
      <c r="G89" s="770">
        <v>764.2</v>
      </c>
      <c r="H89" s="771">
        <f>2224.7-300</f>
        <v>1924.6999999999998</v>
      </c>
      <c r="I89" s="772">
        <v>790.3</v>
      </c>
      <c r="J89" s="327"/>
      <c r="K89" s="582"/>
      <c r="L89" s="673"/>
      <c r="M89" s="682"/>
      <c r="N89" s="1261"/>
      <c r="O89" s="1261"/>
      <c r="P89" s="1261"/>
      <c r="Q89" s="1261"/>
      <c r="R89" s="12"/>
      <c r="S89" s="12"/>
    </row>
    <row r="90" spans="1:19" s="1" customFormat="1" ht="15.75" customHeight="1" x14ac:dyDescent="0.2">
      <c r="A90" s="749"/>
      <c r="B90" s="747"/>
      <c r="C90" s="748"/>
      <c r="D90" s="1002"/>
      <c r="E90" s="369"/>
      <c r="F90" s="258" t="s">
        <v>66</v>
      </c>
      <c r="G90" s="276">
        <v>195.1</v>
      </c>
      <c r="H90" s="277"/>
      <c r="I90" s="278"/>
      <c r="J90" s="719"/>
      <c r="K90" s="135"/>
      <c r="L90" s="136"/>
      <c r="M90" s="152"/>
      <c r="N90" s="1261"/>
      <c r="O90" s="876" t="s">
        <v>12</v>
      </c>
      <c r="P90" s="877">
        <f>G94+G98+G100+G107+G109+G112+G115</f>
        <v>764.2</v>
      </c>
      <c r="Q90" s="877">
        <f>H100+H109</f>
        <v>1924.7</v>
      </c>
      <c r="R90" s="877">
        <f>I100+I103</f>
        <v>790.3</v>
      </c>
      <c r="S90" s="12"/>
    </row>
    <row r="91" spans="1:19" s="1" customFormat="1" ht="16.5" customHeight="1" x14ac:dyDescent="0.2">
      <c r="A91" s="749"/>
      <c r="B91" s="747"/>
      <c r="C91" s="748"/>
      <c r="D91" s="735"/>
      <c r="E91" s="369"/>
      <c r="F91" s="258" t="s">
        <v>69</v>
      </c>
      <c r="G91" s="276">
        <v>2309.1</v>
      </c>
      <c r="H91" s="277">
        <v>1190.9000000000001</v>
      </c>
      <c r="I91" s="278"/>
      <c r="J91" s="719"/>
      <c r="K91" s="135"/>
      <c r="L91" s="136"/>
      <c r="M91" s="152"/>
      <c r="N91" s="1261"/>
      <c r="O91" s="876" t="s">
        <v>66</v>
      </c>
      <c r="P91" s="877">
        <f>G97+G101+G106</f>
        <v>195.1</v>
      </c>
      <c r="Q91" s="876"/>
      <c r="R91" s="876"/>
      <c r="S91" s="12"/>
    </row>
    <row r="92" spans="1:19" s="1" customFormat="1" ht="15" customHeight="1" x14ac:dyDescent="0.2">
      <c r="A92" s="749"/>
      <c r="B92" s="747"/>
      <c r="C92" s="748"/>
      <c r="D92" s="735"/>
      <c r="E92" s="369"/>
      <c r="F92" s="258" t="s">
        <v>59</v>
      </c>
      <c r="G92" s="276">
        <v>850</v>
      </c>
      <c r="H92" s="277">
        <v>3400</v>
      </c>
      <c r="I92" s="278">
        <v>4117.3</v>
      </c>
      <c r="J92" s="719"/>
      <c r="K92" s="135"/>
      <c r="L92" s="136"/>
      <c r="M92" s="152"/>
      <c r="N92" s="1261"/>
      <c r="O92" s="876" t="s">
        <v>69</v>
      </c>
      <c r="P92" s="877">
        <f>G110</f>
        <v>2309.1</v>
      </c>
      <c r="Q92" s="877">
        <f>H110</f>
        <v>1190.9000000000001</v>
      </c>
      <c r="R92" s="876"/>
      <c r="S92" s="12"/>
    </row>
    <row r="93" spans="1:19" s="1" customFormat="1" ht="17.25" customHeight="1" x14ac:dyDescent="0.2">
      <c r="A93" s="749"/>
      <c r="B93" s="747"/>
      <c r="C93" s="748"/>
      <c r="D93" s="735"/>
      <c r="E93" s="369"/>
      <c r="F93" s="259" t="s">
        <v>37</v>
      </c>
      <c r="G93" s="884">
        <v>1867.5</v>
      </c>
      <c r="H93" s="279">
        <v>481.1</v>
      </c>
      <c r="I93" s="280"/>
      <c r="J93" s="695"/>
      <c r="K93" s="133"/>
      <c r="L93" s="134"/>
      <c r="M93" s="151"/>
      <c r="N93" s="1261"/>
      <c r="O93" s="876" t="s">
        <v>59</v>
      </c>
      <c r="P93" s="877">
        <f>G102</f>
        <v>850</v>
      </c>
      <c r="Q93" s="877">
        <f>H102</f>
        <v>3400</v>
      </c>
      <c r="R93" s="877">
        <f>I102</f>
        <v>4117.3</v>
      </c>
      <c r="S93" s="12"/>
    </row>
    <row r="94" spans="1:19" s="1" customFormat="1" ht="15" customHeight="1" x14ac:dyDescent="0.2">
      <c r="A94" s="298"/>
      <c r="B94" s="299"/>
      <c r="C94" s="300"/>
      <c r="D94" s="953" t="s">
        <v>134</v>
      </c>
      <c r="E94" s="851" t="s">
        <v>36</v>
      </c>
      <c r="F94" s="806" t="s">
        <v>146</v>
      </c>
      <c r="G94" s="811">
        <v>45</v>
      </c>
      <c r="H94" s="808"/>
      <c r="I94" s="812"/>
      <c r="J94" s="719" t="s">
        <v>212</v>
      </c>
      <c r="K94" s="135">
        <v>100</v>
      </c>
      <c r="L94" s="136"/>
      <c r="M94" s="152"/>
      <c r="N94" s="1261"/>
      <c r="O94" s="876" t="s">
        <v>37</v>
      </c>
      <c r="P94" s="877">
        <f>G111+G113+G117</f>
        <v>1867.5</v>
      </c>
      <c r="Q94" s="877">
        <f>H111+H117</f>
        <v>481.1</v>
      </c>
      <c r="R94" s="877"/>
      <c r="S94" s="12"/>
    </row>
    <row r="95" spans="1:19" s="1" customFormat="1" ht="15" customHeight="1" x14ac:dyDescent="0.2">
      <c r="A95" s="298"/>
      <c r="B95" s="299"/>
      <c r="C95" s="300"/>
      <c r="D95" s="954"/>
      <c r="E95" s="852" t="s">
        <v>95</v>
      </c>
      <c r="F95" s="806"/>
      <c r="G95" s="811"/>
      <c r="H95" s="808"/>
      <c r="I95" s="812"/>
      <c r="J95" s="793"/>
      <c r="K95" s="782"/>
      <c r="L95" s="783"/>
      <c r="M95" s="786"/>
      <c r="N95" s="1261"/>
      <c r="O95" s="876"/>
      <c r="P95" s="877">
        <f>SUM(P90:P94)</f>
        <v>5985.9</v>
      </c>
      <c r="Q95" s="877">
        <f>SUM(Q90:Q94)</f>
        <v>6996.7000000000007</v>
      </c>
      <c r="R95" s="877">
        <f>SUM(R90:R94)</f>
        <v>4907.6000000000004</v>
      </c>
      <c r="S95" s="12"/>
    </row>
    <row r="96" spans="1:19" s="1" customFormat="1" ht="15" customHeight="1" x14ac:dyDescent="0.2">
      <c r="A96" s="799"/>
      <c r="B96" s="796"/>
      <c r="C96" s="797"/>
      <c r="D96" s="954"/>
      <c r="E96" s="852" t="s">
        <v>201</v>
      </c>
      <c r="F96" s="806"/>
      <c r="G96" s="811"/>
      <c r="H96" s="808"/>
      <c r="I96" s="812"/>
      <c r="J96" s="801"/>
      <c r="K96" s="780"/>
      <c r="L96" s="781"/>
      <c r="M96" s="785"/>
      <c r="N96" s="1261"/>
      <c r="O96" s="876"/>
      <c r="P96" s="877">
        <f>P95-G121</f>
        <v>0</v>
      </c>
      <c r="Q96" s="877">
        <f>Q95-H121</f>
        <v>0</v>
      </c>
      <c r="R96" s="877">
        <f>R95-I121</f>
        <v>0</v>
      </c>
      <c r="S96" s="12"/>
    </row>
    <row r="97" spans="1:22" s="1" customFormat="1" ht="15.75" customHeight="1" x14ac:dyDescent="0.2">
      <c r="A97" s="977"/>
      <c r="B97" s="942"/>
      <c r="C97" s="944"/>
      <c r="D97" s="955" t="s">
        <v>135</v>
      </c>
      <c r="E97" s="851" t="s">
        <v>36</v>
      </c>
      <c r="F97" s="892" t="s">
        <v>147</v>
      </c>
      <c r="G97" s="804">
        <v>151.9</v>
      </c>
      <c r="H97" s="805"/>
      <c r="I97" s="810"/>
      <c r="J97" s="916" t="s">
        <v>212</v>
      </c>
      <c r="K97" s="592">
        <v>100</v>
      </c>
      <c r="L97" s="845"/>
      <c r="M97" s="847"/>
      <c r="N97" s="1261"/>
      <c r="O97" s="1261"/>
      <c r="P97" s="1261"/>
      <c r="Q97" s="1261"/>
      <c r="R97" s="178"/>
      <c r="S97" s="12"/>
    </row>
    <row r="98" spans="1:22" s="1" customFormat="1" ht="14.25" customHeight="1" x14ac:dyDescent="0.2">
      <c r="A98" s="978"/>
      <c r="B98" s="943"/>
      <c r="C98" s="945"/>
      <c r="D98" s="947"/>
      <c r="E98" s="852" t="s">
        <v>95</v>
      </c>
      <c r="F98" s="892" t="s">
        <v>146</v>
      </c>
      <c r="G98" s="912">
        <v>54.1</v>
      </c>
      <c r="H98" s="913"/>
      <c r="I98" s="915"/>
      <c r="J98" s="916"/>
      <c r="K98" s="773"/>
      <c r="L98" s="596"/>
      <c r="M98" s="600"/>
      <c r="N98" s="12"/>
      <c r="O98" s="12"/>
      <c r="P98" s="12"/>
      <c r="Q98" s="12"/>
      <c r="R98" s="12"/>
      <c r="S98" s="178"/>
    </row>
    <row r="99" spans="1:22" s="1" customFormat="1" ht="12.75" customHeight="1" x14ac:dyDescent="0.2">
      <c r="A99" s="978"/>
      <c r="B99" s="943"/>
      <c r="C99" s="945"/>
      <c r="D99" s="947"/>
      <c r="E99" s="852" t="s">
        <v>201</v>
      </c>
      <c r="F99" s="892"/>
      <c r="G99" s="912"/>
      <c r="H99" s="913"/>
      <c r="I99" s="915"/>
      <c r="J99" s="849"/>
      <c r="K99" s="878"/>
      <c r="L99" s="846"/>
      <c r="M99" s="848"/>
      <c r="N99" s="12"/>
      <c r="O99" s="12"/>
      <c r="P99" s="12"/>
      <c r="Q99" s="12"/>
      <c r="R99" s="12"/>
      <c r="S99" s="178"/>
    </row>
    <row r="100" spans="1:22" s="1" customFormat="1" ht="15" customHeight="1" x14ac:dyDescent="0.2">
      <c r="A100" s="977"/>
      <c r="B100" s="942"/>
      <c r="C100" s="944"/>
      <c r="D100" s="946" t="s">
        <v>136</v>
      </c>
      <c r="E100" s="855" t="s">
        <v>95</v>
      </c>
      <c r="F100" s="892" t="s">
        <v>146</v>
      </c>
      <c r="G100" s="816">
        <v>132.80000000000001</v>
      </c>
      <c r="H100" s="817">
        <v>600</v>
      </c>
      <c r="I100" s="818">
        <v>740.3</v>
      </c>
      <c r="J100" s="791" t="s">
        <v>212</v>
      </c>
      <c r="K100" s="869">
        <v>10</v>
      </c>
      <c r="L100" s="870">
        <v>50</v>
      </c>
      <c r="M100" s="871">
        <v>100</v>
      </c>
      <c r="N100" s="12"/>
      <c r="O100" s="12"/>
      <c r="P100" s="12"/>
      <c r="Q100" s="12"/>
      <c r="R100" s="12"/>
      <c r="S100" s="12"/>
    </row>
    <row r="101" spans="1:22" s="1" customFormat="1" ht="12" customHeight="1" x14ac:dyDescent="0.2">
      <c r="A101" s="978"/>
      <c r="B101" s="943"/>
      <c r="C101" s="945"/>
      <c r="D101" s="947"/>
      <c r="E101" s="891" t="s">
        <v>201</v>
      </c>
      <c r="F101" s="892" t="s">
        <v>147</v>
      </c>
      <c r="G101" s="816">
        <v>17.2</v>
      </c>
      <c r="H101" s="817"/>
      <c r="I101" s="818"/>
      <c r="J101" s="788"/>
      <c r="K101" s="833"/>
      <c r="L101" s="834"/>
      <c r="M101" s="844"/>
      <c r="N101" s="12"/>
      <c r="O101" s="12"/>
      <c r="P101" s="12"/>
      <c r="Q101" s="12"/>
      <c r="R101" s="12"/>
      <c r="S101" s="12"/>
    </row>
    <row r="102" spans="1:22" s="1" customFormat="1" ht="15.6" customHeight="1" x14ac:dyDescent="0.2">
      <c r="A102" s="978"/>
      <c r="B102" s="943"/>
      <c r="C102" s="945"/>
      <c r="D102" s="948"/>
      <c r="E102" s="856" t="s">
        <v>36</v>
      </c>
      <c r="F102" s="892" t="s">
        <v>149</v>
      </c>
      <c r="G102" s="864">
        <v>850</v>
      </c>
      <c r="H102" s="817">
        <v>3400</v>
      </c>
      <c r="I102" s="818">
        <v>4117.3</v>
      </c>
      <c r="J102" s="872"/>
      <c r="K102" s="873"/>
      <c r="L102" s="874"/>
      <c r="M102" s="875"/>
      <c r="N102" s="12"/>
      <c r="O102" s="12"/>
      <c r="P102" s="12"/>
      <c r="Q102" s="12"/>
      <c r="R102" s="12"/>
      <c r="S102" s="12"/>
    </row>
    <row r="103" spans="1:22" s="1" customFormat="1" ht="18" customHeight="1" x14ac:dyDescent="0.2">
      <c r="A103" s="544"/>
      <c r="B103" s="545"/>
      <c r="C103" s="98"/>
      <c r="D103" s="1003" t="s">
        <v>203</v>
      </c>
      <c r="E103" s="891" t="s">
        <v>201</v>
      </c>
      <c r="F103" s="892" t="s">
        <v>146</v>
      </c>
      <c r="G103" s="865"/>
      <c r="H103" s="805"/>
      <c r="I103" s="810">
        <v>50</v>
      </c>
      <c r="J103" s="835" t="s">
        <v>226</v>
      </c>
      <c r="K103" s="838"/>
      <c r="L103" s="839"/>
      <c r="M103" s="840">
        <v>1</v>
      </c>
      <c r="N103" s="178"/>
      <c r="O103" s="12"/>
      <c r="P103" s="12"/>
      <c r="Q103" s="178"/>
      <c r="R103" s="12"/>
      <c r="S103" s="12"/>
    </row>
    <row r="104" spans="1:22" s="1" customFormat="1" ht="12.75" customHeight="1" x14ac:dyDescent="0.2">
      <c r="A104" s="544"/>
      <c r="B104" s="545"/>
      <c r="C104" s="98"/>
      <c r="D104" s="952"/>
      <c r="E104" s="891" t="s">
        <v>200</v>
      </c>
      <c r="F104" s="850"/>
      <c r="G104" s="813"/>
      <c r="H104" s="814"/>
      <c r="I104" s="815"/>
      <c r="J104" s="509"/>
      <c r="K104" s="558"/>
      <c r="L104" s="559"/>
      <c r="M104" s="560"/>
      <c r="N104" s="178"/>
      <c r="O104" s="12"/>
      <c r="P104" s="12"/>
      <c r="Q104" s="178"/>
      <c r="R104" s="12"/>
      <c r="S104" s="12"/>
    </row>
    <row r="105" spans="1:22" s="1" customFormat="1" ht="13.5" customHeight="1" x14ac:dyDescent="0.2">
      <c r="A105" s="544"/>
      <c r="B105" s="545"/>
      <c r="C105" s="98"/>
      <c r="D105" s="1004"/>
      <c r="E105" s="856"/>
      <c r="F105" s="850"/>
      <c r="G105" s="813"/>
      <c r="H105" s="814"/>
      <c r="I105" s="815"/>
      <c r="J105" s="853"/>
      <c r="K105" s="841"/>
      <c r="L105" s="854"/>
      <c r="M105" s="857"/>
      <c r="N105" s="178"/>
      <c r="O105" s="12"/>
      <c r="P105" s="12"/>
      <c r="Q105" s="178"/>
      <c r="R105" s="12"/>
      <c r="S105" s="12"/>
    </row>
    <row r="106" spans="1:22" s="1" customFormat="1" ht="18.75" customHeight="1" x14ac:dyDescent="0.2">
      <c r="A106" s="298"/>
      <c r="B106" s="299"/>
      <c r="C106" s="98"/>
      <c r="D106" s="955" t="s">
        <v>142</v>
      </c>
      <c r="E106" s="855" t="s">
        <v>36</v>
      </c>
      <c r="F106" s="806" t="s">
        <v>147</v>
      </c>
      <c r="G106" s="807">
        <v>26</v>
      </c>
      <c r="H106" s="808"/>
      <c r="I106" s="812"/>
      <c r="J106" s="793" t="s">
        <v>81</v>
      </c>
      <c r="K106" s="782">
        <v>1</v>
      </c>
      <c r="L106" s="783"/>
      <c r="M106" s="786"/>
      <c r="N106" s="12"/>
      <c r="O106" s="12"/>
      <c r="P106" s="12"/>
      <c r="Q106" s="12"/>
      <c r="R106" s="12"/>
      <c r="S106" s="12"/>
    </row>
    <row r="107" spans="1:22" s="1" customFormat="1" ht="17.25" customHeight="1" x14ac:dyDescent="0.2">
      <c r="A107" s="298"/>
      <c r="B107" s="299"/>
      <c r="C107" s="98"/>
      <c r="D107" s="947"/>
      <c r="E107" s="798" t="s">
        <v>95</v>
      </c>
      <c r="F107" s="806" t="s">
        <v>146</v>
      </c>
      <c r="G107" s="811">
        <v>29</v>
      </c>
      <c r="H107" s="808"/>
      <c r="I107" s="812"/>
      <c r="J107" s="528"/>
      <c r="K107" s="135"/>
      <c r="L107" s="136"/>
      <c r="M107" s="152"/>
      <c r="N107" s="12"/>
      <c r="O107" s="178"/>
      <c r="P107" s="178"/>
      <c r="Q107" s="12"/>
      <c r="R107" s="12"/>
      <c r="S107" s="12"/>
    </row>
    <row r="108" spans="1:22" s="1" customFormat="1" ht="17.25" customHeight="1" x14ac:dyDescent="0.2">
      <c r="A108" s="298"/>
      <c r="B108" s="299"/>
      <c r="C108" s="98"/>
      <c r="D108" s="948"/>
      <c r="E108" s="856" t="s">
        <v>190</v>
      </c>
      <c r="F108" s="866"/>
      <c r="G108" s="813"/>
      <c r="H108" s="814"/>
      <c r="I108" s="815"/>
      <c r="J108" s="801"/>
      <c r="K108" s="780"/>
      <c r="L108" s="781"/>
      <c r="M108" s="785"/>
      <c r="N108" s="12"/>
      <c r="O108" s="178"/>
      <c r="P108" s="178"/>
      <c r="Q108" s="12"/>
      <c r="R108" s="12"/>
      <c r="S108" s="12"/>
    </row>
    <row r="109" spans="1:22" s="1" customFormat="1" ht="15.75" customHeight="1" x14ac:dyDescent="0.2">
      <c r="A109" s="50"/>
      <c r="B109" s="6"/>
      <c r="C109" s="41"/>
      <c r="D109" s="924" t="s">
        <v>128</v>
      </c>
      <c r="E109" s="855" t="s">
        <v>36</v>
      </c>
      <c r="F109" s="809" t="s">
        <v>146</v>
      </c>
      <c r="G109" s="865">
        <v>223.3</v>
      </c>
      <c r="H109" s="805">
        <f>122.5+1202.2</f>
        <v>1324.7</v>
      </c>
      <c r="I109" s="810"/>
      <c r="J109" s="1086" t="s">
        <v>212</v>
      </c>
      <c r="K109" s="802" t="s">
        <v>129</v>
      </c>
      <c r="L109" s="790" t="s">
        <v>123</v>
      </c>
      <c r="M109" s="858"/>
      <c r="N109" s="282"/>
      <c r="O109" s="12"/>
      <c r="P109" s="12"/>
      <c r="Q109" s="178"/>
      <c r="R109" s="12"/>
      <c r="S109" s="12"/>
      <c r="T109" s="12"/>
      <c r="U109" s="12"/>
      <c r="V109" s="12"/>
    </row>
    <row r="110" spans="1:22" s="1" customFormat="1" ht="15" customHeight="1" x14ac:dyDescent="0.2">
      <c r="A110" s="50"/>
      <c r="B110" s="6"/>
      <c r="C110" s="41"/>
      <c r="D110" s="927"/>
      <c r="E110" s="774" t="s">
        <v>201</v>
      </c>
      <c r="F110" s="809" t="s">
        <v>239</v>
      </c>
      <c r="G110" s="865">
        <v>2309.1</v>
      </c>
      <c r="H110" s="805">
        <v>1190.9000000000001</v>
      </c>
      <c r="I110" s="810"/>
      <c r="J110" s="1091"/>
      <c r="K110" s="803"/>
      <c r="L110" s="784"/>
      <c r="M110" s="828"/>
      <c r="N110" s="282"/>
      <c r="O110" s="12"/>
      <c r="P110" s="12"/>
      <c r="Q110" s="178"/>
      <c r="R110" s="12"/>
      <c r="S110" s="12"/>
      <c r="T110" s="12"/>
      <c r="U110" s="12"/>
      <c r="V110" s="12"/>
    </row>
    <row r="111" spans="1:22" s="1" customFormat="1" ht="10.5" customHeight="1" x14ac:dyDescent="0.2">
      <c r="A111" s="50"/>
      <c r="B111" s="6"/>
      <c r="C111" s="41"/>
      <c r="D111" s="927"/>
      <c r="E111" s="775"/>
      <c r="F111" s="809" t="s">
        <v>148</v>
      </c>
      <c r="G111" s="865">
        <v>48.6</v>
      </c>
      <c r="H111" s="805">
        <v>5</v>
      </c>
      <c r="I111" s="810"/>
      <c r="J111" s="1091"/>
      <c r="K111" s="803"/>
      <c r="L111" s="784"/>
      <c r="M111" s="828"/>
      <c r="N111" s="282"/>
      <c r="O111" s="12"/>
      <c r="P111" s="12"/>
      <c r="Q111" s="178"/>
      <c r="R111" s="178"/>
      <c r="S111" s="12"/>
      <c r="T111" s="12"/>
      <c r="U111" s="12"/>
      <c r="V111" s="12"/>
    </row>
    <row r="112" spans="1:22" s="1" customFormat="1" ht="17.25" customHeight="1" x14ac:dyDescent="0.2">
      <c r="A112" s="298"/>
      <c r="B112" s="299"/>
      <c r="C112" s="300"/>
      <c r="D112" s="953" t="s">
        <v>158</v>
      </c>
      <c r="E112" s="855"/>
      <c r="F112" s="892" t="s">
        <v>146</v>
      </c>
      <c r="G112" s="804">
        <v>200</v>
      </c>
      <c r="H112" s="805"/>
      <c r="I112" s="810"/>
      <c r="J112" s="1011" t="s">
        <v>88</v>
      </c>
      <c r="K112" s="821">
        <v>100</v>
      </c>
      <c r="L112" s="822"/>
      <c r="M112" s="859"/>
      <c r="N112" s="178"/>
      <c r="O112" s="178"/>
      <c r="P112" s="12"/>
      <c r="Q112" s="12"/>
      <c r="R112" s="12"/>
      <c r="S112" s="12"/>
    </row>
    <row r="113" spans="1:19" s="1" customFormat="1" ht="16.5" customHeight="1" x14ac:dyDescent="0.2">
      <c r="A113" s="646"/>
      <c r="B113" s="647"/>
      <c r="C113" s="648"/>
      <c r="D113" s="954"/>
      <c r="E113" s="798"/>
      <c r="F113" s="892" t="s">
        <v>148</v>
      </c>
      <c r="G113" s="804">
        <v>1700</v>
      </c>
      <c r="H113" s="805"/>
      <c r="I113" s="810"/>
      <c r="J113" s="1088"/>
      <c r="K113" s="829"/>
      <c r="L113" s="832"/>
      <c r="M113" s="830"/>
      <c r="N113" s="178"/>
      <c r="O113" s="178"/>
      <c r="P113" s="12"/>
      <c r="Q113" s="12"/>
      <c r="R113" s="12"/>
      <c r="S113" s="12"/>
    </row>
    <row r="114" spans="1:19" s="1" customFormat="1" ht="9.75" customHeight="1" x14ac:dyDescent="0.2">
      <c r="A114" s="298"/>
      <c r="B114" s="299"/>
      <c r="C114" s="300"/>
      <c r="D114" s="948"/>
      <c r="E114" s="856"/>
      <c r="F114" s="850"/>
      <c r="G114" s="813"/>
      <c r="H114" s="867"/>
      <c r="I114" s="868"/>
      <c r="J114" s="853"/>
      <c r="K114" s="819"/>
      <c r="L114" s="820"/>
      <c r="M114" s="860"/>
      <c r="N114" s="640"/>
      <c r="O114" s="12"/>
      <c r="P114" s="12"/>
      <c r="Q114" s="12"/>
      <c r="R114" s="12"/>
      <c r="S114" s="12"/>
    </row>
    <row r="115" spans="1:19" s="1" customFormat="1" ht="33" customHeight="1" x14ac:dyDescent="0.2">
      <c r="A115" s="335"/>
      <c r="B115" s="336"/>
      <c r="C115" s="98"/>
      <c r="D115" s="947" t="s">
        <v>184</v>
      </c>
      <c r="E115" s="798" t="s">
        <v>185</v>
      </c>
      <c r="F115" s="892" t="s">
        <v>146</v>
      </c>
      <c r="G115" s="804">
        <v>80</v>
      </c>
      <c r="H115" s="814"/>
      <c r="I115" s="815"/>
      <c r="J115" s="1011" t="s">
        <v>88</v>
      </c>
      <c r="K115" s="861">
        <v>100</v>
      </c>
      <c r="L115" s="1082"/>
      <c r="M115" s="862"/>
      <c r="N115" s="178"/>
      <c r="O115" s="12"/>
      <c r="P115" s="12"/>
      <c r="Q115" s="12"/>
      <c r="R115" s="178"/>
      <c r="S115" s="12"/>
    </row>
    <row r="116" spans="1:19" s="1" customFormat="1" ht="7.5" customHeight="1" x14ac:dyDescent="0.2">
      <c r="A116" s="335"/>
      <c r="B116" s="336"/>
      <c r="C116" s="98"/>
      <c r="D116" s="948"/>
      <c r="E116" s="856"/>
      <c r="F116" s="850"/>
      <c r="G116" s="813"/>
      <c r="H116" s="814"/>
      <c r="I116" s="815"/>
      <c r="J116" s="1012"/>
      <c r="K116" s="841"/>
      <c r="L116" s="1083"/>
      <c r="M116" s="863"/>
      <c r="N116" s="178"/>
      <c r="O116" s="12"/>
      <c r="P116" s="12"/>
      <c r="Q116" s="12"/>
      <c r="R116" s="178"/>
      <c r="S116" s="12"/>
    </row>
    <row r="117" spans="1:19" s="1" customFormat="1" ht="16.5" customHeight="1" x14ac:dyDescent="0.2">
      <c r="A117" s="335"/>
      <c r="B117" s="336"/>
      <c r="C117" s="98"/>
      <c r="D117" s="951" t="s">
        <v>144</v>
      </c>
      <c r="E117" s="827" t="s">
        <v>36</v>
      </c>
      <c r="F117" s="906" t="s">
        <v>148</v>
      </c>
      <c r="G117" s="912">
        <v>118.9</v>
      </c>
      <c r="H117" s="913">
        <v>476.1</v>
      </c>
      <c r="I117" s="914"/>
      <c r="J117" s="1011" t="s">
        <v>212</v>
      </c>
      <c r="K117" s="910">
        <v>20</v>
      </c>
      <c r="L117" s="911">
        <v>100</v>
      </c>
      <c r="M117" s="512"/>
      <c r="N117" s="178"/>
      <c r="O117" s="12"/>
      <c r="P117" s="12"/>
      <c r="Q117" s="12"/>
      <c r="R117" s="178"/>
      <c r="S117" s="12"/>
    </row>
    <row r="118" spans="1:19" s="1" customFormat="1" ht="14.25" customHeight="1" x14ac:dyDescent="0.2">
      <c r="A118" s="544"/>
      <c r="B118" s="545"/>
      <c r="C118" s="98"/>
      <c r="D118" s="952"/>
      <c r="E118" s="827" t="s">
        <v>201</v>
      </c>
      <c r="F118" s="906"/>
      <c r="G118" s="912"/>
      <c r="H118" s="913"/>
      <c r="I118" s="914"/>
      <c r="J118" s="1088"/>
      <c r="K118" s="910"/>
      <c r="L118" s="911"/>
      <c r="M118" s="512"/>
      <c r="N118" s="178"/>
      <c r="O118" s="12"/>
      <c r="P118" s="12"/>
      <c r="Q118" s="12"/>
      <c r="R118" s="178"/>
      <c r="S118" s="12"/>
    </row>
    <row r="119" spans="1:19" s="1" customFormat="1" ht="13.5" customHeight="1" x14ac:dyDescent="0.2">
      <c r="A119" s="335"/>
      <c r="B119" s="336"/>
      <c r="C119" s="98"/>
      <c r="D119" s="952"/>
      <c r="E119" s="898" t="s">
        <v>185</v>
      </c>
      <c r="F119" s="899"/>
      <c r="G119" s="900"/>
      <c r="H119" s="901"/>
      <c r="I119" s="902"/>
      <c r="J119" s="1088"/>
      <c r="K119" s="910"/>
      <c r="L119" s="911"/>
      <c r="M119" s="512"/>
      <c r="N119" s="178"/>
      <c r="O119" s="12"/>
      <c r="P119" s="12"/>
      <c r="Q119" s="12"/>
      <c r="R119" s="178"/>
      <c r="S119" s="12"/>
    </row>
    <row r="120" spans="1:19" s="1" customFormat="1" ht="13.5" customHeight="1" thickBot="1" x14ac:dyDescent="0.25">
      <c r="A120" s="895"/>
      <c r="B120" s="894"/>
      <c r="C120" s="98"/>
      <c r="D120" s="896"/>
      <c r="E120" s="630"/>
      <c r="F120" s="904" t="s">
        <v>20</v>
      </c>
      <c r="G120" s="158">
        <f>SUM(G89:G93)</f>
        <v>5985.9</v>
      </c>
      <c r="H120" s="118">
        <f>SUM(H89:H93)</f>
        <v>6996.7000000000007</v>
      </c>
      <c r="I120" s="158">
        <f>SUM(I89:I93)</f>
        <v>4907.6000000000004</v>
      </c>
      <c r="J120" s="897"/>
      <c r="K120" s="903"/>
      <c r="L120" s="893"/>
      <c r="M120" s="626"/>
      <c r="N120" s="178"/>
      <c r="O120" s="12"/>
      <c r="P120" s="12"/>
      <c r="Q120" s="12"/>
      <c r="R120" s="178"/>
      <c r="S120" s="12"/>
    </row>
    <row r="121" spans="1:19" s="1" customFormat="1" ht="16.5" customHeight="1" thickBot="1" x14ac:dyDescent="0.25">
      <c r="A121" s="53" t="s">
        <v>7</v>
      </c>
      <c r="B121" s="3" t="s">
        <v>25</v>
      </c>
      <c r="C121" s="981" t="s">
        <v>29</v>
      </c>
      <c r="D121" s="929"/>
      <c r="E121" s="929"/>
      <c r="F121" s="929"/>
      <c r="G121" s="273">
        <f>G120</f>
        <v>5985.9</v>
      </c>
      <c r="H121" s="824">
        <f>H120</f>
        <v>6996.7000000000007</v>
      </c>
      <c r="I121" s="823">
        <f>I120</f>
        <v>4907.6000000000004</v>
      </c>
      <c r="J121" s="999"/>
      <c r="K121" s="1000"/>
      <c r="L121" s="1000"/>
      <c r="M121" s="1001"/>
      <c r="N121" s="12"/>
      <c r="O121" s="12"/>
      <c r="P121" s="12"/>
      <c r="Q121" s="12"/>
      <c r="R121" s="12"/>
      <c r="S121" s="12"/>
    </row>
    <row r="122" spans="1:19" s="1" customFormat="1" ht="16.5" customHeight="1" thickBot="1" x14ac:dyDescent="0.25">
      <c r="A122" s="54" t="s">
        <v>7</v>
      </c>
      <c r="B122" s="979" t="s">
        <v>42</v>
      </c>
      <c r="C122" s="980"/>
      <c r="D122" s="980"/>
      <c r="E122" s="980"/>
      <c r="F122" s="980"/>
      <c r="G122" s="274">
        <f>G121+G87+G54</f>
        <v>9967.9999999999982</v>
      </c>
      <c r="H122" s="119">
        <f>H121+H87+H54</f>
        <v>10697.500000000002</v>
      </c>
      <c r="I122" s="116">
        <f>I121+I87+I54</f>
        <v>8608.5</v>
      </c>
      <c r="J122" s="985"/>
      <c r="K122" s="986"/>
      <c r="L122" s="986"/>
      <c r="M122" s="987"/>
      <c r="N122" s="12"/>
      <c r="O122" s="12"/>
      <c r="P122" s="12"/>
      <c r="Q122" s="12"/>
      <c r="R122" s="12"/>
      <c r="S122" s="12"/>
    </row>
    <row r="123" spans="1:19" s="1" customFormat="1" ht="16.5" customHeight="1" thickBot="1" x14ac:dyDescent="0.25">
      <c r="A123" s="55" t="s">
        <v>43</v>
      </c>
      <c r="B123" s="949" t="s">
        <v>44</v>
      </c>
      <c r="C123" s="950"/>
      <c r="D123" s="950"/>
      <c r="E123" s="950"/>
      <c r="F123" s="950"/>
      <c r="G123" s="275">
        <f t="shared" ref="G123:I123" si="8">G122</f>
        <v>9967.9999999999982</v>
      </c>
      <c r="H123" s="120">
        <f t="shared" si="8"/>
        <v>10697.500000000002</v>
      </c>
      <c r="I123" s="117">
        <f t="shared" si="8"/>
        <v>8608.5</v>
      </c>
      <c r="J123" s="1075"/>
      <c r="K123" s="1076"/>
      <c r="L123" s="1076"/>
      <c r="M123" s="1077"/>
      <c r="N123" s="12"/>
      <c r="O123" s="12"/>
      <c r="P123" s="12"/>
      <c r="Q123" s="12"/>
      <c r="R123" s="12"/>
      <c r="S123" s="12"/>
    </row>
    <row r="124" spans="1:19" s="12" customFormat="1" ht="15.75" customHeight="1" x14ac:dyDescent="0.2">
      <c r="A124" s="344"/>
      <c r="B124" s="941" t="s">
        <v>241</v>
      </c>
      <c r="C124" s="941"/>
      <c r="D124" s="941"/>
      <c r="E124" s="941"/>
      <c r="F124" s="941"/>
      <c r="G124" s="941"/>
      <c r="H124" s="941"/>
      <c r="I124" s="941"/>
      <c r="J124" s="344"/>
      <c r="K124" s="344"/>
      <c r="L124" s="344"/>
      <c r="M124" s="344"/>
    </row>
    <row r="125" spans="1:19" s="12" customFormat="1" ht="12" customHeight="1" x14ac:dyDescent="0.2">
      <c r="A125" s="344"/>
      <c r="B125" s="888"/>
      <c r="C125" s="888"/>
      <c r="D125" s="888"/>
      <c r="E125" s="888"/>
      <c r="F125" s="888"/>
      <c r="G125" s="888"/>
      <c r="H125" s="888"/>
      <c r="I125" s="888"/>
      <c r="J125" s="344"/>
      <c r="K125" s="344"/>
      <c r="L125" s="344"/>
      <c r="M125" s="344"/>
    </row>
    <row r="126" spans="1:19" s="1" customFormat="1" ht="15" customHeight="1" thickBot="1" x14ac:dyDescent="0.25">
      <c r="A126" s="7"/>
      <c r="B126" s="935" t="s">
        <v>45</v>
      </c>
      <c r="C126" s="935"/>
      <c r="D126" s="935"/>
      <c r="E126" s="935"/>
      <c r="F126" s="935"/>
      <c r="G126" s="331"/>
      <c r="H126" s="331"/>
      <c r="I126" s="331"/>
      <c r="J126" s="8"/>
      <c r="K126" s="38"/>
      <c r="L126" s="38"/>
      <c r="M126" s="38"/>
      <c r="N126" s="12"/>
      <c r="O126" s="12"/>
      <c r="P126" s="12"/>
      <c r="Q126" s="12"/>
      <c r="R126" s="12"/>
      <c r="S126" s="12"/>
    </row>
    <row r="127" spans="1:19" s="1" customFormat="1" ht="90.75" customHeight="1" thickBot="1" x14ac:dyDescent="0.25">
      <c r="A127" s="9"/>
      <c r="B127" s="962" t="s">
        <v>46</v>
      </c>
      <c r="C127" s="963"/>
      <c r="D127" s="963"/>
      <c r="E127" s="963"/>
      <c r="F127" s="964"/>
      <c r="G127" s="492" t="s">
        <v>178</v>
      </c>
      <c r="H127" s="493" t="s">
        <v>229</v>
      </c>
      <c r="I127" s="494" t="s">
        <v>179</v>
      </c>
      <c r="J127" s="60"/>
      <c r="K127" s="60"/>
      <c r="L127" s="60"/>
      <c r="M127" s="60"/>
      <c r="N127" s="12"/>
      <c r="O127" s="12"/>
      <c r="P127" s="12"/>
      <c r="Q127" s="12"/>
      <c r="R127" s="12"/>
      <c r="S127" s="12"/>
    </row>
    <row r="128" spans="1:19" s="1" customFormat="1" ht="15.75" customHeight="1" x14ac:dyDescent="0.2">
      <c r="A128" s="9"/>
      <c r="B128" s="965" t="s">
        <v>231</v>
      </c>
      <c r="C128" s="966"/>
      <c r="D128" s="966"/>
      <c r="E128" s="966"/>
      <c r="F128" s="967"/>
      <c r="G128" s="495">
        <f>+G129+G136+G137+G138</f>
        <v>6768.4000000000005</v>
      </c>
      <c r="H128" s="498">
        <f>+H129+H136+H137+H138</f>
        <v>6307.4</v>
      </c>
      <c r="I128" s="497">
        <f>+I129+I136+I137+I138</f>
        <v>3951.7999999999997</v>
      </c>
      <c r="J128" s="58"/>
      <c r="K128" s="58"/>
      <c r="L128" s="58"/>
      <c r="M128" s="58"/>
      <c r="N128" s="12"/>
      <c r="O128" s="12"/>
      <c r="P128" s="12"/>
      <c r="Q128" s="12"/>
      <c r="R128" s="12"/>
      <c r="S128" s="12"/>
    </row>
    <row r="129" spans="1:19" s="1" customFormat="1" ht="15.75" customHeight="1" x14ac:dyDescent="0.2">
      <c r="A129" s="9"/>
      <c r="B129" s="939" t="s">
        <v>103</v>
      </c>
      <c r="C129" s="940"/>
      <c r="D129" s="940"/>
      <c r="E129" s="940"/>
      <c r="F129" s="940"/>
      <c r="G129" s="487">
        <f>SUM(G130:G135)</f>
        <v>6492.4</v>
      </c>
      <c r="H129" s="170">
        <f>SUM(H130:H135)</f>
        <v>6307.4</v>
      </c>
      <c r="I129" s="164">
        <f>SUM(I130:I135)</f>
        <v>3951.7999999999997</v>
      </c>
      <c r="J129" s="58"/>
      <c r="K129" s="58"/>
      <c r="L129" s="58"/>
      <c r="M129" s="58"/>
      <c r="N129" s="12"/>
      <c r="O129" s="12"/>
      <c r="P129" s="12"/>
      <c r="Q129" s="12"/>
      <c r="R129" s="12"/>
      <c r="S129" s="12"/>
    </row>
    <row r="130" spans="1:19" s="1" customFormat="1" ht="15.75" customHeight="1" x14ac:dyDescent="0.2">
      <c r="A130" s="9"/>
      <c r="B130" s="936" t="s">
        <v>47</v>
      </c>
      <c r="C130" s="937"/>
      <c r="D130" s="937"/>
      <c r="E130" s="937"/>
      <c r="F130" s="938"/>
      <c r="G130" s="488">
        <f>SUMIF(F15:F119,"sb",G15:G119)</f>
        <v>2421.8000000000002</v>
      </c>
      <c r="H130" s="171">
        <f>SUMIF(F15:F119,"sb",H15:H119)</f>
        <v>3652.7999999999997</v>
      </c>
      <c r="I130" s="165">
        <f>SUMIF(F15:F119,"sb",I15:I119)</f>
        <v>2518.3999999999996</v>
      </c>
      <c r="J130" s="59"/>
      <c r="K130" s="59"/>
      <c r="L130" s="59"/>
      <c r="M130" s="59"/>
      <c r="N130" s="12"/>
      <c r="O130" s="12"/>
      <c r="P130" s="12"/>
      <c r="Q130" s="12"/>
      <c r="R130" s="12"/>
      <c r="S130" s="12"/>
    </row>
    <row r="131" spans="1:19" s="1" customFormat="1" ht="15.75" customHeight="1" x14ac:dyDescent="0.2">
      <c r="A131" s="9"/>
      <c r="B131" s="958" t="s">
        <v>91</v>
      </c>
      <c r="C131" s="959"/>
      <c r="D131" s="959"/>
      <c r="E131" s="959"/>
      <c r="F131" s="959"/>
      <c r="G131" s="488">
        <f>SUMIF(F15:F119,"sb(aa)",G15:G119)</f>
        <v>126</v>
      </c>
      <c r="H131" s="171">
        <f>SUMIF(F15:F119,"sb(aa)",H15:H119)</f>
        <v>126</v>
      </c>
      <c r="I131" s="165">
        <f>SUMIF(F15:F119,"sb(aa)",I15:I119)</f>
        <v>126</v>
      </c>
      <c r="J131" s="59"/>
      <c r="K131" s="59"/>
      <c r="L131" s="59"/>
      <c r="M131" s="59"/>
      <c r="N131" s="12"/>
      <c r="O131" s="12"/>
      <c r="P131" s="12"/>
      <c r="Q131" s="12"/>
      <c r="R131" s="12"/>
      <c r="S131" s="12"/>
    </row>
    <row r="132" spans="1:19" s="1" customFormat="1" ht="15.75" customHeight="1" x14ac:dyDescent="0.2">
      <c r="A132" s="9"/>
      <c r="B132" s="936" t="s">
        <v>48</v>
      </c>
      <c r="C132" s="937"/>
      <c r="D132" s="937"/>
      <c r="E132" s="937"/>
      <c r="F132" s="938"/>
      <c r="G132" s="488">
        <f>SUMIF(F15:F119,"sb(sp)",G15:G119)</f>
        <v>29.1</v>
      </c>
      <c r="H132" s="171">
        <f>SUMIF(F15:F119,"sb(sp)",H15:H119)</f>
        <v>29.1</v>
      </c>
      <c r="I132" s="165">
        <f>SUMIF(F15:F119,"sb(sp)",I15:I119)</f>
        <v>30.1</v>
      </c>
      <c r="J132" s="59"/>
      <c r="K132" s="59"/>
      <c r="L132" s="59"/>
      <c r="M132" s="59"/>
      <c r="N132" s="12"/>
      <c r="O132" s="12"/>
      <c r="P132" s="12"/>
      <c r="Q132" s="12"/>
      <c r="R132" s="12"/>
      <c r="S132" s="12"/>
    </row>
    <row r="133" spans="1:19" s="1" customFormat="1" ht="15.75" hidden="1" customHeight="1" x14ac:dyDescent="0.2">
      <c r="A133" s="9"/>
      <c r="B133" s="958" t="s">
        <v>133</v>
      </c>
      <c r="C133" s="959"/>
      <c r="D133" s="959"/>
      <c r="E133" s="959"/>
      <c r="F133" s="959"/>
      <c r="G133" s="222"/>
      <c r="H133" s="223"/>
      <c r="I133" s="224"/>
      <c r="J133" s="59"/>
      <c r="K133" s="59"/>
      <c r="L133" s="59"/>
      <c r="M133" s="59"/>
      <c r="N133" s="12"/>
      <c r="O133" s="12"/>
      <c r="P133" s="12"/>
      <c r="Q133" s="12"/>
      <c r="R133" s="12"/>
      <c r="S133" s="12"/>
    </row>
    <row r="134" spans="1:19" s="12" customFormat="1" ht="15.75" customHeight="1" x14ac:dyDescent="0.2">
      <c r="A134" s="9"/>
      <c r="B134" s="936" t="s">
        <v>49</v>
      </c>
      <c r="C134" s="937"/>
      <c r="D134" s="937"/>
      <c r="E134" s="937"/>
      <c r="F134" s="938"/>
      <c r="G134" s="488">
        <f>SUMIF(F15:F119,"sb(vb)",G15:G119)</f>
        <v>1394.6</v>
      </c>
      <c r="H134" s="171">
        <f>SUMIF(F15:F119,"sb(vb)",H15:H119)</f>
        <v>1278.1000000000001</v>
      </c>
      <c r="I134" s="165">
        <f>SUMIF(F15:F119,"sb(vb)",I15:I119)</f>
        <v>1277.3000000000002</v>
      </c>
      <c r="J134" s="59"/>
      <c r="K134" s="59"/>
      <c r="L134" s="59"/>
      <c r="M134" s="59"/>
    </row>
    <row r="135" spans="1:19" s="12" customFormat="1" ht="26.25" customHeight="1" x14ac:dyDescent="0.2">
      <c r="A135" s="9"/>
      <c r="B135" s="958" t="s">
        <v>84</v>
      </c>
      <c r="C135" s="959"/>
      <c r="D135" s="959"/>
      <c r="E135" s="959"/>
      <c r="F135" s="959"/>
      <c r="G135" s="488">
        <f>SUMIF(F15:F119,"sb(es)",G15:G119)</f>
        <v>2520.9</v>
      </c>
      <c r="H135" s="171">
        <f>SUMIF(F15:F119,"sb(es)",H15:H119)</f>
        <v>1221.4000000000001</v>
      </c>
      <c r="I135" s="165">
        <f>SUMIF(F15:F119,"sb(es)",I15:I119)</f>
        <v>0</v>
      </c>
      <c r="J135" s="59"/>
      <c r="K135" s="59"/>
      <c r="L135" s="59"/>
      <c r="M135" s="59"/>
    </row>
    <row r="136" spans="1:19" s="1" customFormat="1" ht="15.75" customHeight="1" x14ac:dyDescent="0.2">
      <c r="A136" s="9"/>
      <c r="B136" s="960" t="s">
        <v>67</v>
      </c>
      <c r="C136" s="961"/>
      <c r="D136" s="961"/>
      <c r="E136" s="961"/>
      <c r="F136" s="961"/>
      <c r="G136" s="489">
        <f>SUMIF(F15:F119,"sb(l)",G15:G119)</f>
        <v>210.1</v>
      </c>
      <c r="H136" s="172">
        <f>SUMIF(F15:F119,"sb(l)",H15:H119)</f>
        <v>0</v>
      </c>
      <c r="I136" s="166">
        <f>SUMIF(F15:F119,"sb(l)",I15:I119)</f>
        <v>0</v>
      </c>
      <c r="J136" s="59"/>
      <c r="K136" s="59"/>
      <c r="L136" s="59"/>
      <c r="M136" s="59"/>
      <c r="N136" s="12"/>
      <c r="O136" s="12"/>
      <c r="P136" s="12"/>
      <c r="Q136" s="12"/>
      <c r="R136" s="12"/>
      <c r="S136" s="12"/>
    </row>
    <row r="137" spans="1:19" s="1" customFormat="1" ht="26.25" customHeight="1" x14ac:dyDescent="0.2">
      <c r="A137" s="9"/>
      <c r="B137" s="960" t="s">
        <v>65</v>
      </c>
      <c r="C137" s="961"/>
      <c r="D137" s="961"/>
      <c r="E137" s="961"/>
      <c r="F137" s="961"/>
      <c r="G137" s="489">
        <f>SUMIF(F15:F119,"sb(aal)",G15:G119)</f>
        <v>48.1</v>
      </c>
      <c r="H137" s="172">
        <f>SUMIF(F15:F119,"sb(aal)",H15:H119)</f>
        <v>0</v>
      </c>
      <c r="I137" s="166">
        <f>SUMIF(F15:F119,"sb(aal)",I15:I119)</f>
        <v>0</v>
      </c>
      <c r="J137" s="59"/>
      <c r="K137" s="59"/>
      <c r="L137" s="59"/>
      <c r="M137" s="59"/>
      <c r="N137" s="12"/>
      <c r="O137" s="12"/>
      <c r="P137" s="12"/>
      <c r="Q137" s="12"/>
      <c r="R137" s="12"/>
      <c r="S137" s="12"/>
    </row>
    <row r="138" spans="1:19" s="1" customFormat="1" ht="15.75" customHeight="1" x14ac:dyDescent="0.2">
      <c r="A138" s="9"/>
      <c r="B138" s="960" t="s">
        <v>104</v>
      </c>
      <c r="C138" s="961"/>
      <c r="D138" s="961"/>
      <c r="E138" s="961"/>
      <c r="F138" s="961"/>
      <c r="G138" s="489">
        <f>SUMIF(F15:F119,"sb(spl)",G15:G119)</f>
        <v>17.8</v>
      </c>
      <c r="H138" s="172">
        <f>SUMIF(F15:F119,"sb(spl)",H15:H119)</f>
        <v>0</v>
      </c>
      <c r="I138" s="166">
        <f>SUMIF(F15:F119,"sb(spl)",I15:I119)</f>
        <v>0</v>
      </c>
      <c r="J138" s="59"/>
      <c r="K138" s="59"/>
      <c r="L138" s="59"/>
      <c r="M138" s="59"/>
      <c r="N138" s="12"/>
      <c r="O138" s="12"/>
      <c r="P138" s="12"/>
      <c r="Q138" s="12"/>
      <c r="R138" s="12"/>
      <c r="S138" s="12"/>
    </row>
    <row r="139" spans="1:19" s="1" customFormat="1" ht="15.75" customHeight="1" x14ac:dyDescent="0.2">
      <c r="A139" s="9"/>
      <c r="B139" s="970" t="s">
        <v>50</v>
      </c>
      <c r="C139" s="971"/>
      <c r="D139" s="971"/>
      <c r="E139" s="971"/>
      <c r="F139" s="972"/>
      <c r="G139" s="490">
        <f>SUM(G140:G143)</f>
        <v>3199.6</v>
      </c>
      <c r="H139" s="169">
        <f>SUM(H140:H143)</f>
        <v>4390.1000000000004</v>
      </c>
      <c r="I139" s="163">
        <f>SUM(I140:I143)</f>
        <v>4656.7</v>
      </c>
      <c r="J139" s="58"/>
      <c r="K139" s="58"/>
      <c r="L139" s="58"/>
      <c r="M139" s="58"/>
      <c r="N139" s="12"/>
      <c r="O139" s="12"/>
      <c r="P139" s="12"/>
      <c r="Q139" s="12"/>
      <c r="R139" s="12"/>
      <c r="S139" s="12"/>
    </row>
    <row r="140" spans="1:19" s="1" customFormat="1" ht="15.75" customHeight="1" x14ac:dyDescent="0.2">
      <c r="A140" s="9"/>
      <c r="B140" s="958" t="s">
        <v>52</v>
      </c>
      <c r="C140" s="959"/>
      <c r="D140" s="959"/>
      <c r="E140" s="959"/>
      <c r="F140" s="959"/>
      <c r="G140" s="488">
        <f>SUMIF(F15:F119,"es",G15:G119)</f>
        <v>871.1</v>
      </c>
      <c r="H140" s="171">
        <f>SUMIF(F15:F119,"es",H15:H119)</f>
        <v>3400</v>
      </c>
      <c r="I140" s="165">
        <f>SUMIF(F15:F119,"es",I15:I119)</f>
        <v>4117.3</v>
      </c>
      <c r="J140" s="59"/>
      <c r="K140" s="59"/>
      <c r="L140" s="59"/>
      <c r="M140" s="59"/>
      <c r="N140" s="12"/>
      <c r="O140" s="12"/>
      <c r="P140" s="12"/>
      <c r="Q140" s="12"/>
      <c r="R140" s="12"/>
      <c r="S140" s="12"/>
    </row>
    <row r="141" spans="1:19" s="1" customFormat="1" ht="15.75" customHeight="1" x14ac:dyDescent="0.2">
      <c r="A141" s="10"/>
      <c r="B141" s="968" t="s">
        <v>51</v>
      </c>
      <c r="C141" s="973"/>
      <c r="D141" s="973"/>
      <c r="E141" s="973"/>
      <c r="F141" s="973"/>
      <c r="G141" s="454">
        <f>SUMIF(F15:F119,"PSDF",G15:G119)</f>
        <v>460.7</v>
      </c>
      <c r="H141" s="173">
        <f>SUMIF(F15:F119,"PSDF",H15:H119)</f>
        <v>509</v>
      </c>
      <c r="I141" s="167">
        <f>SUMIF(F15:F119,"PSDF",I15:I119)</f>
        <v>539.4</v>
      </c>
      <c r="J141" s="11"/>
      <c r="K141" s="68"/>
      <c r="L141" s="68"/>
      <c r="M141" s="68"/>
      <c r="N141" s="12"/>
      <c r="O141" s="12"/>
      <c r="P141" s="12"/>
      <c r="Q141" s="12"/>
      <c r="R141" s="12"/>
      <c r="S141" s="12"/>
    </row>
    <row r="142" spans="1:19" s="1" customFormat="1" ht="15.75" customHeight="1" x14ac:dyDescent="0.2">
      <c r="A142" s="10"/>
      <c r="B142" s="968" t="s">
        <v>74</v>
      </c>
      <c r="C142" s="969"/>
      <c r="D142" s="969"/>
      <c r="E142" s="969"/>
      <c r="F142" s="969"/>
      <c r="G142" s="454">
        <f>SUMIF(F15:F119,"lrvb",G15:G119)</f>
        <v>0.3</v>
      </c>
      <c r="H142" s="173">
        <f>SUMIF(F15:F119,"lrvb",H15:H119)</f>
        <v>0</v>
      </c>
      <c r="I142" s="167">
        <f>SUMIF(F15:F119,"lrvb",I15:I119)</f>
        <v>0</v>
      </c>
      <c r="J142" s="11"/>
      <c r="K142" s="68"/>
      <c r="L142" s="68"/>
      <c r="M142" s="68"/>
      <c r="N142" s="12"/>
      <c r="O142" s="12"/>
      <c r="P142" s="12"/>
      <c r="Q142" s="12"/>
      <c r="R142" s="12"/>
      <c r="S142" s="12"/>
    </row>
    <row r="143" spans="1:19" s="1" customFormat="1" ht="15.75" customHeight="1" x14ac:dyDescent="0.2">
      <c r="A143" s="9"/>
      <c r="B143" s="936" t="s">
        <v>53</v>
      </c>
      <c r="C143" s="937"/>
      <c r="D143" s="937"/>
      <c r="E143" s="937"/>
      <c r="F143" s="938"/>
      <c r="G143" s="488">
        <f>SUMIF(F15:F119,"kt",G15:G119)</f>
        <v>1867.5</v>
      </c>
      <c r="H143" s="171">
        <f>SUMIF(F15:F119,"kt",H15:H119)</f>
        <v>481.1</v>
      </c>
      <c r="I143" s="165">
        <f>SUMIF(F15:F119,"kt",I15:I119)</f>
        <v>0</v>
      </c>
      <c r="J143" s="59"/>
      <c r="K143" s="59"/>
      <c r="L143" s="59"/>
      <c r="M143" s="59"/>
      <c r="N143" s="12"/>
      <c r="O143" s="12"/>
      <c r="P143" s="12"/>
      <c r="Q143" s="12"/>
      <c r="R143" s="12"/>
      <c r="S143" s="12"/>
    </row>
    <row r="144" spans="1:19" s="1" customFormat="1" ht="15.75" customHeight="1" thickBot="1" x14ac:dyDescent="0.25">
      <c r="A144" s="13"/>
      <c r="B144" s="956" t="s">
        <v>54</v>
      </c>
      <c r="C144" s="957"/>
      <c r="D144" s="957"/>
      <c r="E144" s="957"/>
      <c r="F144" s="957"/>
      <c r="G144" s="496">
        <f>G139+G128</f>
        <v>9968</v>
      </c>
      <c r="H144" s="174">
        <f>H139+H128</f>
        <v>10697.5</v>
      </c>
      <c r="I144" s="168">
        <f>I139+I128</f>
        <v>8608.5</v>
      </c>
      <c r="J144" s="58"/>
      <c r="K144" s="58"/>
      <c r="L144" s="58"/>
      <c r="M144" s="58"/>
      <c r="N144" s="12"/>
      <c r="O144" s="12"/>
      <c r="P144" s="12"/>
      <c r="Q144" s="12"/>
      <c r="R144" s="12"/>
      <c r="S144" s="12"/>
    </row>
    <row r="145" spans="1:13" x14ac:dyDescent="0.25">
      <c r="A145" s="14"/>
      <c r="B145" s="15"/>
      <c r="C145" s="15"/>
      <c r="D145" s="15"/>
      <c r="E145" s="31"/>
      <c r="F145" s="16"/>
      <c r="G145" s="16" t="s">
        <v>243</v>
      </c>
      <c r="H145" s="16"/>
      <c r="I145" s="16"/>
      <c r="J145" s="9"/>
      <c r="K145" s="87"/>
      <c r="L145" s="87"/>
      <c r="M145" s="87"/>
    </row>
    <row r="146" spans="1:13" x14ac:dyDescent="0.25">
      <c r="A146" s="9"/>
      <c r="B146" s="9"/>
      <c r="C146" s="9"/>
      <c r="D146" s="17"/>
      <c r="E146" s="87"/>
      <c r="F146" s="67"/>
      <c r="G146" s="281" t="s">
        <v>242</v>
      </c>
      <c r="H146" s="281"/>
      <c r="I146" s="281"/>
      <c r="J146" s="108"/>
      <c r="K146" s="40"/>
      <c r="L146" s="40"/>
      <c r="M146" s="40"/>
    </row>
    <row r="147" spans="1:13" x14ac:dyDescent="0.25">
      <c r="F147" s="91"/>
      <c r="G147" s="91"/>
      <c r="H147" s="91"/>
      <c r="I147" s="91"/>
      <c r="J147" s="92"/>
      <c r="K147" s="141"/>
      <c r="L147" s="141"/>
      <c r="M147" s="141"/>
    </row>
    <row r="148" spans="1:13" x14ac:dyDescent="0.25">
      <c r="F148" s="93"/>
      <c r="G148" s="93"/>
      <c r="H148" s="93"/>
      <c r="I148" s="93"/>
      <c r="J148" s="97"/>
      <c r="K148" s="141"/>
      <c r="L148" s="141"/>
      <c r="M148" s="141"/>
    </row>
  </sheetData>
  <mergeCells count="152">
    <mergeCell ref="D89:D90"/>
    <mergeCell ref="J24:J26"/>
    <mergeCell ref="J36:J39"/>
    <mergeCell ref="J40:J41"/>
    <mergeCell ref="G8:G10"/>
    <mergeCell ref="J29:J30"/>
    <mergeCell ref="B13:M13"/>
    <mergeCell ref="C14:M14"/>
    <mergeCell ref="M65:M66"/>
    <mergeCell ref="E52:E53"/>
    <mergeCell ref="D52:D53"/>
    <mergeCell ref="C55:M55"/>
    <mergeCell ref="J15:J23"/>
    <mergeCell ref="L68:L69"/>
    <mergeCell ref="K65:K66"/>
    <mergeCell ref="K68:K69"/>
    <mergeCell ref="J49:J51"/>
    <mergeCell ref="J68:J69"/>
    <mergeCell ref="L74:L75"/>
    <mergeCell ref="M74:M75"/>
    <mergeCell ref="J34:J35"/>
    <mergeCell ref="L59:L61"/>
    <mergeCell ref="M59:M61"/>
    <mergeCell ref="J27:J28"/>
    <mergeCell ref="J123:M123"/>
    <mergeCell ref="K52:K53"/>
    <mergeCell ref="L52:L53"/>
    <mergeCell ref="L115:L116"/>
    <mergeCell ref="J62:J63"/>
    <mergeCell ref="J77:J78"/>
    <mergeCell ref="J117:J119"/>
    <mergeCell ref="M52:M53"/>
    <mergeCell ref="J109:J111"/>
    <mergeCell ref="J81:J83"/>
    <mergeCell ref="J112:J113"/>
    <mergeCell ref="J74:J75"/>
    <mergeCell ref="J70:J71"/>
    <mergeCell ref="J65:J66"/>
    <mergeCell ref="K74:K75"/>
    <mergeCell ref="J52:J53"/>
    <mergeCell ref="J57:J58"/>
    <mergeCell ref="M68:M69"/>
    <mergeCell ref="J54:M54"/>
    <mergeCell ref="L65:L66"/>
    <mergeCell ref="A4:M4"/>
    <mergeCell ref="A5:M5"/>
    <mergeCell ref="A6:M6"/>
    <mergeCell ref="E40:E41"/>
    <mergeCell ref="C40:C41"/>
    <mergeCell ref="D42:D45"/>
    <mergeCell ref="D36:D39"/>
    <mergeCell ref="D49:D51"/>
    <mergeCell ref="D27:D28"/>
    <mergeCell ref="C15:C23"/>
    <mergeCell ref="C24:C26"/>
    <mergeCell ref="D40:D41"/>
    <mergeCell ref="D15:D17"/>
    <mergeCell ref="D22:D23"/>
    <mergeCell ref="C36:C39"/>
    <mergeCell ref="C46:C48"/>
    <mergeCell ref="D46:D48"/>
    <mergeCell ref="D24:D26"/>
    <mergeCell ref="A15:A23"/>
    <mergeCell ref="B15:B23"/>
    <mergeCell ref="A7:M7"/>
    <mergeCell ref="K9:M9"/>
    <mergeCell ref="A11:M11"/>
    <mergeCell ref="A12:M12"/>
    <mergeCell ref="E8:E10"/>
    <mergeCell ref="F8:F10"/>
    <mergeCell ref="J9:J10"/>
    <mergeCell ref="A8:A10"/>
    <mergeCell ref="B8:B10"/>
    <mergeCell ref="C8:C10"/>
    <mergeCell ref="J8:M8"/>
    <mergeCell ref="H8:H10"/>
    <mergeCell ref="I8:I10"/>
    <mergeCell ref="B97:B99"/>
    <mergeCell ref="C97:C99"/>
    <mergeCell ref="D8:D10"/>
    <mergeCell ref="A100:A102"/>
    <mergeCell ref="B122:F122"/>
    <mergeCell ref="C121:F121"/>
    <mergeCell ref="A97:A99"/>
    <mergeCell ref="D94:D96"/>
    <mergeCell ref="D97:D99"/>
    <mergeCell ref="C88:M88"/>
    <mergeCell ref="J122:M122"/>
    <mergeCell ref="L84:L86"/>
    <mergeCell ref="F59:F62"/>
    <mergeCell ref="F81:F82"/>
    <mergeCell ref="M84:M86"/>
    <mergeCell ref="J121:M121"/>
    <mergeCell ref="D103:D105"/>
    <mergeCell ref="K84:K86"/>
    <mergeCell ref="J84:J86"/>
    <mergeCell ref="J115:J116"/>
    <mergeCell ref="J59:J61"/>
    <mergeCell ref="K59:K61"/>
    <mergeCell ref="C49:C51"/>
    <mergeCell ref="B144:F144"/>
    <mergeCell ref="B131:F131"/>
    <mergeCell ref="B135:F135"/>
    <mergeCell ref="B137:F137"/>
    <mergeCell ref="B132:F132"/>
    <mergeCell ref="B127:F127"/>
    <mergeCell ref="B128:F128"/>
    <mergeCell ref="B133:F133"/>
    <mergeCell ref="B134:F134"/>
    <mergeCell ref="B142:F142"/>
    <mergeCell ref="B139:F139"/>
    <mergeCell ref="B140:F140"/>
    <mergeCell ref="B141:F141"/>
    <mergeCell ref="B138:F138"/>
    <mergeCell ref="B136:F136"/>
    <mergeCell ref="B126:F126"/>
    <mergeCell ref="B130:F130"/>
    <mergeCell ref="B129:F129"/>
    <mergeCell ref="B143:F143"/>
    <mergeCell ref="B124:I124"/>
    <mergeCell ref="B100:B102"/>
    <mergeCell ref="C100:C102"/>
    <mergeCell ref="D100:D102"/>
    <mergeCell ref="D115:D116"/>
    <mergeCell ref="B123:F123"/>
    <mergeCell ref="D117:D119"/>
    <mergeCell ref="D109:D111"/>
    <mergeCell ref="D112:D114"/>
    <mergeCell ref="D106:D108"/>
    <mergeCell ref="J1:M1"/>
    <mergeCell ref="F117:F118"/>
    <mergeCell ref="J87:M87"/>
    <mergeCell ref="K117:K119"/>
    <mergeCell ref="L117:L119"/>
    <mergeCell ref="G117:G118"/>
    <mergeCell ref="H117:H118"/>
    <mergeCell ref="I117:I118"/>
    <mergeCell ref="I98:I99"/>
    <mergeCell ref="J97:J98"/>
    <mergeCell ref="G98:G99"/>
    <mergeCell ref="H98:H99"/>
    <mergeCell ref="C54:F54"/>
    <mergeCell ref="C52:C53"/>
    <mergeCell ref="D77:D78"/>
    <mergeCell ref="D84:D86"/>
    <mergeCell ref="D70:D73"/>
    <mergeCell ref="C87:F87"/>
    <mergeCell ref="D64:D66"/>
    <mergeCell ref="D56:D58"/>
    <mergeCell ref="D67:D69"/>
    <mergeCell ref="D81:D83"/>
    <mergeCell ref="D74:D7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4" fitToHeight="0" orientation="portrait" r:id="rId1"/>
  <rowBreaks count="3" manualBreakCount="3">
    <brk id="41" max="16" man="1"/>
    <brk id="83" max="16" man="1"/>
    <brk id="12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93"/>
  <sheetViews>
    <sheetView zoomScaleNormal="100" zoomScaleSheetLayoutView="100" workbookViewId="0">
      <selection activeCell="A4" sqref="A4:N4"/>
    </sheetView>
  </sheetViews>
  <sheetFormatPr defaultColWidth="9.140625" defaultRowHeight="15" x14ac:dyDescent="0.25"/>
  <cols>
    <col min="1" max="3" width="3" style="29" customWidth="1"/>
    <col min="4" max="4" width="3" style="32" customWidth="1"/>
    <col min="5" max="5" width="32.85546875" style="29" customWidth="1"/>
    <col min="6" max="6" width="3.7109375" style="32" customWidth="1"/>
    <col min="7" max="7" width="14.5703125" style="32" customWidth="1"/>
    <col min="8" max="12" width="8.140625" style="29" customWidth="1"/>
    <col min="13" max="13" width="25.28515625" style="33" customWidth="1"/>
    <col min="14" max="17" width="5.85546875" style="69" customWidth="1"/>
    <col min="18" max="18" width="81" style="184" customWidth="1"/>
    <col min="19" max="23" width="9.140625" style="184"/>
    <col min="24" max="16384" width="9.140625" style="29"/>
  </cols>
  <sheetData>
    <row r="1" spans="1:23" ht="22.5" customHeight="1" x14ac:dyDescent="0.25">
      <c r="G1" s="239"/>
      <c r="H1" s="239"/>
      <c r="I1" s="239"/>
      <c r="J1" s="239"/>
      <c r="K1" s="239"/>
      <c r="L1" s="239"/>
      <c r="M1" s="1216" t="s">
        <v>238</v>
      </c>
      <c r="N1" s="1216"/>
      <c r="O1" s="1216"/>
      <c r="P1" s="1216"/>
      <c r="Q1" s="1216"/>
    </row>
    <row r="2" spans="1:23" ht="15.75" customHeight="1" x14ac:dyDescent="0.25"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</row>
    <row r="3" spans="1:23" s="20" customFormat="1" ht="16.5" customHeight="1" x14ac:dyDescent="0.2">
      <c r="A3" s="1045" t="s">
        <v>240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707"/>
      <c r="P3" s="707"/>
      <c r="Q3" s="707"/>
      <c r="R3" s="182"/>
      <c r="S3" s="182"/>
      <c r="T3" s="182"/>
      <c r="U3" s="182"/>
      <c r="V3" s="182"/>
      <c r="W3" s="182"/>
    </row>
    <row r="4" spans="1:23" s="20" customFormat="1" ht="16.5" customHeight="1" x14ac:dyDescent="0.2">
      <c r="A4" s="1046" t="s">
        <v>160</v>
      </c>
      <c r="B4" s="1046"/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708"/>
      <c r="P4" s="708"/>
      <c r="Q4" s="708"/>
      <c r="R4" s="182"/>
      <c r="S4" s="182"/>
      <c r="T4" s="182"/>
      <c r="U4" s="182"/>
      <c r="V4" s="182"/>
      <c r="W4" s="182"/>
    </row>
    <row r="5" spans="1:23" s="20" customFormat="1" ht="16.5" customHeight="1" x14ac:dyDescent="0.2">
      <c r="A5" s="1047" t="s">
        <v>0</v>
      </c>
      <c r="B5" s="1047"/>
      <c r="C5" s="1047"/>
      <c r="D5" s="1047"/>
      <c r="E5" s="1047"/>
      <c r="F5" s="1047"/>
      <c r="G5" s="1047"/>
      <c r="H5" s="1047"/>
      <c r="I5" s="1047"/>
      <c r="J5" s="1047"/>
      <c r="K5" s="1047"/>
      <c r="L5" s="1047"/>
      <c r="M5" s="1047"/>
      <c r="N5" s="1047"/>
      <c r="O5" s="709"/>
      <c r="P5" s="709"/>
      <c r="Q5" s="709"/>
      <c r="R5" s="182"/>
      <c r="S5" s="182"/>
      <c r="T5" s="182"/>
      <c r="U5" s="182"/>
      <c r="V5" s="182"/>
      <c r="W5" s="182"/>
    </row>
    <row r="6" spans="1:23" s="1" customFormat="1" ht="19.5" customHeight="1" thickBot="1" x14ac:dyDescent="0.25">
      <c r="A6" s="1065" t="s">
        <v>1</v>
      </c>
      <c r="B6" s="1065"/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2"/>
      <c r="S6" s="12"/>
      <c r="T6" s="12"/>
      <c r="U6" s="12"/>
      <c r="V6" s="12"/>
      <c r="W6" s="12"/>
    </row>
    <row r="7" spans="1:23" s="1" customFormat="1" ht="16.5" customHeight="1" thickBot="1" x14ac:dyDescent="0.25">
      <c r="A7" s="1030" t="s">
        <v>174</v>
      </c>
      <c r="B7" s="1033" t="s">
        <v>2</v>
      </c>
      <c r="C7" s="1033" t="s">
        <v>3</v>
      </c>
      <c r="D7" s="1033" t="s">
        <v>90</v>
      </c>
      <c r="E7" s="974" t="s">
        <v>4</v>
      </c>
      <c r="F7" s="1022" t="s">
        <v>175</v>
      </c>
      <c r="G7" s="1213" t="s">
        <v>176</v>
      </c>
      <c r="H7" s="1025" t="s">
        <v>5</v>
      </c>
      <c r="I7" s="1042" t="s">
        <v>177</v>
      </c>
      <c r="J7" s="1112" t="s">
        <v>178</v>
      </c>
      <c r="K7" s="1039" t="s">
        <v>229</v>
      </c>
      <c r="L7" s="1042" t="s">
        <v>179</v>
      </c>
      <c r="M7" s="1036" t="s">
        <v>168</v>
      </c>
      <c r="N7" s="1037"/>
      <c r="O7" s="1037"/>
      <c r="P7" s="1037"/>
      <c r="Q7" s="1038"/>
      <c r="R7" s="282"/>
      <c r="S7" s="12"/>
      <c r="T7" s="12"/>
      <c r="U7" s="12"/>
      <c r="V7" s="12"/>
      <c r="W7" s="12"/>
    </row>
    <row r="8" spans="1:23" s="1" customFormat="1" ht="18" customHeight="1" x14ac:dyDescent="0.2">
      <c r="A8" s="1031"/>
      <c r="B8" s="1034"/>
      <c r="C8" s="1034"/>
      <c r="D8" s="1034"/>
      <c r="E8" s="975"/>
      <c r="F8" s="1023"/>
      <c r="G8" s="1214"/>
      <c r="H8" s="1026"/>
      <c r="I8" s="1043"/>
      <c r="J8" s="1113"/>
      <c r="K8" s="1040"/>
      <c r="L8" s="1043"/>
      <c r="M8" s="1028" t="s">
        <v>4</v>
      </c>
      <c r="N8" s="1025" t="s">
        <v>180</v>
      </c>
      <c r="O8" s="1066" t="s">
        <v>169</v>
      </c>
      <c r="P8" s="1067"/>
      <c r="Q8" s="1068"/>
      <c r="R8" s="12"/>
      <c r="S8" s="12"/>
      <c r="T8" s="12"/>
      <c r="U8" s="12"/>
      <c r="V8" s="12"/>
      <c r="W8" s="12"/>
    </row>
    <row r="9" spans="1:23" s="1" customFormat="1" ht="97.5" customHeight="1" thickBot="1" x14ac:dyDescent="0.25">
      <c r="A9" s="1032"/>
      <c r="B9" s="1035"/>
      <c r="C9" s="1035"/>
      <c r="D9" s="1035"/>
      <c r="E9" s="976"/>
      <c r="F9" s="1024"/>
      <c r="G9" s="1215"/>
      <c r="H9" s="1027"/>
      <c r="I9" s="1044"/>
      <c r="J9" s="1114"/>
      <c r="K9" s="1041"/>
      <c r="L9" s="1044"/>
      <c r="M9" s="1029"/>
      <c r="N9" s="1027"/>
      <c r="O9" s="337" t="s">
        <v>181</v>
      </c>
      <c r="P9" s="345" t="s">
        <v>182</v>
      </c>
      <c r="Q9" s="346" t="s">
        <v>183</v>
      </c>
      <c r="R9" s="12"/>
      <c r="S9" s="12"/>
      <c r="T9" s="12"/>
      <c r="U9" s="12"/>
      <c r="V9" s="12"/>
      <c r="W9" s="12"/>
    </row>
    <row r="10" spans="1:23" s="1" customFormat="1" ht="15" customHeight="1" thickBot="1" x14ac:dyDescent="0.25">
      <c r="A10" s="1069" t="s">
        <v>6</v>
      </c>
      <c r="B10" s="1070"/>
      <c r="C10" s="1070"/>
      <c r="D10" s="1070"/>
      <c r="E10" s="1070"/>
      <c r="F10" s="1070"/>
      <c r="G10" s="1070"/>
      <c r="H10" s="1070"/>
      <c r="I10" s="1070"/>
      <c r="J10" s="1070"/>
      <c r="K10" s="1070"/>
      <c r="L10" s="1070"/>
      <c r="M10" s="1070"/>
      <c r="N10" s="1070"/>
      <c r="O10" s="1070"/>
      <c r="P10" s="1070"/>
      <c r="Q10" s="1071"/>
      <c r="R10" s="12"/>
      <c r="S10" s="12"/>
      <c r="T10" s="12"/>
      <c r="U10" s="12"/>
      <c r="V10" s="12"/>
      <c r="W10" s="12"/>
    </row>
    <row r="11" spans="1:23" s="1" customFormat="1" ht="15" customHeight="1" x14ac:dyDescent="0.2">
      <c r="A11" s="1072" t="s">
        <v>140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4"/>
      <c r="R11" s="282"/>
      <c r="S11" s="12"/>
      <c r="T11" s="12"/>
      <c r="U11" s="12"/>
      <c r="V11" s="12"/>
      <c r="W11" s="12"/>
    </row>
    <row r="12" spans="1:23" s="1" customFormat="1" ht="15" customHeight="1" x14ac:dyDescent="0.2">
      <c r="A12" s="77" t="s">
        <v>7</v>
      </c>
      <c r="B12" s="1117" t="s">
        <v>8</v>
      </c>
      <c r="C12" s="1118"/>
      <c r="D12" s="1118"/>
      <c r="E12" s="1118"/>
      <c r="F12" s="1118"/>
      <c r="G12" s="1118"/>
      <c r="H12" s="1118"/>
      <c r="I12" s="1118"/>
      <c r="J12" s="1118"/>
      <c r="K12" s="1118"/>
      <c r="L12" s="1118"/>
      <c r="M12" s="1118"/>
      <c r="N12" s="1118"/>
      <c r="O12" s="1118"/>
      <c r="P12" s="1118"/>
      <c r="Q12" s="1119"/>
      <c r="R12" s="12"/>
      <c r="S12" s="12"/>
      <c r="T12" s="12"/>
      <c r="U12" s="12"/>
      <c r="V12" s="12"/>
      <c r="W12" s="12"/>
    </row>
    <row r="13" spans="1:23" s="1" customFormat="1" ht="15" customHeight="1" thickBot="1" x14ac:dyDescent="0.25">
      <c r="A13" s="711" t="s">
        <v>7</v>
      </c>
      <c r="B13" s="21" t="s">
        <v>7</v>
      </c>
      <c r="C13" s="1120" t="s">
        <v>9</v>
      </c>
      <c r="D13" s="1121"/>
      <c r="E13" s="1121"/>
      <c r="F13" s="1121"/>
      <c r="G13" s="1121"/>
      <c r="H13" s="1121"/>
      <c r="I13" s="1121"/>
      <c r="J13" s="1121"/>
      <c r="K13" s="1121"/>
      <c r="L13" s="1121"/>
      <c r="M13" s="1121"/>
      <c r="N13" s="1121"/>
      <c r="O13" s="1121"/>
      <c r="P13" s="1121"/>
      <c r="Q13" s="1122"/>
      <c r="R13" s="12"/>
      <c r="S13" s="12"/>
      <c r="T13" s="12"/>
      <c r="U13" s="12"/>
      <c r="V13" s="12"/>
      <c r="W13" s="12"/>
    </row>
    <row r="14" spans="1:23" s="1" customFormat="1" ht="18.75" customHeight="1" x14ac:dyDescent="0.2">
      <c r="A14" s="1057" t="s">
        <v>7</v>
      </c>
      <c r="B14" s="1061" t="s">
        <v>7</v>
      </c>
      <c r="C14" s="1050" t="s">
        <v>7</v>
      </c>
      <c r="D14" s="62"/>
      <c r="E14" s="1053" t="s">
        <v>10</v>
      </c>
      <c r="F14" s="706" t="s">
        <v>95</v>
      </c>
      <c r="G14" s="1183" t="s">
        <v>100</v>
      </c>
      <c r="H14" s="241" t="s">
        <v>12</v>
      </c>
      <c r="I14" s="377">
        <f>88.3-44.4</f>
        <v>43.9</v>
      </c>
      <c r="J14" s="193">
        <v>43.9</v>
      </c>
      <c r="K14" s="206">
        <f>43.9+44.4</f>
        <v>88.3</v>
      </c>
      <c r="L14" s="377">
        <f>43.9+44.4</f>
        <v>88.3</v>
      </c>
      <c r="M14" s="1131" t="s">
        <v>13</v>
      </c>
      <c r="N14" s="347">
        <v>100</v>
      </c>
      <c r="O14" s="262">
        <v>100</v>
      </c>
      <c r="P14" s="124">
        <v>100</v>
      </c>
      <c r="Q14" s="355">
        <v>100</v>
      </c>
      <c r="R14" s="12"/>
      <c r="S14" s="12"/>
      <c r="T14" s="12"/>
      <c r="U14" s="12"/>
      <c r="V14" s="12"/>
      <c r="W14" s="12"/>
    </row>
    <row r="15" spans="1:23" s="1" customFormat="1" ht="18.75" customHeight="1" x14ac:dyDescent="0.2">
      <c r="A15" s="1058"/>
      <c r="B15" s="1062"/>
      <c r="C15" s="1020"/>
      <c r="D15" s="62"/>
      <c r="E15" s="1053"/>
      <c r="F15" s="706" t="s">
        <v>190</v>
      </c>
      <c r="G15" s="1184"/>
      <c r="H15" s="446" t="s">
        <v>15</v>
      </c>
      <c r="I15" s="209">
        <v>126</v>
      </c>
      <c r="J15" s="210">
        <v>126</v>
      </c>
      <c r="K15" s="208">
        <v>126</v>
      </c>
      <c r="L15" s="209">
        <v>126</v>
      </c>
      <c r="M15" s="1132"/>
      <c r="N15" s="348"/>
      <c r="O15" s="125"/>
      <c r="P15" s="126"/>
      <c r="Q15" s="144"/>
      <c r="R15" s="12"/>
      <c r="S15" s="12"/>
      <c r="T15" s="12"/>
      <c r="U15" s="12"/>
      <c r="V15" s="12"/>
      <c r="W15" s="12"/>
    </row>
    <row r="16" spans="1:23" s="1" customFormat="1" ht="15" customHeight="1" x14ac:dyDescent="0.2">
      <c r="A16" s="1058"/>
      <c r="B16" s="1062"/>
      <c r="C16" s="1020"/>
      <c r="D16" s="62"/>
      <c r="E16" s="1053"/>
      <c r="F16" s="706" t="s">
        <v>201</v>
      </c>
      <c r="G16" s="1184"/>
      <c r="H16" s="243" t="s">
        <v>58</v>
      </c>
      <c r="I16" s="235">
        <v>44.4</v>
      </c>
      <c r="J16" s="40">
        <v>48.1</v>
      </c>
      <c r="K16" s="641"/>
      <c r="L16" s="40"/>
      <c r="M16" s="1132"/>
      <c r="N16" s="348"/>
      <c r="O16" s="125"/>
      <c r="P16" s="126"/>
      <c r="Q16" s="144"/>
      <c r="R16" s="12"/>
      <c r="S16" s="12"/>
      <c r="T16" s="12"/>
      <c r="U16" s="12"/>
      <c r="V16" s="12"/>
      <c r="W16" s="12"/>
    </row>
    <row r="17" spans="1:23" s="1" customFormat="1" ht="18" customHeight="1" x14ac:dyDescent="0.2">
      <c r="A17" s="1058"/>
      <c r="B17" s="1062"/>
      <c r="C17" s="1020"/>
      <c r="D17" s="62" t="s">
        <v>7</v>
      </c>
      <c r="E17" s="306" t="s">
        <v>14</v>
      </c>
      <c r="F17" s="548"/>
      <c r="G17" s="1184"/>
      <c r="H17" s="243"/>
      <c r="I17" s="235"/>
      <c r="J17" s="40"/>
      <c r="K17" s="641"/>
      <c r="L17" s="40"/>
      <c r="M17" s="1132"/>
      <c r="N17" s="348"/>
      <c r="O17" s="125"/>
      <c r="P17" s="126"/>
      <c r="Q17" s="144"/>
      <c r="R17" s="12"/>
      <c r="S17" s="12"/>
      <c r="T17" s="12"/>
      <c r="U17" s="12"/>
      <c r="V17" s="12"/>
      <c r="W17" s="12"/>
    </row>
    <row r="18" spans="1:23" s="1" customFormat="1" ht="18" customHeight="1" x14ac:dyDescent="0.2">
      <c r="A18" s="1059"/>
      <c r="B18" s="1063"/>
      <c r="C18" s="1051"/>
      <c r="D18" s="62" t="s">
        <v>21</v>
      </c>
      <c r="E18" s="101" t="s">
        <v>16</v>
      </c>
      <c r="F18" s="548"/>
      <c r="G18" s="94"/>
      <c r="H18" s="243"/>
      <c r="I18" s="230"/>
      <c r="J18" s="199"/>
      <c r="K18" s="198"/>
      <c r="L18" s="199"/>
      <c r="M18" s="1132"/>
      <c r="N18" s="348"/>
      <c r="O18" s="125"/>
      <c r="P18" s="126"/>
      <c r="Q18" s="144"/>
      <c r="R18" s="12"/>
      <c r="S18" s="12"/>
      <c r="T18" s="12"/>
      <c r="U18" s="12"/>
      <c r="V18" s="12"/>
      <c r="W18" s="12"/>
    </row>
    <row r="19" spans="1:23" s="1" customFormat="1" ht="27.75" customHeight="1" x14ac:dyDescent="0.2">
      <c r="A19" s="1059"/>
      <c r="B19" s="1063"/>
      <c r="C19" s="1051"/>
      <c r="D19" s="62" t="s">
        <v>25</v>
      </c>
      <c r="E19" s="101" t="s">
        <v>17</v>
      </c>
      <c r="F19" s="548"/>
      <c r="G19" s="94"/>
      <c r="H19" s="244"/>
      <c r="I19" s="375"/>
      <c r="J19" s="200"/>
      <c r="K19" s="201"/>
      <c r="L19" s="200"/>
      <c r="M19" s="1132"/>
      <c r="N19" s="348"/>
      <c r="O19" s="125"/>
      <c r="P19" s="126"/>
      <c r="Q19" s="144"/>
      <c r="R19" s="12"/>
      <c r="S19" s="12"/>
      <c r="T19" s="12"/>
      <c r="U19" s="12"/>
      <c r="V19" s="12"/>
      <c r="W19" s="12"/>
    </row>
    <row r="20" spans="1:23" s="1" customFormat="1" ht="29.25" customHeight="1" x14ac:dyDescent="0.2">
      <c r="A20" s="1059"/>
      <c r="B20" s="1063"/>
      <c r="C20" s="1051"/>
      <c r="D20" s="62" t="s">
        <v>28</v>
      </c>
      <c r="E20" s="101" t="s">
        <v>18</v>
      </c>
      <c r="F20" s="548"/>
      <c r="G20" s="94"/>
      <c r="H20" s="244"/>
      <c r="I20" s="375"/>
      <c r="J20" s="200"/>
      <c r="K20" s="201"/>
      <c r="L20" s="200"/>
      <c r="M20" s="1132"/>
      <c r="N20" s="348"/>
      <c r="O20" s="125"/>
      <c r="P20" s="126"/>
      <c r="Q20" s="144"/>
      <c r="R20" s="12"/>
      <c r="S20" s="12"/>
      <c r="T20" s="12"/>
      <c r="U20" s="12"/>
      <c r="V20" s="12"/>
      <c r="W20" s="12"/>
    </row>
    <row r="21" spans="1:23" s="1" customFormat="1" ht="14.25" customHeight="1" x14ac:dyDescent="0.2">
      <c r="A21" s="1059"/>
      <c r="B21" s="1063"/>
      <c r="C21" s="1051"/>
      <c r="D21" s="62" t="s">
        <v>38</v>
      </c>
      <c r="E21" s="927" t="s">
        <v>19</v>
      </c>
      <c r="F21" s="548"/>
      <c r="G21" s="94"/>
      <c r="H21" s="395"/>
      <c r="I21" s="448"/>
      <c r="J21" s="214"/>
      <c r="K21" s="215"/>
      <c r="L21" s="448"/>
      <c r="M21" s="1132"/>
      <c r="N21" s="348"/>
      <c r="O21" s="125"/>
      <c r="P21" s="126"/>
      <c r="Q21" s="144"/>
      <c r="R21" s="12"/>
      <c r="S21" s="12"/>
      <c r="T21" s="12"/>
      <c r="U21" s="12"/>
      <c r="V21" s="12"/>
      <c r="W21" s="12"/>
    </row>
    <row r="22" spans="1:23" s="1" customFormat="1" ht="17.25" customHeight="1" thickBot="1" x14ac:dyDescent="0.25">
      <c r="A22" s="1060"/>
      <c r="B22" s="1064"/>
      <c r="C22" s="1052"/>
      <c r="D22" s="62"/>
      <c r="E22" s="925"/>
      <c r="F22" s="549"/>
      <c r="G22" s="95"/>
      <c r="H22" s="284" t="s">
        <v>20</v>
      </c>
      <c r="I22" s="447">
        <f>SUM(I14:I21)</f>
        <v>214.3</v>
      </c>
      <c r="J22" s="256">
        <f>SUM(J14:J21)</f>
        <v>218</v>
      </c>
      <c r="K22" s="118">
        <f>SUM(K14:K21)</f>
        <v>214.3</v>
      </c>
      <c r="L22" s="447">
        <f>SUM(L14:L21)</f>
        <v>214.3</v>
      </c>
      <c r="M22" s="1133"/>
      <c r="N22" s="349"/>
      <c r="O22" s="127"/>
      <c r="P22" s="128"/>
      <c r="Q22" s="145"/>
      <c r="R22" s="12"/>
      <c r="S22" s="12"/>
      <c r="T22" s="12"/>
      <c r="U22" s="12"/>
      <c r="V22" s="12"/>
      <c r="W22" s="12"/>
    </row>
    <row r="23" spans="1:23" s="1" customFormat="1" ht="26.25" customHeight="1" x14ac:dyDescent="0.2">
      <c r="A23" s="44" t="s">
        <v>7</v>
      </c>
      <c r="B23" s="22" t="s">
        <v>7</v>
      </c>
      <c r="C23" s="1019" t="s">
        <v>21</v>
      </c>
      <c r="D23" s="61"/>
      <c r="E23" s="1054" t="s">
        <v>22</v>
      </c>
      <c r="F23" s="572" t="s">
        <v>190</v>
      </c>
      <c r="G23" s="1183" t="s">
        <v>233</v>
      </c>
      <c r="H23" s="247" t="s">
        <v>23</v>
      </c>
      <c r="I23" s="376">
        <v>825.7</v>
      </c>
      <c r="J23" s="202">
        <v>990.6</v>
      </c>
      <c r="K23" s="203">
        <v>939.1</v>
      </c>
      <c r="L23" s="376">
        <v>939.1</v>
      </c>
      <c r="M23" s="1084" t="s">
        <v>24</v>
      </c>
      <c r="N23" s="713">
        <v>107</v>
      </c>
      <c r="O23" s="106">
        <v>106</v>
      </c>
      <c r="P23" s="715">
        <v>106</v>
      </c>
      <c r="Q23" s="143">
        <v>106</v>
      </c>
      <c r="R23" s="12"/>
      <c r="S23" s="12"/>
      <c r="T23" s="12"/>
      <c r="U23" s="12"/>
      <c r="V23" s="12"/>
      <c r="W23" s="12"/>
    </row>
    <row r="24" spans="1:23" s="1" customFormat="1" ht="26.25" customHeight="1" x14ac:dyDescent="0.2">
      <c r="A24" s="710"/>
      <c r="B24" s="712"/>
      <c r="C24" s="1020"/>
      <c r="D24" s="62"/>
      <c r="E24" s="1055"/>
      <c r="F24" s="573" t="s">
        <v>201</v>
      </c>
      <c r="G24" s="1184"/>
      <c r="H24" s="446" t="s">
        <v>12</v>
      </c>
      <c r="I24" s="209">
        <v>489.2</v>
      </c>
      <c r="J24" s="210">
        <v>601.5</v>
      </c>
      <c r="K24" s="208">
        <v>601.5</v>
      </c>
      <c r="L24" s="209">
        <v>601.5</v>
      </c>
      <c r="M24" s="1084"/>
      <c r="N24" s="714"/>
      <c r="O24" s="57"/>
      <c r="P24" s="716"/>
      <c r="Q24" s="146"/>
      <c r="R24" s="183"/>
      <c r="S24" s="12"/>
      <c r="T24" s="12"/>
      <c r="U24" s="12"/>
      <c r="V24" s="12"/>
      <c r="W24" s="12"/>
    </row>
    <row r="25" spans="1:23" s="1" customFormat="1" ht="17.25" customHeight="1" thickBot="1" x14ac:dyDescent="0.25">
      <c r="A25" s="45"/>
      <c r="B25" s="21"/>
      <c r="C25" s="1021"/>
      <c r="D25" s="63"/>
      <c r="E25" s="1056"/>
      <c r="F25" s="571"/>
      <c r="G25" s="1184"/>
      <c r="H25" s="284" t="s">
        <v>20</v>
      </c>
      <c r="I25" s="447">
        <f>SUM(I23:I24)</f>
        <v>1314.9</v>
      </c>
      <c r="J25" s="256">
        <f t="shared" ref="J25:L25" si="0">SUM(J23:J24)</f>
        <v>1592.1</v>
      </c>
      <c r="K25" s="118">
        <f t="shared" si="0"/>
        <v>1540.6</v>
      </c>
      <c r="L25" s="447">
        <f t="shared" si="0"/>
        <v>1540.6</v>
      </c>
      <c r="M25" s="1085"/>
      <c r="N25" s="353"/>
      <c r="O25" s="131"/>
      <c r="P25" s="132"/>
      <c r="Q25" s="150"/>
      <c r="R25" s="12"/>
      <c r="S25" s="12"/>
      <c r="T25" s="12"/>
      <c r="U25" s="12"/>
      <c r="V25" s="12"/>
      <c r="W25" s="12"/>
    </row>
    <row r="26" spans="1:23" s="1" customFormat="1" ht="54" customHeight="1" x14ac:dyDescent="0.2">
      <c r="A26" s="44" t="s">
        <v>7</v>
      </c>
      <c r="B26" s="36" t="s">
        <v>7</v>
      </c>
      <c r="C26" s="37" t="s">
        <v>25</v>
      </c>
      <c r="D26" s="61"/>
      <c r="E26" s="926" t="s">
        <v>26</v>
      </c>
      <c r="F26" s="703" t="s">
        <v>95</v>
      </c>
      <c r="G26" s="1184"/>
      <c r="H26" s="249" t="s">
        <v>23</v>
      </c>
      <c r="I26" s="377">
        <v>206</v>
      </c>
      <c r="J26" s="193">
        <v>225.8</v>
      </c>
      <c r="K26" s="206">
        <v>206</v>
      </c>
      <c r="L26" s="193">
        <v>206.2</v>
      </c>
      <c r="M26" s="104" t="s">
        <v>68</v>
      </c>
      <c r="N26" s="247">
        <v>4100</v>
      </c>
      <c r="O26" s="30">
        <v>6300</v>
      </c>
      <c r="P26" s="111">
        <v>6400</v>
      </c>
      <c r="Q26" s="147">
        <v>6500</v>
      </c>
      <c r="R26" s="12"/>
      <c r="S26" s="12"/>
      <c r="T26" s="12"/>
      <c r="U26" s="12"/>
      <c r="V26" s="12"/>
      <c r="W26" s="12"/>
    </row>
    <row r="27" spans="1:23" s="1" customFormat="1" ht="54.75" customHeight="1" x14ac:dyDescent="0.2">
      <c r="A27" s="710"/>
      <c r="B27" s="39"/>
      <c r="C27" s="701"/>
      <c r="D27" s="62"/>
      <c r="E27" s="927"/>
      <c r="F27" s="706" t="s">
        <v>201</v>
      </c>
      <c r="G27" s="650"/>
      <c r="H27" s="384" t="s">
        <v>23</v>
      </c>
      <c r="I27" s="209">
        <v>128</v>
      </c>
      <c r="J27" s="204">
        <v>152.1</v>
      </c>
      <c r="K27" s="762">
        <v>123.6</v>
      </c>
      <c r="L27" s="204">
        <v>123.6</v>
      </c>
      <c r="M27" s="105" t="s">
        <v>99</v>
      </c>
      <c r="N27" s="395">
        <v>5</v>
      </c>
      <c r="O27" s="70"/>
      <c r="P27" s="449"/>
      <c r="Q27" s="450"/>
      <c r="R27" s="180"/>
      <c r="S27" s="12"/>
      <c r="T27" s="12"/>
      <c r="U27" s="12"/>
      <c r="V27" s="12"/>
      <c r="W27" s="12"/>
    </row>
    <row r="28" spans="1:23" s="1" customFormat="1" ht="41.25" customHeight="1" x14ac:dyDescent="0.2">
      <c r="A28" s="710"/>
      <c r="B28" s="39"/>
      <c r="C28" s="701"/>
      <c r="D28" s="62"/>
      <c r="E28" s="697"/>
      <c r="F28" s="706" t="s">
        <v>190</v>
      </c>
      <c r="G28" s="650"/>
      <c r="H28" s="254" t="s">
        <v>23</v>
      </c>
      <c r="I28" s="235">
        <f>25.7+32+23.6</f>
        <v>81.300000000000011</v>
      </c>
      <c r="J28" s="40"/>
      <c r="K28" s="641"/>
      <c r="L28" s="40"/>
      <c r="M28" s="304" t="s">
        <v>167</v>
      </c>
      <c r="N28" s="714">
        <v>49</v>
      </c>
      <c r="O28" s="70"/>
      <c r="P28" s="449"/>
      <c r="Q28" s="450"/>
      <c r="R28" s="180"/>
      <c r="S28" s="12"/>
      <c r="T28" s="12"/>
      <c r="U28" s="12"/>
      <c r="V28" s="12"/>
      <c r="W28" s="12"/>
    </row>
    <row r="29" spans="1:23" s="1" customFormat="1" ht="54.6" customHeight="1" x14ac:dyDescent="0.2">
      <c r="A29" s="46"/>
      <c r="B29" s="35"/>
      <c r="C29" s="28"/>
      <c r="D29" s="62"/>
      <c r="E29" s="101"/>
      <c r="F29" s="308"/>
      <c r="G29" s="650"/>
      <c r="H29" s="250" t="s">
        <v>27</v>
      </c>
      <c r="I29" s="227">
        <v>3.1</v>
      </c>
      <c r="J29" s="211">
        <v>3.1</v>
      </c>
      <c r="K29" s="208">
        <v>3.1</v>
      </c>
      <c r="L29" s="209">
        <v>3.1</v>
      </c>
      <c r="M29" s="1115" t="s">
        <v>82</v>
      </c>
      <c r="N29" s="350">
        <v>122200</v>
      </c>
      <c r="O29" s="768">
        <v>122300</v>
      </c>
      <c r="P29" s="329">
        <v>122500</v>
      </c>
      <c r="Q29" s="356">
        <v>123000</v>
      </c>
      <c r="R29" s="12"/>
      <c r="S29" s="12"/>
      <c r="T29" s="12"/>
      <c r="U29" s="12"/>
      <c r="V29" s="12"/>
      <c r="W29" s="12"/>
    </row>
    <row r="30" spans="1:23" s="1" customFormat="1" ht="15.6" customHeight="1" x14ac:dyDescent="0.2">
      <c r="A30" s="46"/>
      <c r="B30" s="35"/>
      <c r="C30" s="28"/>
      <c r="D30" s="62"/>
      <c r="E30" s="697"/>
      <c r="F30" s="308"/>
      <c r="G30" s="94"/>
      <c r="H30" s="251" t="s">
        <v>60</v>
      </c>
      <c r="I30" s="209">
        <v>0.7</v>
      </c>
      <c r="J30" s="204">
        <v>1.2</v>
      </c>
      <c r="K30" s="762"/>
      <c r="L30" s="204"/>
      <c r="M30" s="1116"/>
      <c r="N30" s="351"/>
      <c r="O30" s="194"/>
      <c r="P30" s="190"/>
      <c r="Q30" s="451"/>
      <c r="R30" s="12"/>
      <c r="S30" s="12"/>
      <c r="T30" s="12"/>
      <c r="U30" s="12"/>
      <c r="V30" s="12"/>
      <c r="W30" s="12"/>
    </row>
    <row r="31" spans="1:23" s="1" customFormat="1" ht="30" customHeight="1" x14ac:dyDescent="0.2">
      <c r="A31" s="710"/>
      <c r="B31" s="39"/>
      <c r="C31" s="701"/>
      <c r="D31" s="62"/>
      <c r="E31" s="101"/>
      <c r="F31" s="308"/>
      <c r="G31" s="94"/>
      <c r="H31" s="250" t="s">
        <v>12</v>
      </c>
      <c r="I31" s="209">
        <v>104.3</v>
      </c>
      <c r="J31" s="210">
        <v>150.6</v>
      </c>
      <c r="K31" s="208">
        <v>150.6</v>
      </c>
      <c r="L31" s="210">
        <v>150.6</v>
      </c>
      <c r="M31" s="78" t="s">
        <v>224</v>
      </c>
      <c r="N31" s="352">
        <v>6.5</v>
      </c>
      <c r="O31" s="188">
        <v>8</v>
      </c>
      <c r="P31" s="189">
        <v>8</v>
      </c>
      <c r="Q31" s="148">
        <v>8</v>
      </c>
      <c r="R31" s="12"/>
      <c r="S31" s="12"/>
      <c r="T31" s="12"/>
      <c r="U31" s="12"/>
      <c r="V31" s="12"/>
      <c r="W31" s="12"/>
    </row>
    <row r="32" spans="1:23" s="1" customFormat="1" ht="25.5" customHeight="1" x14ac:dyDescent="0.2">
      <c r="A32" s="710"/>
      <c r="B32" s="39"/>
      <c r="C32" s="701"/>
      <c r="D32" s="62"/>
      <c r="E32" s="101"/>
      <c r="F32" s="308"/>
      <c r="G32" s="94"/>
      <c r="H32" s="250" t="s">
        <v>12</v>
      </c>
      <c r="I32" s="209">
        <v>4.3</v>
      </c>
      <c r="J32" s="195"/>
      <c r="K32" s="763"/>
      <c r="L32" s="195"/>
      <c r="M32" s="109" t="s">
        <v>92</v>
      </c>
      <c r="N32" s="736">
        <v>4</v>
      </c>
      <c r="O32" s="525"/>
      <c r="P32" s="526"/>
      <c r="Q32" s="527"/>
      <c r="R32" s="12"/>
      <c r="S32" s="12"/>
      <c r="T32" s="12"/>
      <c r="U32" s="12"/>
      <c r="V32" s="12"/>
      <c r="W32" s="12"/>
    </row>
    <row r="33" spans="1:23" s="1" customFormat="1" ht="42.75" customHeight="1" x14ac:dyDescent="0.2">
      <c r="A33" s="710"/>
      <c r="B33" s="39"/>
      <c r="C33" s="701"/>
      <c r="D33" s="62"/>
      <c r="E33" s="101"/>
      <c r="F33" s="308"/>
      <c r="G33" s="94"/>
      <c r="H33" s="250" t="s">
        <v>12</v>
      </c>
      <c r="I33" s="209">
        <v>26.9</v>
      </c>
      <c r="J33" s="195"/>
      <c r="K33" s="763"/>
      <c r="L33" s="195"/>
      <c r="M33" s="109" t="s">
        <v>138</v>
      </c>
      <c r="N33" s="736">
        <v>100</v>
      </c>
      <c r="O33" s="525"/>
      <c r="P33" s="526"/>
      <c r="Q33" s="527"/>
      <c r="R33" s="12"/>
      <c r="S33" s="12"/>
      <c r="T33" s="12"/>
      <c r="U33" s="12"/>
      <c r="V33" s="12"/>
      <c r="W33" s="12"/>
    </row>
    <row r="34" spans="1:23" s="1" customFormat="1" ht="43.15" customHeight="1" x14ac:dyDescent="0.2">
      <c r="A34" s="710"/>
      <c r="B34" s="39"/>
      <c r="C34" s="701"/>
      <c r="D34" s="62"/>
      <c r="E34" s="101"/>
      <c r="F34" s="308"/>
      <c r="G34" s="94"/>
      <c r="H34" s="250" t="s">
        <v>12</v>
      </c>
      <c r="I34" s="209"/>
      <c r="J34" s="195">
        <v>6.7</v>
      </c>
      <c r="K34" s="763">
        <v>0.9</v>
      </c>
      <c r="L34" s="195">
        <v>0.9</v>
      </c>
      <c r="M34" s="109" t="s">
        <v>232</v>
      </c>
      <c r="N34" s="736"/>
      <c r="O34" s="525" t="s">
        <v>188</v>
      </c>
      <c r="P34" s="526" t="s">
        <v>189</v>
      </c>
      <c r="Q34" s="527" t="s">
        <v>189</v>
      </c>
      <c r="R34" s="12"/>
      <c r="S34" s="12"/>
      <c r="T34" s="12"/>
      <c r="U34" s="12"/>
      <c r="V34" s="12"/>
      <c r="W34" s="12"/>
    </row>
    <row r="35" spans="1:23" s="1" customFormat="1" ht="52.5" customHeight="1" x14ac:dyDescent="0.2">
      <c r="A35" s="710"/>
      <c r="B35" s="39"/>
      <c r="C35" s="701"/>
      <c r="D35" s="62"/>
      <c r="E35" s="101"/>
      <c r="F35" s="308"/>
      <c r="G35" s="94"/>
      <c r="H35" s="250" t="s">
        <v>12</v>
      </c>
      <c r="I35" s="209"/>
      <c r="J35" s="195">
        <v>6.7</v>
      </c>
      <c r="K35" s="763">
        <v>6.7</v>
      </c>
      <c r="L35" s="195">
        <v>6.7</v>
      </c>
      <c r="M35" s="109" t="s">
        <v>206</v>
      </c>
      <c r="N35" s="736"/>
      <c r="O35" s="525" t="s">
        <v>191</v>
      </c>
      <c r="P35" s="526" t="s">
        <v>191</v>
      </c>
      <c r="Q35" s="527" t="s">
        <v>191</v>
      </c>
      <c r="R35" s="12"/>
      <c r="S35" s="12"/>
      <c r="T35" s="12"/>
      <c r="U35" s="12"/>
      <c r="V35" s="12"/>
      <c r="W35" s="12"/>
    </row>
    <row r="36" spans="1:23" s="1" customFormat="1" ht="26.25" customHeight="1" x14ac:dyDescent="0.2">
      <c r="A36" s="710"/>
      <c r="B36" s="39"/>
      <c r="C36" s="701"/>
      <c r="D36" s="62"/>
      <c r="E36" s="101"/>
      <c r="F36" s="308"/>
      <c r="G36" s="94"/>
      <c r="H36" s="250" t="s">
        <v>12</v>
      </c>
      <c r="I36" s="209"/>
      <c r="J36" s="195">
        <v>9.1</v>
      </c>
      <c r="K36" s="763"/>
      <c r="L36" s="195"/>
      <c r="M36" s="1145" t="s">
        <v>209</v>
      </c>
      <c r="N36" s="736"/>
      <c r="O36" s="616" t="s">
        <v>123</v>
      </c>
      <c r="P36" s="617"/>
      <c r="Q36" s="618"/>
      <c r="R36" s="12"/>
      <c r="S36" s="12"/>
      <c r="T36" s="12"/>
      <c r="U36" s="12"/>
      <c r="V36" s="12"/>
      <c r="W36" s="12"/>
    </row>
    <row r="37" spans="1:23" s="1" customFormat="1" ht="17.45" customHeight="1" thickBot="1" x14ac:dyDescent="0.25">
      <c r="A37" s="47"/>
      <c r="B37" s="23"/>
      <c r="C37" s="24"/>
      <c r="D37" s="63"/>
      <c r="E37" s="102"/>
      <c r="F37" s="309"/>
      <c r="G37" s="95"/>
      <c r="H37" s="246" t="s">
        <v>20</v>
      </c>
      <c r="I37" s="115">
        <f>SUM(I26:I36)</f>
        <v>554.59999999999991</v>
      </c>
      <c r="J37" s="158">
        <f>SUM(J26:J36)</f>
        <v>555.30000000000007</v>
      </c>
      <c r="K37" s="118">
        <f>SUM(K26:K36)</f>
        <v>490.90000000000003</v>
      </c>
      <c r="L37" s="115">
        <f>SUM(L26:L36)</f>
        <v>491.09999999999997</v>
      </c>
      <c r="M37" s="1146"/>
      <c r="N37" s="672"/>
      <c r="O37" s="583"/>
      <c r="P37" s="674"/>
      <c r="Q37" s="683"/>
      <c r="R37" s="12"/>
      <c r="S37" s="12"/>
      <c r="T37" s="12"/>
      <c r="U37" s="12"/>
      <c r="V37" s="12"/>
      <c r="W37" s="12"/>
    </row>
    <row r="38" spans="1:23" s="1" customFormat="1" ht="18" customHeight="1" x14ac:dyDescent="0.2">
      <c r="A38" s="44" t="s">
        <v>7</v>
      </c>
      <c r="B38" s="22" t="s">
        <v>7</v>
      </c>
      <c r="C38" s="1019" t="s">
        <v>28</v>
      </c>
      <c r="D38" s="61"/>
      <c r="E38" s="926" t="s">
        <v>83</v>
      </c>
      <c r="F38" s="703" t="s">
        <v>95</v>
      </c>
      <c r="G38" s="1183" t="s">
        <v>165</v>
      </c>
      <c r="H38" s="247" t="s">
        <v>69</v>
      </c>
      <c r="I38" s="378">
        <v>120.3</v>
      </c>
      <c r="J38" s="481">
        <v>111.9</v>
      </c>
      <c r="K38" s="212"/>
      <c r="L38" s="378"/>
      <c r="M38" s="1111" t="s">
        <v>71</v>
      </c>
      <c r="N38" s="713">
        <v>3800</v>
      </c>
      <c r="O38" s="106">
        <v>4265</v>
      </c>
      <c r="P38" s="715"/>
      <c r="Q38" s="143"/>
      <c r="R38" s="12"/>
      <c r="S38" s="12"/>
      <c r="T38" s="12"/>
      <c r="U38" s="12"/>
      <c r="V38" s="12"/>
      <c r="W38" s="12"/>
    </row>
    <row r="39" spans="1:23" s="1" customFormat="1" ht="18" customHeight="1" x14ac:dyDescent="0.2">
      <c r="A39" s="710"/>
      <c r="B39" s="712"/>
      <c r="C39" s="1020"/>
      <c r="D39" s="62"/>
      <c r="E39" s="927"/>
      <c r="F39" s="706" t="s">
        <v>190</v>
      </c>
      <c r="G39" s="1184"/>
      <c r="H39" s="740" t="s">
        <v>12</v>
      </c>
      <c r="I39" s="379">
        <v>9.4</v>
      </c>
      <c r="J39" s="211">
        <v>9.6</v>
      </c>
      <c r="K39" s="452"/>
      <c r="L39" s="453"/>
      <c r="M39" s="1084"/>
      <c r="N39" s="714"/>
      <c r="O39" s="57"/>
      <c r="P39" s="716"/>
      <c r="Q39" s="146"/>
      <c r="R39" s="12"/>
      <c r="S39" s="12"/>
      <c r="T39" s="12"/>
      <c r="U39" s="12"/>
      <c r="V39" s="12"/>
      <c r="W39" s="12"/>
    </row>
    <row r="40" spans="1:23" s="1" customFormat="1" ht="28.5" customHeight="1" x14ac:dyDescent="0.2">
      <c r="A40" s="710"/>
      <c r="B40" s="712"/>
      <c r="C40" s="1020"/>
      <c r="D40" s="62"/>
      <c r="E40" s="927"/>
      <c r="F40" s="548"/>
      <c r="G40" s="1184"/>
      <c r="H40" s="740" t="s">
        <v>23</v>
      </c>
      <c r="I40" s="230">
        <v>9.4</v>
      </c>
      <c r="J40" s="211">
        <v>9.6999999999999993</v>
      </c>
      <c r="K40" s="452"/>
      <c r="L40" s="453"/>
      <c r="M40" s="1084"/>
      <c r="N40" s="714"/>
      <c r="O40" s="57"/>
      <c r="P40" s="716"/>
      <c r="Q40" s="146"/>
      <c r="R40" s="12"/>
      <c r="S40" s="12"/>
      <c r="T40" s="12"/>
      <c r="U40" s="12"/>
      <c r="V40" s="12"/>
      <c r="W40" s="12"/>
    </row>
    <row r="41" spans="1:23" s="1" customFormat="1" ht="18" customHeight="1" thickBot="1" x14ac:dyDescent="0.25">
      <c r="A41" s="45"/>
      <c r="B41" s="21"/>
      <c r="C41" s="1021"/>
      <c r="D41" s="63"/>
      <c r="E41" s="925"/>
      <c r="F41" s="549"/>
      <c r="G41" s="1184"/>
      <c r="H41" s="246" t="s">
        <v>20</v>
      </c>
      <c r="I41" s="115">
        <f>SUM(I38:I40)</f>
        <v>139.1</v>
      </c>
      <c r="J41" s="158">
        <f t="shared" ref="J41:L41" si="1">SUM(J38:J40)</f>
        <v>131.19999999999999</v>
      </c>
      <c r="K41" s="118">
        <f t="shared" si="1"/>
        <v>0</v>
      </c>
      <c r="L41" s="115">
        <f t="shared" si="1"/>
        <v>0</v>
      </c>
      <c r="M41" s="1085"/>
      <c r="N41" s="353"/>
      <c r="O41" s="131"/>
      <c r="P41" s="132"/>
      <c r="Q41" s="150"/>
      <c r="R41" s="12"/>
      <c r="S41" s="12"/>
      <c r="T41" s="12"/>
      <c r="U41" s="12"/>
      <c r="V41" s="12"/>
      <c r="W41" s="12"/>
    </row>
    <row r="42" spans="1:23" s="1" customFormat="1" ht="18.75" customHeight="1" x14ac:dyDescent="0.2">
      <c r="A42" s="44" t="s">
        <v>7</v>
      </c>
      <c r="B42" s="22" t="s">
        <v>7</v>
      </c>
      <c r="C42" s="1019" t="s">
        <v>38</v>
      </c>
      <c r="D42" s="61"/>
      <c r="E42" s="926" t="s">
        <v>72</v>
      </c>
      <c r="F42" s="1048" t="s">
        <v>190</v>
      </c>
      <c r="G42" s="1184"/>
      <c r="H42" s="241" t="s">
        <v>12</v>
      </c>
      <c r="I42" s="229">
        <v>5</v>
      </c>
      <c r="J42" s="475">
        <v>5</v>
      </c>
      <c r="K42" s="206">
        <v>5</v>
      </c>
      <c r="L42" s="377">
        <v>5</v>
      </c>
      <c r="M42" s="1111" t="s">
        <v>86</v>
      </c>
      <c r="N42" s="713">
        <v>1</v>
      </c>
      <c r="O42" s="106">
        <v>1</v>
      </c>
      <c r="P42" s="715">
        <v>1</v>
      </c>
      <c r="Q42" s="143">
        <v>1</v>
      </c>
      <c r="R42" s="12"/>
      <c r="S42" s="12"/>
      <c r="T42" s="12"/>
      <c r="U42" s="12"/>
      <c r="V42" s="12"/>
      <c r="W42" s="12"/>
    </row>
    <row r="43" spans="1:23" s="1" customFormat="1" ht="14.25" customHeight="1" thickBot="1" x14ac:dyDescent="0.25">
      <c r="A43" s="45"/>
      <c r="B43" s="21"/>
      <c r="C43" s="1021"/>
      <c r="D43" s="63"/>
      <c r="E43" s="925"/>
      <c r="F43" s="1049"/>
      <c r="G43" s="1184"/>
      <c r="H43" s="246" t="s">
        <v>20</v>
      </c>
      <c r="I43" s="115">
        <f t="shared" ref="I43:L43" si="2">SUM(I42:I42)</f>
        <v>5</v>
      </c>
      <c r="J43" s="158">
        <f t="shared" si="2"/>
        <v>5</v>
      </c>
      <c r="K43" s="118">
        <f t="shared" si="2"/>
        <v>5</v>
      </c>
      <c r="L43" s="115">
        <f t="shared" si="2"/>
        <v>5</v>
      </c>
      <c r="M43" s="1084"/>
      <c r="N43" s="353"/>
      <c r="O43" s="131"/>
      <c r="P43" s="132"/>
      <c r="Q43" s="150"/>
      <c r="R43" s="12"/>
      <c r="S43" s="12"/>
      <c r="T43" s="12"/>
      <c r="U43" s="12"/>
      <c r="V43" s="12"/>
      <c r="W43" s="12"/>
    </row>
    <row r="44" spans="1:23" s="1" customFormat="1" ht="15.75" customHeight="1" x14ac:dyDescent="0.2">
      <c r="A44" s="44" t="s">
        <v>7</v>
      </c>
      <c r="B44" s="22" t="s">
        <v>7</v>
      </c>
      <c r="C44" s="1019" t="s">
        <v>39</v>
      </c>
      <c r="D44" s="61"/>
      <c r="E44" s="926" t="s">
        <v>80</v>
      </c>
      <c r="F44" s="1048" t="s">
        <v>95</v>
      </c>
      <c r="G44" s="1184"/>
      <c r="H44" s="395" t="s">
        <v>12</v>
      </c>
      <c r="I44" s="746">
        <v>1.1000000000000001</v>
      </c>
      <c r="J44" s="340"/>
      <c r="K44" s="221"/>
      <c r="L44" s="340"/>
      <c r="M44" s="1151" t="s">
        <v>153</v>
      </c>
      <c r="N44" s="1225">
        <v>2</v>
      </c>
      <c r="O44" s="1217"/>
      <c r="P44" s="1219"/>
      <c r="Q44" s="1221"/>
      <c r="R44" s="12"/>
      <c r="S44" s="12"/>
      <c r="T44" s="12"/>
      <c r="U44" s="12"/>
      <c r="V44" s="12"/>
      <c r="W44" s="12"/>
    </row>
    <row r="45" spans="1:23" s="1" customFormat="1" ht="15.75" customHeight="1" x14ac:dyDescent="0.2">
      <c r="A45" s="710"/>
      <c r="B45" s="712"/>
      <c r="C45" s="1020"/>
      <c r="D45" s="62"/>
      <c r="E45" s="927"/>
      <c r="F45" s="1212"/>
      <c r="G45" s="1184"/>
      <c r="H45" s="714" t="s">
        <v>75</v>
      </c>
      <c r="I45" s="744">
        <v>32.4</v>
      </c>
      <c r="J45" s="454"/>
      <c r="K45" s="173"/>
      <c r="L45" s="167"/>
      <c r="M45" s="1014"/>
      <c r="N45" s="1226"/>
      <c r="O45" s="1218"/>
      <c r="P45" s="1220"/>
      <c r="Q45" s="1222"/>
      <c r="R45" s="12"/>
      <c r="S45" s="178"/>
      <c r="T45" s="12"/>
      <c r="U45" s="12"/>
      <c r="V45" s="12"/>
      <c r="W45" s="12"/>
    </row>
    <row r="46" spans="1:23" s="1" customFormat="1" ht="15.75" customHeight="1" x14ac:dyDescent="0.2">
      <c r="A46" s="710"/>
      <c r="B46" s="712"/>
      <c r="C46" s="1020"/>
      <c r="D46" s="62"/>
      <c r="E46" s="927"/>
      <c r="F46" s="1212"/>
      <c r="G46" s="1184"/>
      <c r="H46" s="252" t="s">
        <v>23</v>
      </c>
      <c r="I46" s="167">
        <v>4.8</v>
      </c>
      <c r="J46" s="454"/>
      <c r="K46" s="173"/>
      <c r="L46" s="167"/>
      <c r="M46" s="1014"/>
      <c r="N46" s="354"/>
      <c r="O46" s="154"/>
      <c r="P46" s="417"/>
      <c r="Q46" s="357"/>
      <c r="R46" s="12"/>
      <c r="S46" s="178"/>
      <c r="T46" s="12"/>
      <c r="U46" s="12"/>
      <c r="V46" s="12"/>
      <c r="W46" s="12"/>
    </row>
    <row r="47" spans="1:23" s="1" customFormat="1" ht="14.25" customHeight="1" thickBot="1" x14ac:dyDescent="0.25">
      <c r="A47" s="45"/>
      <c r="B47" s="21"/>
      <c r="C47" s="1021"/>
      <c r="D47" s="63"/>
      <c r="E47" s="925"/>
      <c r="F47" s="1049"/>
      <c r="G47" s="1184"/>
      <c r="H47" s="246" t="s">
        <v>20</v>
      </c>
      <c r="I47" s="115">
        <f>SUM(I44:I46)</f>
        <v>38.299999999999997</v>
      </c>
      <c r="J47" s="158">
        <f t="shared" ref="J47:L47" si="3">SUM(J44:J46)</f>
        <v>0</v>
      </c>
      <c r="K47" s="118">
        <f t="shared" si="3"/>
        <v>0</v>
      </c>
      <c r="L47" s="115">
        <f t="shared" si="3"/>
        <v>0</v>
      </c>
      <c r="M47" s="1227"/>
      <c r="N47" s="672"/>
      <c r="O47" s="583"/>
      <c r="P47" s="674"/>
      <c r="Q47" s="683"/>
      <c r="R47" s="178"/>
      <c r="S47" s="12"/>
      <c r="T47" s="12"/>
      <c r="U47" s="12"/>
      <c r="V47" s="12"/>
      <c r="W47" s="12"/>
    </row>
    <row r="48" spans="1:23" s="1" customFormat="1" ht="40.5" customHeight="1" x14ac:dyDescent="0.2">
      <c r="A48" s="44" t="s">
        <v>7</v>
      </c>
      <c r="B48" s="22" t="s">
        <v>7</v>
      </c>
      <c r="C48" s="1019" t="s">
        <v>11</v>
      </c>
      <c r="D48" s="61"/>
      <c r="E48" s="926" t="s">
        <v>85</v>
      </c>
      <c r="F48" s="1048" t="s">
        <v>95</v>
      </c>
      <c r="G48" s="1184"/>
      <c r="H48" s="714" t="s">
        <v>75</v>
      </c>
      <c r="I48" s="381">
        <v>46.3</v>
      </c>
      <c r="J48" s="218"/>
      <c r="K48" s="234"/>
      <c r="L48" s="218"/>
      <c r="M48" s="84" t="s">
        <v>93</v>
      </c>
      <c r="N48" s="418">
        <v>2</v>
      </c>
      <c r="O48" s="455"/>
      <c r="P48" s="456"/>
      <c r="Q48" s="457"/>
      <c r="R48" s="12"/>
      <c r="S48" s="12"/>
      <c r="T48" s="12"/>
      <c r="U48" s="12"/>
      <c r="V48" s="12"/>
      <c r="W48" s="12"/>
    </row>
    <row r="49" spans="1:23" s="1" customFormat="1" ht="15" customHeight="1" x14ac:dyDescent="0.2">
      <c r="A49" s="710"/>
      <c r="B49" s="712"/>
      <c r="C49" s="1020"/>
      <c r="D49" s="62"/>
      <c r="E49" s="927"/>
      <c r="F49" s="1212"/>
      <c r="G49" s="1184"/>
      <c r="H49" s="252" t="s">
        <v>23</v>
      </c>
      <c r="I49" s="167">
        <v>9</v>
      </c>
      <c r="J49" s="454"/>
      <c r="K49" s="173"/>
      <c r="L49" s="167"/>
      <c r="M49" s="88" t="s">
        <v>112</v>
      </c>
      <c r="N49" s="736">
        <v>1</v>
      </c>
      <c r="O49" s="135"/>
      <c r="P49" s="136"/>
      <c r="Q49" s="152"/>
      <c r="R49" s="12"/>
      <c r="S49" s="12"/>
      <c r="T49" s="12"/>
      <c r="U49" s="12"/>
      <c r="V49" s="12"/>
      <c r="W49" s="12"/>
    </row>
    <row r="50" spans="1:23" s="1" customFormat="1" ht="16.899999999999999" customHeight="1" thickBot="1" x14ac:dyDescent="0.25">
      <c r="A50" s="45"/>
      <c r="B50" s="21"/>
      <c r="C50" s="1021"/>
      <c r="D50" s="63"/>
      <c r="E50" s="925"/>
      <c r="F50" s="1049"/>
      <c r="G50" s="1185"/>
      <c r="H50" s="246" t="s">
        <v>20</v>
      </c>
      <c r="I50" s="115">
        <f>SUM(I48:I49)</f>
        <v>55.3</v>
      </c>
      <c r="J50" s="158">
        <f t="shared" ref="J50:L50" si="4">SUM(J48:J49)</f>
        <v>0</v>
      </c>
      <c r="K50" s="118">
        <f t="shared" si="4"/>
        <v>0</v>
      </c>
      <c r="L50" s="115">
        <f t="shared" si="4"/>
        <v>0</v>
      </c>
      <c r="M50" s="107"/>
      <c r="N50" s="353"/>
      <c r="O50" s="131"/>
      <c r="P50" s="132"/>
      <c r="Q50" s="150"/>
      <c r="R50" s="178"/>
      <c r="S50" s="12"/>
      <c r="T50" s="12"/>
      <c r="U50" s="12"/>
      <c r="V50" s="12"/>
      <c r="W50" s="12"/>
    </row>
    <row r="51" spans="1:23" s="1" customFormat="1" ht="19.5" customHeight="1" x14ac:dyDescent="0.2">
      <c r="A51" s="44" t="s">
        <v>7</v>
      </c>
      <c r="B51" s="22" t="s">
        <v>7</v>
      </c>
      <c r="C51" s="700" t="s">
        <v>40</v>
      </c>
      <c r="D51" s="61"/>
      <c r="E51" s="926" t="s">
        <v>154</v>
      </c>
      <c r="F51" s="703" t="s">
        <v>95</v>
      </c>
      <c r="G51" s="1183" t="s">
        <v>166</v>
      </c>
      <c r="H51" s="253" t="s">
        <v>69</v>
      </c>
      <c r="I51" s="161">
        <v>125.5</v>
      </c>
      <c r="J51" s="338">
        <v>60</v>
      </c>
      <c r="K51" s="761">
        <v>25.1</v>
      </c>
      <c r="L51" s="159"/>
      <c r="M51" s="84" t="s">
        <v>125</v>
      </c>
      <c r="N51" s="418">
        <v>50</v>
      </c>
      <c r="O51" s="455">
        <v>80</v>
      </c>
      <c r="P51" s="456">
        <v>100</v>
      </c>
      <c r="Q51" s="147"/>
      <c r="R51" s="178"/>
      <c r="S51" s="12"/>
      <c r="T51" s="12"/>
      <c r="U51" s="12"/>
      <c r="V51" s="12"/>
      <c r="W51" s="12"/>
    </row>
    <row r="52" spans="1:23" s="1" customFormat="1" ht="27" customHeight="1" x14ac:dyDescent="0.2">
      <c r="A52" s="710"/>
      <c r="B52" s="712"/>
      <c r="C52" s="701"/>
      <c r="D52" s="62"/>
      <c r="E52" s="927"/>
      <c r="F52" s="706"/>
      <c r="G52" s="1184"/>
      <c r="H52" s="254"/>
      <c r="I52" s="382"/>
      <c r="J52" s="40"/>
      <c r="K52" s="641"/>
      <c r="L52" s="156"/>
      <c r="M52" s="613" t="s">
        <v>126</v>
      </c>
      <c r="N52" s="738">
        <v>1</v>
      </c>
      <c r="O52" s="133">
        <v>2</v>
      </c>
      <c r="P52" s="134">
        <v>1</v>
      </c>
      <c r="Q52" s="192"/>
      <c r="R52" s="178"/>
      <c r="S52" s="12"/>
      <c r="T52" s="12"/>
      <c r="U52" s="12"/>
      <c r="V52" s="12"/>
      <c r="W52" s="12"/>
    </row>
    <row r="53" spans="1:23" s="1" customFormat="1" ht="28.5" customHeight="1" x14ac:dyDescent="0.2">
      <c r="A53" s="710"/>
      <c r="B53" s="712"/>
      <c r="C53" s="701"/>
      <c r="D53" s="62"/>
      <c r="E53" s="927"/>
      <c r="F53" s="706" t="s">
        <v>190</v>
      </c>
      <c r="G53" s="1184"/>
      <c r="H53" s="254"/>
      <c r="I53" s="382"/>
      <c r="J53" s="156"/>
      <c r="K53" s="157"/>
      <c r="L53" s="156"/>
      <c r="M53" s="88" t="s">
        <v>213</v>
      </c>
      <c r="N53" s="614"/>
      <c r="O53" s="71">
        <v>7200</v>
      </c>
      <c r="P53" s="615">
        <v>7938</v>
      </c>
      <c r="Q53" s="191"/>
      <c r="R53" s="178"/>
      <c r="S53" s="12"/>
      <c r="T53" s="12"/>
      <c r="U53" s="12"/>
      <c r="V53" s="12"/>
      <c r="W53" s="12"/>
    </row>
    <row r="54" spans="1:23" s="1" customFormat="1" ht="34.15" customHeight="1" x14ac:dyDescent="0.2">
      <c r="A54" s="710"/>
      <c r="B54" s="712"/>
      <c r="C54" s="701"/>
      <c r="D54" s="62"/>
      <c r="E54" s="927"/>
      <c r="F54" s="706"/>
      <c r="G54" s="1184"/>
      <c r="H54" s="254"/>
      <c r="I54" s="382"/>
      <c r="J54" s="458"/>
      <c r="K54" s="459"/>
      <c r="L54" s="460"/>
      <c r="M54" s="1084"/>
      <c r="N54" s="714"/>
      <c r="O54" s="57"/>
      <c r="P54" s="716"/>
      <c r="Q54" s="146"/>
      <c r="R54" s="178"/>
      <c r="S54" s="12"/>
      <c r="T54" s="12"/>
      <c r="U54" s="12"/>
      <c r="V54" s="12"/>
      <c r="W54" s="12"/>
    </row>
    <row r="55" spans="1:23" s="1" customFormat="1" ht="16.5" customHeight="1" thickBot="1" x14ac:dyDescent="0.25">
      <c r="A55" s="45"/>
      <c r="B55" s="21"/>
      <c r="C55" s="702"/>
      <c r="D55" s="63"/>
      <c r="E55" s="925"/>
      <c r="F55" s="704"/>
      <c r="G55" s="1184"/>
      <c r="H55" s="246" t="s">
        <v>20</v>
      </c>
      <c r="I55" s="115">
        <f>I51</f>
        <v>125.5</v>
      </c>
      <c r="J55" s="158">
        <f t="shared" ref="J55:L55" si="5">J51</f>
        <v>60</v>
      </c>
      <c r="K55" s="118">
        <f t="shared" si="5"/>
        <v>25.1</v>
      </c>
      <c r="L55" s="115">
        <f t="shared" si="5"/>
        <v>0</v>
      </c>
      <c r="M55" s="1085"/>
      <c r="N55" s="353"/>
      <c r="O55" s="131"/>
      <c r="P55" s="132"/>
      <c r="Q55" s="150"/>
      <c r="R55" s="178"/>
      <c r="S55" s="12"/>
      <c r="T55" s="12"/>
      <c r="U55" s="12"/>
      <c r="V55" s="12"/>
      <c r="W55" s="12"/>
    </row>
    <row r="56" spans="1:23" s="1" customFormat="1" ht="15.75" customHeight="1" x14ac:dyDescent="0.2">
      <c r="A56" s="44" t="s">
        <v>7</v>
      </c>
      <c r="B56" s="22" t="s">
        <v>7</v>
      </c>
      <c r="C56" s="1019" t="s">
        <v>41</v>
      </c>
      <c r="D56" s="61"/>
      <c r="E56" s="926" t="s">
        <v>105</v>
      </c>
      <c r="F56" s="703" t="s">
        <v>95</v>
      </c>
      <c r="G56" s="1183" t="s">
        <v>100</v>
      </c>
      <c r="H56" s="713" t="s">
        <v>59</v>
      </c>
      <c r="I56" s="383">
        <v>9.5</v>
      </c>
      <c r="J56" s="481">
        <v>1.6</v>
      </c>
      <c r="K56" s="212"/>
      <c r="L56" s="378"/>
      <c r="M56" s="1099" t="s">
        <v>86</v>
      </c>
      <c r="N56" s="671">
        <v>2</v>
      </c>
      <c r="O56" s="582"/>
      <c r="P56" s="673"/>
      <c r="Q56" s="682"/>
      <c r="R56" s="12"/>
      <c r="S56" s="12"/>
      <c r="T56" s="12"/>
      <c r="U56" s="12"/>
      <c r="V56" s="12"/>
      <c r="W56" s="12"/>
    </row>
    <row r="57" spans="1:23" s="1" customFormat="1" ht="15.75" customHeight="1" x14ac:dyDescent="0.2">
      <c r="A57" s="710"/>
      <c r="B57" s="712"/>
      <c r="C57" s="1020"/>
      <c r="D57" s="62"/>
      <c r="E57" s="927"/>
      <c r="F57" s="706" t="s">
        <v>190</v>
      </c>
      <c r="G57" s="1184"/>
      <c r="H57" s="252" t="s">
        <v>70</v>
      </c>
      <c r="I57" s="217">
        <v>1.7</v>
      </c>
      <c r="J57" s="454">
        <v>0.3</v>
      </c>
      <c r="K57" s="216"/>
      <c r="L57" s="217"/>
      <c r="M57" s="1139"/>
      <c r="N57" s="737"/>
      <c r="O57" s="135"/>
      <c r="P57" s="136"/>
      <c r="Q57" s="152"/>
      <c r="R57" s="12"/>
      <c r="S57" s="12"/>
      <c r="T57" s="12"/>
      <c r="U57" s="12"/>
      <c r="V57" s="12"/>
      <c r="W57" s="12"/>
    </row>
    <row r="58" spans="1:23" s="1" customFormat="1" ht="15.75" customHeight="1" thickBot="1" x14ac:dyDescent="0.25">
      <c r="A58" s="710"/>
      <c r="B58" s="712"/>
      <c r="C58" s="1020"/>
      <c r="D58" s="62"/>
      <c r="E58" s="927"/>
      <c r="F58" s="548"/>
      <c r="G58" s="94"/>
      <c r="H58" s="246" t="s">
        <v>20</v>
      </c>
      <c r="I58" s="115">
        <f>SUM(I56:I57)</f>
        <v>11.2</v>
      </c>
      <c r="J58" s="158">
        <f t="shared" ref="J58:L58" si="6">SUM(J56:J57)</f>
        <v>1.9000000000000001</v>
      </c>
      <c r="K58" s="118">
        <f t="shared" si="6"/>
        <v>0</v>
      </c>
      <c r="L58" s="115">
        <f t="shared" si="6"/>
        <v>0</v>
      </c>
      <c r="M58" s="107"/>
      <c r="N58" s="353"/>
      <c r="O58" s="583"/>
      <c r="P58" s="132"/>
      <c r="Q58" s="150"/>
      <c r="R58" s="178"/>
      <c r="S58" s="12"/>
      <c r="T58" s="12"/>
      <c r="U58" s="12"/>
      <c r="V58" s="12"/>
      <c r="W58" s="12"/>
    </row>
    <row r="59" spans="1:23" s="1" customFormat="1" ht="19.149999999999999" customHeight="1" x14ac:dyDescent="0.2">
      <c r="A59" s="44" t="s">
        <v>7</v>
      </c>
      <c r="B59" s="22" t="s">
        <v>7</v>
      </c>
      <c r="C59" s="1019" t="s">
        <v>109</v>
      </c>
      <c r="D59" s="61"/>
      <c r="E59" s="926" t="s">
        <v>110</v>
      </c>
      <c r="F59" s="703" t="s">
        <v>95</v>
      </c>
      <c r="G59" s="1183" t="s">
        <v>100</v>
      </c>
      <c r="H59" s="713" t="s">
        <v>69</v>
      </c>
      <c r="I59" s="383">
        <f>34+2.2</f>
        <v>36.200000000000003</v>
      </c>
      <c r="J59" s="481">
        <v>39.9</v>
      </c>
      <c r="K59" s="203">
        <v>5.4</v>
      </c>
      <c r="L59" s="378"/>
      <c r="M59" s="1099" t="s">
        <v>111</v>
      </c>
      <c r="N59" s="671">
        <v>2820</v>
      </c>
      <c r="O59" s="582">
        <v>2640</v>
      </c>
      <c r="P59" s="673">
        <v>2640</v>
      </c>
      <c r="Q59" s="682"/>
      <c r="R59" s="12"/>
      <c r="S59" s="12"/>
      <c r="T59" s="12"/>
      <c r="U59" s="12"/>
      <c r="V59" s="12"/>
      <c r="W59" s="12"/>
    </row>
    <row r="60" spans="1:23" s="1" customFormat="1" ht="30" customHeight="1" x14ac:dyDescent="0.2">
      <c r="A60" s="710"/>
      <c r="B60" s="712"/>
      <c r="C60" s="1020"/>
      <c r="D60" s="62"/>
      <c r="E60" s="927"/>
      <c r="F60" s="706" t="s">
        <v>190</v>
      </c>
      <c r="G60" s="1184"/>
      <c r="H60" s="252" t="s">
        <v>23</v>
      </c>
      <c r="I60" s="217">
        <f>6+0.4</f>
        <v>6.4</v>
      </c>
      <c r="J60" s="454">
        <v>7.1</v>
      </c>
      <c r="K60" s="173">
        <v>1</v>
      </c>
      <c r="L60" s="217"/>
      <c r="M60" s="1139"/>
      <c r="N60" s="737"/>
      <c r="O60" s="135"/>
      <c r="P60" s="136"/>
      <c r="Q60" s="152"/>
      <c r="R60" s="12"/>
      <c r="S60" s="12"/>
      <c r="T60" s="12"/>
      <c r="U60" s="12"/>
      <c r="V60" s="12"/>
      <c r="W60" s="12"/>
    </row>
    <row r="61" spans="1:23" s="1" customFormat="1" ht="15.75" customHeight="1" thickBot="1" x14ac:dyDescent="0.25">
      <c r="A61" s="45"/>
      <c r="B61" s="21"/>
      <c r="C61" s="1021"/>
      <c r="D61" s="63"/>
      <c r="E61" s="925"/>
      <c r="F61" s="549"/>
      <c r="G61" s="95"/>
      <c r="H61" s="246" t="s">
        <v>20</v>
      </c>
      <c r="I61" s="115">
        <f>SUM(I59:I60)</f>
        <v>42.6</v>
      </c>
      <c r="J61" s="158">
        <f t="shared" ref="J61:L61" si="7">SUM(J59:J60)</f>
        <v>47</v>
      </c>
      <c r="K61" s="118">
        <f t="shared" si="7"/>
        <v>6.4</v>
      </c>
      <c r="L61" s="115">
        <f t="shared" si="7"/>
        <v>0</v>
      </c>
      <c r="M61" s="1100"/>
      <c r="N61" s="672"/>
      <c r="O61" s="583"/>
      <c r="P61" s="674"/>
      <c r="Q61" s="683"/>
      <c r="R61" s="178"/>
      <c r="S61" s="12"/>
      <c r="T61" s="12"/>
      <c r="U61" s="12"/>
      <c r="V61" s="12"/>
      <c r="W61" s="12"/>
    </row>
    <row r="62" spans="1:23" s="1" customFormat="1" ht="35.25" customHeight="1" x14ac:dyDescent="0.2">
      <c r="A62" s="606" t="s">
        <v>7</v>
      </c>
      <c r="B62" s="22" t="s">
        <v>7</v>
      </c>
      <c r="C62" s="922" t="s">
        <v>124</v>
      </c>
      <c r="D62" s="1141"/>
      <c r="E62" s="1127" t="s">
        <v>214</v>
      </c>
      <c r="F62" s="1125" t="s">
        <v>200</v>
      </c>
      <c r="G62" s="1183" t="s">
        <v>215</v>
      </c>
      <c r="H62" s="513" t="s">
        <v>12</v>
      </c>
      <c r="I62" s="236"/>
      <c r="J62" s="204">
        <v>18.8</v>
      </c>
      <c r="K62" s="762">
        <v>18.8</v>
      </c>
      <c r="L62" s="236">
        <v>18.8</v>
      </c>
      <c r="M62" s="1099" t="s">
        <v>216</v>
      </c>
      <c r="N62" s="1206"/>
      <c r="O62" s="1223">
        <v>2</v>
      </c>
      <c r="P62" s="1080">
        <v>2</v>
      </c>
      <c r="Q62" s="1089">
        <v>2</v>
      </c>
      <c r="R62" s="178"/>
      <c r="S62" s="12"/>
      <c r="T62" s="12"/>
      <c r="U62" s="12"/>
      <c r="V62" s="12"/>
      <c r="W62" s="12"/>
    </row>
    <row r="63" spans="1:23" s="1" customFormat="1" ht="15.75" customHeight="1" thickBot="1" x14ac:dyDescent="0.25">
      <c r="A63" s="283"/>
      <c r="B63" s="21"/>
      <c r="C63" s="923"/>
      <c r="D63" s="1208"/>
      <c r="E63" s="932"/>
      <c r="F63" s="1126"/>
      <c r="G63" s="1185"/>
      <c r="H63" s="284" t="s">
        <v>20</v>
      </c>
      <c r="I63" s="499">
        <f>I62</f>
        <v>0</v>
      </c>
      <c r="J63" s="339">
        <f>J62</f>
        <v>18.8</v>
      </c>
      <c r="K63" s="285">
        <f>K62</f>
        <v>18.8</v>
      </c>
      <c r="L63" s="499">
        <f>L62</f>
        <v>18.8</v>
      </c>
      <c r="M63" s="1100"/>
      <c r="N63" s="1207"/>
      <c r="O63" s="1224"/>
      <c r="P63" s="1081"/>
      <c r="Q63" s="1090"/>
      <c r="R63" s="178"/>
      <c r="S63" s="12"/>
      <c r="T63" s="12"/>
      <c r="U63" s="12"/>
      <c r="V63" s="12"/>
      <c r="W63" s="12"/>
    </row>
    <row r="64" spans="1:23" s="1" customFormat="1" ht="14.25" customHeight="1" thickBot="1" x14ac:dyDescent="0.25">
      <c r="A64" s="283" t="s">
        <v>7</v>
      </c>
      <c r="B64" s="21" t="s">
        <v>7</v>
      </c>
      <c r="C64" s="919" t="s">
        <v>29</v>
      </c>
      <c r="D64" s="920"/>
      <c r="E64" s="920"/>
      <c r="F64" s="920"/>
      <c r="G64" s="920"/>
      <c r="H64" s="921"/>
      <c r="I64" s="219">
        <f>+I37+I25+I22+I41+I43+I47+I50+I58+I61+I55+I63</f>
        <v>2500.8000000000002</v>
      </c>
      <c r="J64" s="515">
        <f>+J37+J25+J22+J41+J43+J47+J50+J58+J61+J55+J63</f>
        <v>2629.3</v>
      </c>
      <c r="K64" s="263">
        <f>+K37+K25+K22+K41+K43+K47+K50+K58+K61+K55+K63</f>
        <v>2301.1000000000004</v>
      </c>
      <c r="L64" s="755">
        <f>+L37+L25+L22+L41+L43+L47+L50+L58+L61+L55+L63</f>
        <v>2269.8000000000002</v>
      </c>
      <c r="M64" s="1105"/>
      <c r="N64" s="1106"/>
      <c r="O64" s="1106"/>
      <c r="P64" s="1106"/>
      <c r="Q64" s="1107"/>
      <c r="R64" s="12"/>
      <c r="S64" s="12"/>
      <c r="T64" s="12"/>
      <c r="U64" s="12"/>
      <c r="V64" s="12"/>
      <c r="W64" s="12"/>
    </row>
    <row r="65" spans="1:23" s="1" customFormat="1" ht="14.25" customHeight="1" thickBot="1" x14ac:dyDescent="0.25">
      <c r="A65" s="43" t="s">
        <v>7</v>
      </c>
      <c r="B65" s="25" t="s">
        <v>21</v>
      </c>
      <c r="C65" s="1128" t="s">
        <v>30</v>
      </c>
      <c r="D65" s="1129"/>
      <c r="E65" s="1129"/>
      <c r="F65" s="1129"/>
      <c r="G65" s="1129"/>
      <c r="H65" s="1129"/>
      <c r="I65" s="1129"/>
      <c r="J65" s="1129"/>
      <c r="K65" s="1129"/>
      <c r="L65" s="1129"/>
      <c r="M65" s="1129"/>
      <c r="N65" s="1129"/>
      <c r="O65" s="1129"/>
      <c r="P65" s="1129"/>
      <c r="Q65" s="1130"/>
      <c r="R65" s="12"/>
      <c r="S65" s="12"/>
      <c r="T65" s="12"/>
      <c r="U65" s="12"/>
      <c r="V65" s="12"/>
      <c r="W65" s="12"/>
    </row>
    <row r="66" spans="1:23" s="1" customFormat="1" ht="39.75" customHeight="1" x14ac:dyDescent="0.2">
      <c r="A66" s="48" t="s">
        <v>7</v>
      </c>
      <c r="B66" s="26" t="s">
        <v>21</v>
      </c>
      <c r="C66" s="28" t="s">
        <v>7</v>
      </c>
      <c r="D66" s="62"/>
      <c r="E66" s="927" t="s">
        <v>31</v>
      </c>
      <c r="F66" s="546" t="s">
        <v>95</v>
      </c>
      <c r="G66" s="1159" t="s">
        <v>164</v>
      </c>
      <c r="H66" s="241" t="s">
        <v>23</v>
      </c>
      <c r="I66" s="236">
        <v>2.5</v>
      </c>
      <c r="J66" s="204"/>
      <c r="K66" s="206"/>
      <c r="L66" s="204"/>
      <c r="M66" s="104" t="s">
        <v>187</v>
      </c>
      <c r="N66" s="363" t="s">
        <v>34</v>
      </c>
      <c r="O66" s="264"/>
      <c r="P66" s="461"/>
      <c r="Q66" s="288"/>
      <c r="R66" s="12"/>
      <c r="S66" s="12"/>
      <c r="T66" s="12"/>
      <c r="U66" s="12"/>
      <c r="V66" s="12"/>
      <c r="W66" s="12"/>
    </row>
    <row r="67" spans="1:23" s="1" customFormat="1" ht="16.5" customHeight="1" x14ac:dyDescent="0.2">
      <c r="A67" s="46"/>
      <c r="B67" s="27"/>
      <c r="C67" s="28"/>
      <c r="D67" s="62"/>
      <c r="E67" s="927"/>
      <c r="F67" s="546" t="s">
        <v>201</v>
      </c>
      <c r="G67" s="1159"/>
      <c r="H67" s="740" t="s">
        <v>12</v>
      </c>
      <c r="I67" s="236">
        <v>651.5</v>
      </c>
      <c r="J67" s="204">
        <v>628.4</v>
      </c>
      <c r="K67" s="762">
        <v>628.4</v>
      </c>
      <c r="L67" s="204">
        <v>628.4</v>
      </c>
      <c r="M67" s="105" t="s">
        <v>96</v>
      </c>
      <c r="N67" s="367" t="s">
        <v>116</v>
      </c>
      <c r="O67" s="464" t="s">
        <v>116</v>
      </c>
      <c r="P67" s="465" t="s">
        <v>116</v>
      </c>
      <c r="Q67" s="325" t="s">
        <v>116</v>
      </c>
      <c r="R67" s="12"/>
      <c r="S67" s="12"/>
      <c r="T67" s="12"/>
      <c r="U67" s="12"/>
      <c r="V67" s="12"/>
      <c r="W67" s="12"/>
    </row>
    <row r="68" spans="1:23" s="1" customFormat="1" ht="15" customHeight="1" x14ac:dyDescent="0.2">
      <c r="A68" s="46"/>
      <c r="B68" s="27"/>
      <c r="C68" s="28"/>
      <c r="D68" s="62"/>
      <c r="E68" s="927"/>
      <c r="F68" s="550"/>
      <c r="G68" s="1159"/>
      <c r="H68" s="385" t="s">
        <v>32</v>
      </c>
      <c r="I68" s="745">
        <v>525.9</v>
      </c>
      <c r="J68" s="454">
        <v>460.7</v>
      </c>
      <c r="K68" s="173">
        <v>509</v>
      </c>
      <c r="L68" s="167">
        <v>539.4</v>
      </c>
      <c r="M68" s="1101" t="s">
        <v>89</v>
      </c>
      <c r="N68" s="364" t="s">
        <v>117</v>
      </c>
      <c r="O68" s="271" t="s">
        <v>192</v>
      </c>
      <c r="P68" s="412" t="s">
        <v>192</v>
      </c>
      <c r="Q68" s="292" t="s">
        <v>117</v>
      </c>
      <c r="R68" s="181"/>
      <c r="S68" s="12"/>
      <c r="T68" s="12"/>
      <c r="U68" s="12"/>
      <c r="V68" s="12"/>
      <c r="W68" s="12"/>
    </row>
    <row r="69" spans="1:23" s="1" customFormat="1" ht="39" customHeight="1" x14ac:dyDescent="0.2">
      <c r="A69" s="46"/>
      <c r="B69" s="27"/>
      <c r="C69" s="28"/>
      <c r="D69" s="62"/>
      <c r="E69" s="927"/>
      <c r="F69" s="546" t="s">
        <v>190</v>
      </c>
      <c r="G69" s="1159"/>
      <c r="H69" s="385" t="s">
        <v>27</v>
      </c>
      <c r="I69" s="225">
        <v>6.5</v>
      </c>
      <c r="J69" s="341">
        <v>11</v>
      </c>
      <c r="K69" s="223">
        <v>11</v>
      </c>
      <c r="L69" s="341">
        <v>12</v>
      </c>
      <c r="M69" s="1102"/>
      <c r="N69" s="365"/>
      <c r="O69" s="265"/>
      <c r="P69" s="462"/>
      <c r="Q69" s="690"/>
      <c r="R69" s="12"/>
      <c r="S69" s="12"/>
      <c r="T69" s="12"/>
      <c r="U69" s="12"/>
      <c r="V69" s="12"/>
      <c r="W69" s="12"/>
    </row>
    <row r="70" spans="1:23" s="1" customFormat="1" ht="18" customHeight="1" x14ac:dyDescent="0.2">
      <c r="A70" s="46"/>
      <c r="B70" s="27"/>
      <c r="C70" s="28"/>
      <c r="D70" s="62"/>
      <c r="E70" s="697"/>
      <c r="F70" s="546"/>
      <c r="G70" s="1159"/>
      <c r="H70" s="991" t="s">
        <v>60</v>
      </c>
      <c r="I70" s="1209">
        <v>6.8</v>
      </c>
      <c r="J70" s="233">
        <v>16.600000000000001</v>
      </c>
      <c r="K70" s="226"/>
      <c r="L70" s="233"/>
      <c r="M70" s="78" t="s">
        <v>102</v>
      </c>
      <c r="N70" s="366" t="s">
        <v>123</v>
      </c>
      <c r="O70" s="267"/>
      <c r="P70" s="463"/>
      <c r="Q70" s="290"/>
      <c r="R70" s="12"/>
      <c r="S70" s="12"/>
      <c r="T70" s="12"/>
      <c r="U70" s="12"/>
      <c r="V70" s="12"/>
      <c r="W70" s="12"/>
    </row>
    <row r="71" spans="1:23" s="1" customFormat="1" ht="15" customHeight="1" x14ac:dyDescent="0.2">
      <c r="A71" s="46"/>
      <c r="B71" s="27"/>
      <c r="C71" s="28"/>
      <c r="D71" s="62"/>
      <c r="E71" s="697"/>
      <c r="F71" s="314"/>
      <c r="G71" s="1159"/>
      <c r="H71" s="992"/>
      <c r="I71" s="1210"/>
      <c r="J71" s="340"/>
      <c r="K71" s="221"/>
      <c r="L71" s="340"/>
      <c r="M71" s="1115" t="s">
        <v>55</v>
      </c>
      <c r="N71" s="686" t="s">
        <v>118</v>
      </c>
      <c r="O71" s="266" t="s">
        <v>119</v>
      </c>
      <c r="P71" s="413" t="s">
        <v>193</v>
      </c>
      <c r="Q71" s="291" t="s">
        <v>194</v>
      </c>
      <c r="R71" s="12"/>
      <c r="S71" s="12"/>
      <c r="T71" s="178"/>
      <c r="U71" s="12"/>
      <c r="V71" s="12"/>
      <c r="W71" s="12"/>
    </row>
    <row r="72" spans="1:23" s="1" customFormat="1" ht="24.75" customHeight="1" x14ac:dyDescent="0.2">
      <c r="A72" s="46"/>
      <c r="B72" s="27"/>
      <c r="C72" s="28"/>
      <c r="D72" s="62"/>
      <c r="E72" s="697"/>
      <c r="F72" s="314"/>
      <c r="G72" s="1159"/>
      <c r="H72" s="992"/>
      <c r="I72" s="1210"/>
      <c r="J72" s="340"/>
      <c r="K72" s="221"/>
      <c r="L72" s="340"/>
      <c r="M72" s="1116"/>
      <c r="N72" s="367"/>
      <c r="O72" s="464"/>
      <c r="P72" s="465"/>
      <c r="Q72" s="325"/>
      <c r="R72" s="12"/>
      <c r="S72" s="12"/>
      <c r="T72" s="12"/>
      <c r="U72" s="12"/>
      <c r="V72" s="12"/>
      <c r="W72" s="12"/>
    </row>
    <row r="73" spans="1:23" s="1" customFormat="1" ht="24.75" customHeight="1" x14ac:dyDescent="0.2">
      <c r="A73" s="46"/>
      <c r="B73" s="27"/>
      <c r="C73" s="28"/>
      <c r="D73" s="62"/>
      <c r="E73" s="101"/>
      <c r="F73" s="314"/>
      <c r="G73" s="187"/>
      <c r="H73" s="993"/>
      <c r="I73" s="1211"/>
      <c r="J73" s="466"/>
      <c r="K73" s="467"/>
      <c r="L73" s="746"/>
      <c r="M73" s="1084" t="s">
        <v>155</v>
      </c>
      <c r="N73" s="359" t="s">
        <v>120</v>
      </c>
      <c r="O73" s="266" t="s">
        <v>34</v>
      </c>
      <c r="P73" s="413" t="s">
        <v>61</v>
      </c>
      <c r="Q73" s="291" t="s">
        <v>116</v>
      </c>
      <c r="R73" s="12"/>
      <c r="S73" s="12"/>
      <c r="T73" s="12"/>
      <c r="U73" s="12"/>
      <c r="V73" s="12"/>
      <c r="W73" s="12"/>
    </row>
    <row r="74" spans="1:23" s="1" customFormat="1" ht="15" customHeight="1" thickBot="1" x14ac:dyDescent="0.25">
      <c r="A74" s="47"/>
      <c r="B74" s="23"/>
      <c r="C74" s="24"/>
      <c r="D74" s="63"/>
      <c r="E74" s="102"/>
      <c r="F74" s="315"/>
      <c r="G74" s="187"/>
      <c r="H74" s="386" t="s">
        <v>20</v>
      </c>
      <c r="I74" s="115">
        <f>SUM(I66:I73)</f>
        <v>1193.2</v>
      </c>
      <c r="J74" s="158">
        <f t="shared" ref="J74:L74" si="8">SUM(J66:J73)</f>
        <v>1116.6999999999998</v>
      </c>
      <c r="K74" s="118">
        <f t="shared" si="8"/>
        <v>1148.4000000000001</v>
      </c>
      <c r="L74" s="115">
        <f t="shared" si="8"/>
        <v>1179.8</v>
      </c>
      <c r="M74" s="1085"/>
      <c r="N74" s="687"/>
      <c r="O74" s="272"/>
      <c r="P74" s="419"/>
      <c r="Q74" s="720"/>
      <c r="R74" s="12"/>
      <c r="S74" s="12"/>
      <c r="T74" s="12"/>
      <c r="U74" s="12"/>
      <c r="V74" s="12"/>
      <c r="W74" s="12"/>
    </row>
    <row r="75" spans="1:23" s="1" customFormat="1" ht="87" customHeight="1" x14ac:dyDescent="0.2">
      <c r="A75" s="49" t="s">
        <v>7</v>
      </c>
      <c r="B75" s="5" t="s">
        <v>21</v>
      </c>
      <c r="C75" s="18" t="s">
        <v>21</v>
      </c>
      <c r="D75" s="65"/>
      <c r="E75" s="926" t="s">
        <v>56</v>
      </c>
      <c r="F75" s="717" t="s">
        <v>201</v>
      </c>
      <c r="G75" s="1158" t="s">
        <v>164</v>
      </c>
      <c r="H75" s="387" t="s">
        <v>27</v>
      </c>
      <c r="I75" s="220">
        <v>16</v>
      </c>
      <c r="J75" s="218">
        <v>15</v>
      </c>
      <c r="K75" s="234">
        <v>15</v>
      </c>
      <c r="L75" s="218">
        <v>15</v>
      </c>
      <c r="M75" s="589" t="s">
        <v>57</v>
      </c>
      <c r="N75" s="363" t="s">
        <v>116</v>
      </c>
      <c r="O75" s="264" t="s">
        <v>116</v>
      </c>
      <c r="P75" s="461" t="s">
        <v>116</v>
      </c>
      <c r="Q75" s="288" t="s">
        <v>116</v>
      </c>
      <c r="R75" s="12"/>
      <c r="S75" s="12"/>
      <c r="T75" s="12"/>
      <c r="U75" s="12"/>
      <c r="V75" s="12"/>
      <c r="W75" s="12"/>
    </row>
    <row r="76" spans="1:23" s="1" customFormat="1" ht="18.75" customHeight="1" x14ac:dyDescent="0.2">
      <c r="A76" s="50"/>
      <c r="B76" s="6"/>
      <c r="C76" s="41"/>
      <c r="D76" s="64"/>
      <c r="E76" s="927"/>
      <c r="F76" s="546" t="s">
        <v>190</v>
      </c>
      <c r="G76" s="1159"/>
      <c r="H76" s="588"/>
      <c r="I76" s="224"/>
      <c r="J76" s="340"/>
      <c r="K76" s="221"/>
      <c r="L76" s="340"/>
      <c r="M76" s="1009" t="s">
        <v>87</v>
      </c>
      <c r="N76" s="1228" t="s">
        <v>121</v>
      </c>
      <c r="O76" s="1016" t="s">
        <v>122</v>
      </c>
      <c r="P76" s="1108"/>
      <c r="Q76" s="1123"/>
      <c r="R76" s="12"/>
      <c r="S76" s="12"/>
      <c r="T76" s="12"/>
      <c r="U76" s="12"/>
      <c r="V76" s="12"/>
      <c r="W76" s="12"/>
    </row>
    <row r="77" spans="1:23" s="1" customFormat="1" ht="15" customHeight="1" thickBot="1" x14ac:dyDescent="0.25">
      <c r="A77" s="51"/>
      <c r="B77" s="2"/>
      <c r="C77" s="19"/>
      <c r="D77" s="66"/>
      <c r="E77" s="925"/>
      <c r="F77" s="546"/>
      <c r="G77" s="1160"/>
      <c r="H77" s="386" t="s">
        <v>20</v>
      </c>
      <c r="I77" s="115">
        <f t="shared" ref="I77:L77" si="9">SUM(I75:I75)</f>
        <v>16</v>
      </c>
      <c r="J77" s="158">
        <f t="shared" si="9"/>
        <v>15</v>
      </c>
      <c r="K77" s="118">
        <f t="shared" si="9"/>
        <v>15</v>
      </c>
      <c r="L77" s="115">
        <f t="shared" si="9"/>
        <v>15</v>
      </c>
      <c r="M77" s="1010"/>
      <c r="N77" s="1229"/>
      <c r="O77" s="1136"/>
      <c r="P77" s="1109"/>
      <c r="Q77" s="1124"/>
      <c r="R77" s="12"/>
      <c r="S77" s="12"/>
      <c r="T77" s="12"/>
      <c r="U77" s="12"/>
      <c r="V77" s="12"/>
      <c r="W77" s="12"/>
    </row>
    <row r="78" spans="1:23" s="1" customFormat="1" ht="21" customHeight="1" x14ac:dyDescent="0.2">
      <c r="A78" s="49" t="s">
        <v>7</v>
      </c>
      <c r="B78" s="5" t="s">
        <v>21</v>
      </c>
      <c r="C78" s="18" t="s">
        <v>25</v>
      </c>
      <c r="D78" s="65"/>
      <c r="E78" s="926" t="s">
        <v>62</v>
      </c>
      <c r="F78" s="318" t="s">
        <v>190</v>
      </c>
      <c r="G78" s="1158" t="s">
        <v>100</v>
      </c>
      <c r="H78" s="388" t="s">
        <v>12</v>
      </c>
      <c r="I78" s="229">
        <v>12</v>
      </c>
      <c r="J78" s="342">
        <v>12</v>
      </c>
      <c r="K78" s="228">
        <v>12</v>
      </c>
      <c r="L78" s="342">
        <v>12</v>
      </c>
      <c r="M78" s="85" t="s">
        <v>97</v>
      </c>
      <c r="N78" s="587">
        <v>1</v>
      </c>
      <c r="O78" s="468">
        <v>1</v>
      </c>
      <c r="P78" s="469">
        <v>1</v>
      </c>
      <c r="Q78" s="470">
        <v>1</v>
      </c>
      <c r="R78" s="12"/>
      <c r="S78" s="12"/>
      <c r="T78" s="12"/>
      <c r="U78" s="12"/>
      <c r="V78" s="12"/>
      <c r="W78" s="12"/>
    </row>
    <row r="79" spans="1:23" s="1" customFormat="1" ht="22.5" customHeight="1" x14ac:dyDescent="0.2">
      <c r="A79" s="50"/>
      <c r="B79" s="6"/>
      <c r="C79" s="41"/>
      <c r="D79" s="64"/>
      <c r="E79" s="927"/>
      <c r="F79" s="319"/>
      <c r="G79" s="1159"/>
      <c r="H79" s="243"/>
      <c r="I79" s="230"/>
      <c r="J79" s="199"/>
      <c r="K79" s="198"/>
      <c r="L79" s="199"/>
      <c r="M79" s="1096" t="s">
        <v>208</v>
      </c>
      <c r="N79" s="1204">
        <v>1</v>
      </c>
      <c r="O79" s="1137">
        <v>1</v>
      </c>
      <c r="P79" s="1134">
        <v>1</v>
      </c>
      <c r="Q79" s="1103">
        <v>1</v>
      </c>
      <c r="R79" s="12"/>
      <c r="S79" s="12"/>
      <c r="T79" s="12"/>
      <c r="U79" s="12"/>
      <c r="V79" s="12"/>
      <c r="W79" s="12"/>
    </row>
    <row r="80" spans="1:23" s="1" customFormat="1" ht="18" customHeight="1" thickBot="1" x14ac:dyDescent="0.25">
      <c r="A80" s="51"/>
      <c r="B80" s="2"/>
      <c r="C80" s="19"/>
      <c r="D80" s="66"/>
      <c r="E80" s="925"/>
      <c r="F80" s="575"/>
      <c r="G80" s="1159"/>
      <c r="H80" s="386" t="s">
        <v>20</v>
      </c>
      <c r="I80" s="115">
        <f t="shared" ref="I80:L80" si="10">SUM(I78)</f>
        <v>12</v>
      </c>
      <c r="J80" s="158">
        <f t="shared" si="10"/>
        <v>12</v>
      </c>
      <c r="K80" s="118">
        <f t="shared" si="10"/>
        <v>12</v>
      </c>
      <c r="L80" s="115">
        <f t="shared" si="10"/>
        <v>12</v>
      </c>
      <c r="M80" s="1140"/>
      <c r="N80" s="1205"/>
      <c r="O80" s="1138"/>
      <c r="P80" s="1135"/>
      <c r="Q80" s="1104"/>
      <c r="R80" s="12"/>
      <c r="S80" s="12"/>
      <c r="T80" s="12"/>
      <c r="U80" s="12"/>
      <c r="V80" s="12"/>
      <c r="W80" s="12"/>
    </row>
    <row r="81" spans="1:23" s="1" customFormat="1" ht="15" customHeight="1" x14ac:dyDescent="0.2">
      <c r="A81" s="49" t="s">
        <v>7</v>
      </c>
      <c r="B81" s="5" t="s">
        <v>21</v>
      </c>
      <c r="C81" s="18" t="s">
        <v>28</v>
      </c>
      <c r="D81" s="65"/>
      <c r="E81" s="926" t="s">
        <v>79</v>
      </c>
      <c r="F81" s="318" t="s">
        <v>190</v>
      </c>
      <c r="G81" s="1158" t="s">
        <v>100</v>
      </c>
      <c r="H81" s="388" t="s">
        <v>59</v>
      </c>
      <c r="I81" s="229">
        <v>42</v>
      </c>
      <c r="J81" s="338">
        <v>19.5</v>
      </c>
      <c r="K81" s="228"/>
      <c r="L81" s="342"/>
      <c r="M81" s="1095" t="s">
        <v>207</v>
      </c>
      <c r="N81" s="368">
        <v>10</v>
      </c>
      <c r="O81" s="269">
        <v>10</v>
      </c>
      <c r="P81" s="420"/>
      <c r="Q81" s="75"/>
      <c r="R81" s="12"/>
      <c r="S81" s="12"/>
      <c r="T81" s="12"/>
      <c r="U81" s="12"/>
      <c r="V81" s="12"/>
      <c r="W81" s="12"/>
    </row>
    <row r="82" spans="1:23" s="1" customFormat="1" ht="15" customHeight="1" x14ac:dyDescent="0.2">
      <c r="A82" s="50"/>
      <c r="B82" s="6"/>
      <c r="C82" s="41"/>
      <c r="D82" s="64"/>
      <c r="E82" s="927"/>
      <c r="F82" s="574"/>
      <c r="G82" s="1159"/>
      <c r="H82" s="243"/>
      <c r="I82" s="230"/>
      <c r="J82" s="199"/>
      <c r="K82" s="198"/>
      <c r="L82" s="199"/>
      <c r="M82" s="1096"/>
      <c r="N82" s="360"/>
      <c r="O82" s="268"/>
      <c r="P82" s="414"/>
      <c r="Q82" s="80"/>
      <c r="R82" s="12"/>
      <c r="S82" s="12"/>
      <c r="T82" s="12"/>
      <c r="U82" s="12"/>
      <c r="V82" s="12"/>
      <c r="W82" s="12"/>
    </row>
    <row r="83" spans="1:23" s="1" customFormat="1" ht="15" customHeight="1" x14ac:dyDescent="0.2">
      <c r="A83" s="50"/>
      <c r="B83" s="6"/>
      <c r="C83" s="41"/>
      <c r="D83" s="64"/>
      <c r="E83" s="927"/>
      <c r="F83" s="574"/>
      <c r="G83" s="99"/>
      <c r="H83" s="243"/>
      <c r="I83" s="230"/>
      <c r="J83" s="471"/>
      <c r="K83" s="213"/>
      <c r="L83" s="379"/>
      <c r="M83" s="89"/>
      <c r="N83" s="360"/>
      <c r="O83" s="268"/>
      <c r="P83" s="414"/>
      <c r="Q83" s="80"/>
      <c r="R83" s="12"/>
      <c r="S83" s="12"/>
      <c r="T83" s="12"/>
      <c r="U83" s="12"/>
      <c r="V83" s="12"/>
      <c r="W83" s="12"/>
    </row>
    <row r="84" spans="1:23" s="1" customFormat="1" ht="15" customHeight="1" thickBot="1" x14ac:dyDescent="0.25">
      <c r="A84" s="51"/>
      <c r="B84" s="2"/>
      <c r="C84" s="19"/>
      <c r="D84" s="66"/>
      <c r="E84" s="925"/>
      <c r="F84" s="316"/>
      <c r="G84" s="100"/>
      <c r="H84" s="386" t="s">
        <v>20</v>
      </c>
      <c r="I84" s="115">
        <f t="shared" ref="I84:L84" si="11">SUM(I81:I83)</f>
        <v>42</v>
      </c>
      <c r="J84" s="158">
        <f t="shared" si="11"/>
        <v>19.5</v>
      </c>
      <c r="K84" s="118">
        <f t="shared" si="11"/>
        <v>0</v>
      </c>
      <c r="L84" s="115">
        <f t="shared" si="11"/>
        <v>0</v>
      </c>
      <c r="M84" s="90"/>
      <c r="N84" s="691"/>
      <c r="O84" s="270"/>
      <c r="P84" s="421"/>
      <c r="Q84" s="696"/>
      <c r="R84" s="12"/>
      <c r="S84" s="12"/>
      <c r="T84" s="178"/>
      <c r="U84" s="12"/>
      <c r="V84" s="12"/>
      <c r="W84" s="12"/>
    </row>
    <row r="85" spans="1:23" s="1" customFormat="1" ht="17.25" customHeight="1" x14ac:dyDescent="0.2">
      <c r="A85" s="49" t="s">
        <v>7</v>
      </c>
      <c r="B85" s="5" t="s">
        <v>21</v>
      </c>
      <c r="C85" s="18" t="s">
        <v>38</v>
      </c>
      <c r="D85" s="65"/>
      <c r="E85" s="933" t="s">
        <v>78</v>
      </c>
      <c r="F85" s="318" t="s">
        <v>190</v>
      </c>
      <c r="G85" s="1158" t="s">
        <v>100</v>
      </c>
      <c r="H85" s="388"/>
      <c r="I85" s="230"/>
      <c r="J85" s="199"/>
      <c r="K85" s="198"/>
      <c r="L85" s="199"/>
      <c r="M85" s="1093"/>
      <c r="N85" s="422"/>
      <c r="O85" s="1097"/>
      <c r="P85" s="1141"/>
      <c r="Q85" s="1143"/>
      <c r="R85" s="12"/>
      <c r="S85" s="12"/>
      <c r="T85" s="12"/>
      <c r="U85" s="12"/>
      <c r="V85" s="12"/>
      <c r="W85" s="12"/>
    </row>
    <row r="86" spans="1:23" s="1" customFormat="1" ht="17.25" customHeight="1" x14ac:dyDescent="0.2">
      <c r="A86" s="50"/>
      <c r="B86" s="6"/>
      <c r="C86" s="41"/>
      <c r="D86" s="64"/>
      <c r="E86" s="934"/>
      <c r="F86" s="319" t="s">
        <v>201</v>
      </c>
      <c r="G86" s="1159"/>
      <c r="H86" s="243"/>
      <c r="I86" s="230"/>
      <c r="J86" s="199"/>
      <c r="K86" s="198"/>
      <c r="L86" s="199"/>
      <c r="M86" s="1094"/>
      <c r="N86" s="358"/>
      <c r="O86" s="1098"/>
      <c r="P86" s="1142"/>
      <c r="Q86" s="1144"/>
      <c r="R86" s="12"/>
      <c r="S86" s="12"/>
      <c r="T86" s="12"/>
      <c r="U86" s="12"/>
      <c r="V86" s="12"/>
      <c r="W86" s="12"/>
    </row>
    <row r="87" spans="1:23" s="1" customFormat="1" ht="69" customHeight="1" x14ac:dyDescent="0.2">
      <c r="A87" s="50"/>
      <c r="B87" s="6"/>
      <c r="C87" s="41"/>
      <c r="D87" s="76" t="s">
        <v>7</v>
      </c>
      <c r="E87" s="311" t="s">
        <v>77</v>
      </c>
      <c r="F87" s="317"/>
      <c r="G87" s="1159"/>
      <c r="H87" s="739" t="s">
        <v>12</v>
      </c>
      <c r="I87" s="231">
        <v>14</v>
      </c>
      <c r="J87" s="197">
        <v>12</v>
      </c>
      <c r="K87" s="196">
        <v>12</v>
      </c>
      <c r="L87" s="197">
        <v>12</v>
      </c>
      <c r="M87" s="86" t="s">
        <v>210</v>
      </c>
      <c r="N87" s="364" t="s">
        <v>218</v>
      </c>
      <c r="O87" s="472" t="s">
        <v>130</v>
      </c>
      <c r="P87" s="473" t="s">
        <v>130</v>
      </c>
      <c r="Q87" s="474" t="s">
        <v>130</v>
      </c>
      <c r="R87" s="12"/>
      <c r="S87" s="12"/>
      <c r="T87" s="12"/>
      <c r="U87" s="12"/>
      <c r="V87" s="12"/>
      <c r="W87" s="12"/>
    </row>
    <row r="88" spans="1:23" s="1" customFormat="1" ht="26.25" customHeight="1" x14ac:dyDescent="0.2">
      <c r="A88" s="50"/>
      <c r="B88" s="6"/>
      <c r="C88" s="41"/>
      <c r="D88" s="750" t="s">
        <v>21</v>
      </c>
      <c r="E88" s="924" t="s">
        <v>63</v>
      </c>
      <c r="F88" s="317"/>
      <c r="G88" s="99"/>
      <c r="H88" s="389" t="s">
        <v>23</v>
      </c>
      <c r="I88" s="167">
        <v>7.3</v>
      </c>
      <c r="J88" s="454">
        <v>9.3000000000000007</v>
      </c>
      <c r="K88" s="173">
        <v>8.4</v>
      </c>
      <c r="L88" s="167">
        <v>8.4</v>
      </c>
      <c r="M88" s="1086" t="s">
        <v>73</v>
      </c>
      <c r="N88" s="364" t="s">
        <v>131</v>
      </c>
      <c r="O88" s="271" t="s">
        <v>195</v>
      </c>
      <c r="P88" s="412" t="s">
        <v>196</v>
      </c>
      <c r="Q88" s="292" t="s">
        <v>196</v>
      </c>
      <c r="R88" s="12"/>
      <c r="S88" s="12"/>
      <c r="T88" s="12"/>
      <c r="U88" s="12"/>
      <c r="V88" s="12"/>
      <c r="W88" s="12"/>
    </row>
    <row r="89" spans="1:23" s="1" customFormat="1" ht="16.5" customHeight="1" thickBot="1" x14ac:dyDescent="0.25">
      <c r="A89" s="51"/>
      <c r="B89" s="2"/>
      <c r="C89" s="19"/>
      <c r="D89" s="66"/>
      <c r="E89" s="925"/>
      <c r="F89" s="316"/>
      <c r="G89" s="100"/>
      <c r="H89" s="386" t="s">
        <v>20</v>
      </c>
      <c r="I89" s="115">
        <f>SUM(I87:I88)</f>
        <v>21.3</v>
      </c>
      <c r="J89" s="158">
        <f t="shared" ref="J89:L89" si="12">SUM(J87:J88)</f>
        <v>21.3</v>
      </c>
      <c r="K89" s="118">
        <f>SUM(K87:K88)</f>
        <v>20.399999999999999</v>
      </c>
      <c r="L89" s="115">
        <f t="shared" si="12"/>
        <v>20.399999999999999</v>
      </c>
      <c r="M89" s="1087"/>
      <c r="N89" s="687"/>
      <c r="O89" s="272"/>
      <c r="P89" s="419"/>
      <c r="Q89" s="720"/>
      <c r="R89" s="12"/>
      <c r="S89" s="12"/>
      <c r="T89" s="12"/>
      <c r="U89" s="12"/>
      <c r="V89" s="12"/>
      <c r="W89" s="12"/>
    </row>
    <row r="90" spans="1:23" s="1" customFormat="1" ht="27" customHeight="1" x14ac:dyDescent="0.2">
      <c r="A90" s="49" t="s">
        <v>7</v>
      </c>
      <c r="B90" s="5" t="s">
        <v>21</v>
      </c>
      <c r="C90" s="18" t="s">
        <v>39</v>
      </c>
      <c r="D90" s="551"/>
      <c r="E90" s="579" t="s">
        <v>197</v>
      </c>
      <c r="F90" s="318" t="s">
        <v>201</v>
      </c>
      <c r="G90" s="1158" t="s">
        <v>100</v>
      </c>
      <c r="H90" s="241"/>
      <c r="I90" s="377"/>
      <c r="J90" s="193"/>
      <c r="K90" s="206"/>
      <c r="L90" s="193"/>
      <c r="M90" s="85"/>
      <c r="N90" s="363"/>
      <c r="O90" s="264"/>
      <c r="P90" s="461"/>
      <c r="Q90" s="288"/>
      <c r="R90" s="12"/>
      <c r="S90" s="178"/>
      <c r="T90" s="12"/>
      <c r="U90" s="12"/>
      <c r="V90" s="12"/>
      <c r="W90" s="12"/>
    </row>
    <row r="91" spans="1:23" s="1" customFormat="1" ht="28.5" customHeight="1" x14ac:dyDescent="0.2">
      <c r="A91" s="50"/>
      <c r="B91" s="6"/>
      <c r="C91" s="41"/>
      <c r="D91" s="64" t="s">
        <v>7</v>
      </c>
      <c r="E91" s="930" t="s">
        <v>198</v>
      </c>
      <c r="F91" s="319" t="s">
        <v>190</v>
      </c>
      <c r="G91" s="1159"/>
      <c r="H91" s="740" t="s">
        <v>12</v>
      </c>
      <c r="I91" s="236">
        <v>10.199999999999999</v>
      </c>
      <c r="J91" s="204">
        <v>53.3</v>
      </c>
      <c r="K91" s="762">
        <v>53.3</v>
      </c>
      <c r="L91" s="204">
        <v>53.3</v>
      </c>
      <c r="M91" s="578" t="s">
        <v>211</v>
      </c>
      <c r="N91" s="367" t="s">
        <v>33</v>
      </c>
      <c r="O91" s="464" t="s">
        <v>33</v>
      </c>
      <c r="P91" s="465" t="s">
        <v>33</v>
      </c>
      <c r="Q91" s="325" t="s">
        <v>33</v>
      </c>
      <c r="R91" s="12"/>
      <c r="S91" s="12"/>
      <c r="T91" s="12"/>
      <c r="U91" s="12"/>
      <c r="V91" s="12"/>
      <c r="W91" s="12"/>
    </row>
    <row r="92" spans="1:23" s="1" customFormat="1" ht="42" customHeight="1" x14ac:dyDescent="0.2">
      <c r="A92" s="50"/>
      <c r="B92" s="6"/>
      <c r="C92" s="41"/>
      <c r="D92" s="552"/>
      <c r="E92" s="1199"/>
      <c r="F92" s="319"/>
      <c r="G92" s="722"/>
      <c r="H92" s="739" t="s">
        <v>12</v>
      </c>
      <c r="I92" s="410">
        <f>25-2</f>
        <v>23</v>
      </c>
      <c r="J92" s="232"/>
      <c r="K92" s="762"/>
      <c r="L92" s="236"/>
      <c r="M92" s="576" t="s">
        <v>98</v>
      </c>
      <c r="N92" s="577" t="s">
        <v>219</v>
      </c>
      <c r="O92" s="265"/>
      <c r="P92" s="462"/>
      <c r="Q92" s="690"/>
      <c r="R92" s="12"/>
      <c r="S92" s="12"/>
      <c r="T92" s="12"/>
      <c r="U92" s="12"/>
      <c r="V92" s="12"/>
      <c r="W92" s="12"/>
    </row>
    <row r="93" spans="1:23" s="1" customFormat="1" ht="14.45" customHeight="1" x14ac:dyDescent="0.2">
      <c r="A93" s="50"/>
      <c r="B93" s="6"/>
      <c r="C93" s="41"/>
      <c r="D93" s="651" t="s">
        <v>21</v>
      </c>
      <c r="E93" s="930" t="s">
        <v>199</v>
      </c>
      <c r="F93" s="319" t="s">
        <v>200</v>
      </c>
      <c r="G93" s="722"/>
      <c r="H93" s="1202" t="s">
        <v>12</v>
      </c>
      <c r="I93" s="235"/>
      <c r="J93" s="40">
        <v>100</v>
      </c>
      <c r="K93" s="641">
        <v>150.6</v>
      </c>
      <c r="L93" s="235">
        <v>150.6</v>
      </c>
      <c r="M93" s="1092" t="s">
        <v>228</v>
      </c>
      <c r="N93" s="358"/>
      <c r="O93" s="271" t="s">
        <v>116</v>
      </c>
      <c r="P93" s="412" t="s">
        <v>109</v>
      </c>
      <c r="Q93" s="292" t="s">
        <v>109</v>
      </c>
      <c r="R93" s="12"/>
      <c r="S93" s="12"/>
      <c r="T93" s="12"/>
      <c r="U93" s="12"/>
      <c r="V93" s="12"/>
      <c r="W93" s="12"/>
    </row>
    <row r="94" spans="1:23" s="1" customFormat="1" ht="15" customHeight="1" x14ac:dyDescent="0.2">
      <c r="A94" s="50"/>
      <c r="B94" s="6"/>
      <c r="C94" s="41"/>
      <c r="D94" s="651"/>
      <c r="E94" s="931"/>
      <c r="F94" s="317"/>
      <c r="G94" s="722"/>
      <c r="H94" s="1203"/>
      <c r="I94" s="235"/>
      <c r="J94" s="40"/>
      <c r="K94" s="641"/>
      <c r="L94" s="235"/>
      <c r="M94" s="1009"/>
      <c r="N94" s="358"/>
      <c r="O94" s="271"/>
      <c r="P94" s="412"/>
      <c r="Q94" s="292"/>
      <c r="R94" s="12"/>
      <c r="S94" s="12"/>
      <c r="T94" s="12"/>
      <c r="U94" s="12"/>
      <c r="V94" s="12"/>
      <c r="W94" s="12"/>
    </row>
    <row r="95" spans="1:23" s="1" customFormat="1" ht="15.75" customHeight="1" thickBot="1" x14ac:dyDescent="0.25">
      <c r="A95" s="50"/>
      <c r="B95" s="6"/>
      <c r="C95" s="34"/>
      <c r="D95" s="651"/>
      <c r="E95" s="932"/>
      <c r="F95" s="317"/>
      <c r="G95" s="83"/>
      <c r="H95" s="390" t="s">
        <v>20</v>
      </c>
      <c r="I95" s="122">
        <f>SUM(I90:I94)</f>
        <v>33.200000000000003</v>
      </c>
      <c r="J95" s="240">
        <f>SUM(J90:J94)</f>
        <v>153.30000000000001</v>
      </c>
      <c r="K95" s="123">
        <f>SUM(K90:K94)</f>
        <v>203.89999999999998</v>
      </c>
      <c r="L95" s="122">
        <f>SUM(L90:L94)</f>
        <v>203.89999999999998</v>
      </c>
      <c r="M95" s="1010"/>
      <c r="N95" s="725"/>
      <c r="O95" s="139"/>
      <c r="P95" s="416"/>
      <c r="Q95" s="743"/>
      <c r="R95" s="12"/>
      <c r="S95" s="12"/>
      <c r="T95" s="12"/>
      <c r="U95" s="12"/>
      <c r="V95" s="12"/>
      <c r="W95" s="12"/>
    </row>
    <row r="96" spans="1:23" s="1" customFormat="1" ht="18" customHeight="1" x14ac:dyDescent="0.2">
      <c r="A96" s="49" t="s">
        <v>7</v>
      </c>
      <c r="B96" s="5" t="s">
        <v>21</v>
      </c>
      <c r="C96" s="18" t="s">
        <v>11</v>
      </c>
      <c r="D96" s="65"/>
      <c r="E96" s="926" t="s">
        <v>139</v>
      </c>
      <c r="F96" s="318" t="s">
        <v>95</v>
      </c>
      <c r="G96" s="1158" t="s">
        <v>100</v>
      </c>
      <c r="H96" s="247" t="s">
        <v>12</v>
      </c>
      <c r="I96" s="619">
        <v>15</v>
      </c>
      <c r="J96" s="155"/>
      <c r="K96" s="620"/>
      <c r="L96" s="619"/>
      <c r="M96" s="1008" t="s">
        <v>157</v>
      </c>
      <c r="N96" s="1093">
        <v>1</v>
      </c>
      <c r="O96" s="1005">
        <v>1</v>
      </c>
      <c r="P96" s="988"/>
      <c r="Q96" s="996"/>
      <c r="R96" s="12"/>
      <c r="S96" s="12"/>
      <c r="T96" s="12"/>
      <c r="U96" s="12"/>
      <c r="V96" s="12"/>
      <c r="W96" s="12"/>
    </row>
    <row r="97" spans="1:23" s="1" customFormat="1" ht="24" customHeight="1" x14ac:dyDescent="0.2">
      <c r="A97" s="50"/>
      <c r="B97" s="6"/>
      <c r="C97" s="41"/>
      <c r="D97" s="64"/>
      <c r="E97" s="927"/>
      <c r="F97" s="319"/>
      <c r="G97" s="1159"/>
      <c r="H97" s="714" t="s">
        <v>66</v>
      </c>
      <c r="I97" s="382"/>
      <c r="J97" s="458">
        <v>15</v>
      </c>
      <c r="K97" s="459"/>
      <c r="L97" s="460"/>
      <c r="M97" s="1009"/>
      <c r="N97" s="1200"/>
      <c r="O97" s="1006"/>
      <c r="P97" s="989"/>
      <c r="Q97" s="997"/>
      <c r="R97" s="12"/>
      <c r="S97" s="12"/>
      <c r="T97" s="178"/>
      <c r="U97" s="178"/>
      <c r="V97" s="12"/>
      <c r="W97" s="12"/>
    </row>
    <row r="98" spans="1:23" s="1" customFormat="1" ht="17.25" customHeight="1" thickBot="1" x14ac:dyDescent="0.25">
      <c r="A98" s="50"/>
      <c r="B98" s="6"/>
      <c r="C98" s="41"/>
      <c r="D98" s="64"/>
      <c r="E98" s="927"/>
      <c r="F98" s="320"/>
      <c r="G98" s="99"/>
      <c r="H98" s="386" t="s">
        <v>20</v>
      </c>
      <c r="I98" s="115">
        <f>I96</f>
        <v>15</v>
      </c>
      <c r="J98" s="158">
        <f>SUM(J96:J97)</f>
        <v>15</v>
      </c>
      <c r="K98" s="118">
        <f>SUM(K96:K97)</f>
        <v>0</v>
      </c>
      <c r="L98" s="158">
        <f>SUM(L96:L97)</f>
        <v>0</v>
      </c>
      <c r="M98" s="1010"/>
      <c r="N98" s="1201"/>
      <c r="O98" s="1007"/>
      <c r="P98" s="990"/>
      <c r="Q98" s="998"/>
      <c r="R98" s="12"/>
      <c r="S98" s="12"/>
      <c r="T98" s="12"/>
      <c r="U98" s="12"/>
      <c r="V98" s="12"/>
      <c r="W98" s="12"/>
    </row>
    <row r="99" spans="1:23" s="1" customFormat="1" ht="54.75" customHeight="1" x14ac:dyDescent="0.2">
      <c r="A99" s="621" t="s">
        <v>7</v>
      </c>
      <c r="B99" s="622" t="s">
        <v>21</v>
      </c>
      <c r="C99" s="96" t="s">
        <v>40</v>
      </c>
      <c r="D99" s="624"/>
      <c r="E99" s="1127" t="s">
        <v>150</v>
      </c>
      <c r="F99" s="703" t="s">
        <v>95</v>
      </c>
      <c r="G99" s="721" t="s">
        <v>100</v>
      </c>
      <c r="H99" s="713" t="s">
        <v>12</v>
      </c>
      <c r="I99" s="623">
        <v>10</v>
      </c>
      <c r="J99" s="159"/>
      <c r="K99" s="160"/>
      <c r="L99" s="161"/>
      <c r="M99" s="751" t="s">
        <v>156</v>
      </c>
      <c r="N99" s="688">
        <v>1</v>
      </c>
      <c r="O99" s="726"/>
      <c r="P99" s="684"/>
      <c r="Q99" s="741"/>
      <c r="R99" s="12"/>
      <c r="S99" s="12"/>
      <c r="T99" s="12"/>
      <c r="U99" s="12"/>
      <c r="V99" s="12"/>
      <c r="W99" s="12"/>
    </row>
    <row r="100" spans="1:23" s="1" customFormat="1" ht="18" customHeight="1" thickBot="1" x14ac:dyDescent="0.25">
      <c r="A100" s="50"/>
      <c r="B100" s="6"/>
      <c r="C100" s="41"/>
      <c r="D100" s="654"/>
      <c r="E100" s="932"/>
      <c r="F100" s="655"/>
      <c r="G100" s="656"/>
      <c r="H100" s="386" t="s">
        <v>20</v>
      </c>
      <c r="I100" s="115">
        <f>SUM(I99:I99)</f>
        <v>10</v>
      </c>
      <c r="J100" s="158">
        <f>SUM(J99:J99)</f>
        <v>0</v>
      </c>
      <c r="K100" s="118">
        <f>SUM(K99:K99)</f>
        <v>0</v>
      </c>
      <c r="L100" s="158">
        <f>SUM(L99:L99)</f>
        <v>0</v>
      </c>
      <c r="M100" s="657"/>
      <c r="N100" s="652"/>
      <c r="O100" s="658"/>
      <c r="P100" s="659"/>
      <c r="Q100" s="653"/>
      <c r="R100" s="12"/>
      <c r="S100" s="12"/>
      <c r="T100" s="12"/>
      <c r="U100" s="12"/>
      <c r="V100" s="12"/>
      <c r="W100" s="12"/>
    </row>
    <row r="101" spans="1:23" s="1" customFormat="1" ht="38.25" customHeight="1" x14ac:dyDescent="0.2">
      <c r="A101" s="49" t="s">
        <v>7</v>
      </c>
      <c r="B101" s="5" t="s">
        <v>21</v>
      </c>
      <c r="C101" s="18" t="s">
        <v>41</v>
      </c>
      <c r="D101" s="65"/>
      <c r="E101" s="312" t="s">
        <v>171</v>
      </c>
      <c r="F101" s="318"/>
      <c r="G101" s="721" t="s">
        <v>100</v>
      </c>
      <c r="H101" s="247" t="s">
        <v>23</v>
      </c>
      <c r="I101" s="619">
        <f>32.5+263.7+311.3+162</f>
        <v>769.5</v>
      </c>
      <c r="J101" s="155"/>
      <c r="K101" s="620"/>
      <c r="L101" s="619"/>
      <c r="M101" s="678" t="s">
        <v>172</v>
      </c>
      <c r="N101" s="688">
        <v>5</v>
      </c>
      <c r="O101" s="137"/>
      <c r="P101" s="660"/>
      <c r="Q101" s="741"/>
      <c r="R101" s="12"/>
      <c r="S101" s="12"/>
      <c r="T101" s="12"/>
      <c r="U101" s="12"/>
      <c r="V101" s="12"/>
      <c r="W101" s="12"/>
    </row>
    <row r="102" spans="1:23" s="1" customFormat="1" ht="13.5" customHeight="1" thickBot="1" x14ac:dyDescent="0.25">
      <c r="A102" s="50"/>
      <c r="B102" s="6"/>
      <c r="C102" s="41"/>
      <c r="D102" s="64"/>
      <c r="E102" s="101"/>
      <c r="F102" s="319"/>
      <c r="G102" s="722"/>
      <c r="H102" s="386" t="s">
        <v>20</v>
      </c>
      <c r="I102" s="115">
        <f>I101</f>
        <v>769.5</v>
      </c>
      <c r="J102" s="158">
        <f>J101</f>
        <v>0</v>
      </c>
      <c r="K102" s="118">
        <f>K101</f>
        <v>0</v>
      </c>
      <c r="L102" s="158">
        <f>L101</f>
        <v>0</v>
      </c>
      <c r="M102" s="685"/>
      <c r="N102" s="725"/>
      <c r="O102" s="139"/>
      <c r="P102" s="416"/>
      <c r="Q102" s="743"/>
      <c r="R102" s="12"/>
      <c r="S102" s="12"/>
      <c r="T102" s="12"/>
      <c r="U102" s="12"/>
      <c r="V102" s="12"/>
      <c r="W102" s="12"/>
    </row>
    <row r="103" spans="1:23" s="1" customFormat="1" ht="24.75" customHeight="1" x14ac:dyDescent="0.2">
      <c r="A103" s="49" t="s">
        <v>7</v>
      </c>
      <c r="B103" s="5" t="s">
        <v>21</v>
      </c>
      <c r="C103" s="18" t="s">
        <v>109</v>
      </c>
      <c r="D103" s="65"/>
      <c r="E103" s="926" t="s">
        <v>162</v>
      </c>
      <c r="F103" s="318"/>
      <c r="G103" s="1158" t="s">
        <v>234</v>
      </c>
      <c r="H103" s="671"/>
      <c r="I103" s="237"/>
      <c r="J103" s="475"/>
      <c r="K103" s="206"/>
      <c r="L103" s="377"/>
      <c r="M103" s="1189" t="s">
        <v>163</v>
      </c>
      <c r="N103" s="724">
        <v>1</v>
      </c>
      <c r="O103" s="138"/>
      <c r="P103" s="415"/>
      <c r="Q103" s="742"/>
      <c r="R103" s="12"/>
      <c r="S103" s="12"/>
      <c r="T103" s="12"/>
      <c r="U103" s="12"/>
      <c r="V103" s="12"/>
      <c r="W103" s="12"/>
    </row>
    <row r="104" spans="1:23" s="1" customFormat="1" ht="15.75" customHeight="1" thickBot="1" x14ac:dyDescent="0.25">
      <c r="A104" s="51"/>
      <c r="B104" s="2"/>
      <c r="C104" s="19"/>
      <c r="D104" s="66"/>
      <c r="E104" s="925"/>
      <c r="F104" s="316"/>
      <c r="G104" s="1160"/>
      <c r="H104" s="386" t="s">
        <v>20</v>
      </c>
      <c r="I104" s="115">
        <f>I103</f>
        <v>0</v>
      </c>
      <c r="J104" s="158">
        <f>J103</f>
        <v>0</v>
      </c>
      <c r="K104" s="118">
        <f>K103</f>
        <v>0</v>
      </c>
      <c r="L104" s="115">
        <f>L103</f>
        <v>0</v>
      </c>
      <c r="M104" s="1087"/>
      <c r="N104" s="725"/>
      <c r="O104" s="139"/>
      <c r="P104" s="416"/>
      <c r="Q104" s="743"/>
      <c r="R104" s="12"/>
      <c r="S104" s="12"/>
      <c r="T104" s="12"/>
      <c r="U104" s="12"/>
      <c r="V104" s="12"/>
      <c r="W104" s="12"/>
    </row>
    <row r="105" spans="1:23" s="1" customFormat="1" ht="27" customHeight="1" x14ac:dyDescent="0.2">
      <c r="A105" s="49" t="s">
        <v>7</v>
      </c>
      <c r="B105" s="636" t="s">
        <v>21</v>
      </c>
      <c r="C105" s="638" t="s">
        <v>124</v>
      </c>
      <c r="D105" s="727"/>
      <c r="E105" s="1197" t="s">
        <v>220</v>
      </c>
      <c r="F105" s="1198"/>
      <c r="G105" s="1158" t="s">
        <v>100</v>
      </c>
      <c r="H105" s="418" t="s">
        <v>23</v>
      </c>
      <c r="I105" s="377">
        <f>1331.4+1751.3</f>
        <v>3082.7</v>
      </c>
      <c r="J105" s="500"/>
      <c r="K105" s="179"/>
      <c r="L105" s="162"/>
      <c r="M105" s="1008" t="s">
        <v>222</v>
      </c>
      <c r="N105" s="688">
        <v>3</v>
      </c>
      <c r="O105" s="1230"/>
      <c r="P105" s="988"/>
      <c r="Q105" s="1232"/>
      <c r="R105" s="12"/>
      <c r="S105" s="12"/>
      <c r="T105" s="12"/>
      <c r="U105" s="12"/>
      <c r="V105" s="12"/>
      <c r="W105" s="12"/>
    </row>
    <row r="106" spans="1:23" s="1" customFormat="1" ht="16.5" customHeight="1" thickBot="1" x14ac:dyDescent="0.25">
      <c r="A106" s="51"/>
      <c r="B106" s="637"/>
      <c r="C106" s="625"/>
      <c r="D106" s="729"/>
      <c r="E106" s="1194"/>
      <c r="F106" s="1196"/>
      <c r="G106" s="1160"/>
      <c r="H106" s="639" t="s">
        <v>20</v>
      </c>
      <c r="I106" s="447">
        <f>I105</f>
        <v>3082.7</v>
      </c>
      <c r="J106" s="256">
        <f>J105</f>
        <v>0</v>
      </c>
      <c r="K106" s="118">
        <f>K105</f>
        <v>0</v>
      </c>
      <c r="L106" s="256">
        <f>L105</f>
        <v>0</v>
      </c>
      <c r="M106" s="1010"/>
      <c r="N106" s="725"/>
      <c r="O106" s="1231"/>
      <c r="P106" s="990"/>
      <c r="Q106" s="1233"/>
      <c r="R106" s="12"/>
      <c r="S106" s="12"/>
      <c r="T106" s="12"/>
      <c r="U106" s="12"/>
      <c r="V106" s="12"/>
      <c r="W106" s="12"/>
    </row>
    <row r="107" spans="1:23" s="1" customFormat="1" ht="24.75" customHeight="1" x14ac:dyDescent="0.2">
      <c r="A107" s="50" t="s">
        <v>7</v>
      </c>
      <c r="B107" s="635" t="s">
        <v>21</v>
      </c>
      <c r="C107" s="34" t="s">
        <v>186</v>
      </c>
      <c r="D107" s="728"/>
      <c r="E107" s="1193" t="s">
        <v>221</v>
      </c>
      <c r="F107" s="1195"/>
      <c r="G107" s="1159" t="s">
        <v>100</v>
      </c>
      <c r="H107" s="418" t="s">
        <v>23</v>
      </c>
      <c r="I107" s="377">
        <f>1.5+2574.4</f>
        <v>2575.9</v>
      </c>
      <c r="J107" s="500"/>
      <c r="K107" s="179"/>
      <c r="L107" s="162"/>
      <c r="M107" s="1008" t="s">
        <v>172</v>
      </c>
      <c r="N107" s="724">
        <v>1</v>
      </c>
      <c r="O107" s="1234"/>
      <c r="P107" s="989"/>
      <c r="Q107" s="1235"/>
      <c r="R107" s="12"/>
      <c r="S107" s="12"/>
      <c r="T107" s="12"/>
      <c r="U107" s="12"/>
      <c r="V107" s="12"/>
      <c r="W107" s="12"/>
    </row>
    <row r="108" spans="1:23" s="1" customFormat="1" ht="15" customHeight="1" thickBot="1" x14ac:dyDescent="0.25">
      <c r="A108" s="50"/>
      <c r="B108" s="635"/>
      <c r="C108" s="625"/>
      <c r="D108" s="729"/>
      <c r="E108" s="1194"/>
      <c r="F108" s="1196"/>
      <c r="G108" s="1160"/>
      <c r="H108" s="639" t="s">
        <v>20</v>
      </c>
      <c r="I108" s="447">
        <f>I107</f>
        <v>2575.9</v>
      </c>
      <c r="J108" s="256">
        <f>J107</f>
        <v>0</v>
      </c>
      <c r="K108" s="118">
        <f>K107</f>
        <v>0</v>
      </c>
      <c r="L108" s="256">
        <f>L107</f>
        <v>0</v>
      </c>
      <c r="M108" s="1010"/>
      <c r="N108" s="725"/>
      <c r="O108" s="1231"/>
      <c r="P108" s="990"/>
      <c r="Q108" s="1233"/>
      <c r="R108" s="12"/>
      <c r="S108" s="12"/>
      <c r="T108" s="12"/>
      <c r="U108" s="12"/>
      <c r="V108" s="12"/>
      <c r="W108" s="12"/>
    </row>
    <row r="109" spans="1:23" s="1" customFormat="1" ht="15.75" customHeight="1" thickBot="1" x14ac:dyDescent="0.25">
      <c r="A109" s="52" t="s">
        <v>7</v>
      </c>
      <c r="B109" s="4" t="s">
        <v>21</v>
      </c>
      <c r="C109" s="928" t="s">
        <v>29</v>
      </c>
      <c r="D109" s="929"/>
      <c r="E109" s="929"/>
      <c r="F109" s="929"/>
      <c r="G109" s="929"/>
      <c r="H109" s="929"/>
      <c r="I109" s="103">
        <f>+I95+I80+I77+I74+I89+I84+I98+I104+I106+I108+I102+I100</f>
        <v>7770.7999999999993</v>
      </c>
      <c r="J109" s="185">
        <f>+J95+J80+J77+J74+J89+J84+J98+J104+J100+J102+J106+J108</f>
        <v>1352.7999999999997</v>
      </c>
      <c r="K109" s="185">
        <f>+K95+K80+K77+K74+K89+K84+K98+K104+K100+K102+K106+K108</f>
        <v>1399.7000000000003</v>
      </c>
      <c r="L109" s="185">
        <f>+L95+L80+L77+L74+L89+L84+L98+L104+L100+L102+L106+L108</f>
        <v>1431.1</v>
      </c>
      <c r="M109" s="907"/>
      <c r="N109" s="908"/>
      <c r="O109" s="908"/>
      <c r="P109" s="908"/>
      <c r="Q109" s="909"/>
      <c r="R109" s="12"/>
      <c r="S109" s="178"/>
      <c r="T109" s="12"/>
      <c r="U109" s="12"/>
      <c r="V109" s="12"/>
      <c r="W109" s="12"/>
    </row>
    <row r="110" spans="1:23" s="1" customFormat="1" ht="13.5" customHeight="1" thickBot="1" x14ac:dyDescent="0.25">
      <c r="A110" s="52" t="s">
        <v>7</v>
      </c>
      <c r="B110" s="4" t="s">
        <v>25</v>
      </c>
      <c r="C110" s="982" t="s">
        <v>35</v>
      </c>
      <c r="D110" s="983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4"/>
      <c r="R110" s="12"/>
      <c r="S110" s="12"/>
      <c r="T110" s="12"/>
      <c r="U110" s="12"/>
      <c r="V110" s="12"/>
      <c r="W110" s="12"/>
    </row>
    <row r="111" spans="1:23" s="1" customFormat="1" ht="30" customHeight="1" x14ac:dyDescent="0.2">
      <c r="A111" s="56" t="s">
        <v>7</v>
      </c>
      <c r="B111" s="42" t="s">
        <v>25</v>
      </c>
      <c r="C111" s="748" t="s">
        <v>7</v>
      </c>
      <c r="D111" s="728"/>
      <c r="E111" s="735" t="s">
        <v>106</v>
      </c>
      <c r="F111" s="369"/>
      <c r="G111" s="699"/>
      <c r="H111" s="257"/>
      <c r="I111" s="257"/>
      <c r="J111" s="68"/>
      <c r="K111" s="114"/>
      <c r="L111" s="68"/>
      <c r="M111" s="692"/>
      <c r="N111" s="671"/>
      <c r="O111" s="455"/>
      <c r="P111" s="456"/>
      <c r="Q111" s="457"/>
      <c r="R111" s="12"/>
      <c r="S111" s="12"/>
      <c r="T111" s="12"/>
      <c r="U111" s="12"/>
      <c r="V111" s="12"/>
      <c r="W111" s="12"/>
    </row>
    <row r="112" spans="1:23" s="1" customFormat="1" ht="15" customHeight="1" x14ac:dyDescent="0.2">
      <c r="A112" s="749"/>
      <c r="B112" s="747"/>
      <c r="C112" s="748"/>
      <c r="D112" s="1190" t="s">
        <v>7</v>
      </c>
      <c r="E112" s="953" t="s">
        <v>134</v>
      </c>
      <c r="F112" s="321" t="s">
        <v>36</v>
      </c>
      <c r="G112" s="1192" t="s">
        <v>107</v>
      </c>
      <c r="H112" s="258" t="s">
        <v>12</v>
      </c>
      <c r="I112" s="397">
        <f>530.9-300</f>
        <v>230.89999999999998</v>
      </c>
      <c r="J112" s="454">
        <v>45</v>
      </c>
      <c r="K112" s="173"/>
      <c r="L112" s="167"/>
      <c r="M112" s="694" t="s">
        <v>212</v>
      </c>
      <c r="N112" s="736">
        <v>95</v>
      </c>
      <c r="O112" s="135">
        <v>100</v>
      </c>
      <c r="P112" s="136"/>
      <c r="Q112" s="152"/>
      <c r="R112" s="12"/>
      <c r="S112" s="12"/>
      <c r="T112" s="12"/>
      <c r="U112" s="12"/>
      <c r="V112" s="12"/>
      <c r="W112" s="12"/>
    </row>
    <row r="113" spans="1:23" s="1" customFormat="1" ht="15" customHeight="1" x14ac:dyDescent="0.2">
      <c r="A113" s="749"/>
      <c r="B113" s="747"/>
      <c r="C113" s="748"/>
      <c r="D113" s="1154"/>
      <c r="E113" s="954"/>
      <c r="F113" s="553" t="s">
        <v>95</v>
      </c>
      <c r="G113" s="1184"/>
      <c r="H113" s="258" t="s">
        <v>151</v>
      </c>
      <c r="I113" s="398">
        <v>300</v>
      </c>
      <c r="J113" s="454"/>
      <c r="K113" s="173"/>
      <c r="L113" s="167"/>
      <c r="M113" s="719"/>
      <c r="N113" s="737"/>
      <c r="O113" s="135"/>
      <c r="P113" s="136"/>
      <c r="Q113" s="152"/>
      <c r="R113" s="12"/>
      <c r="S113" s="12"/>
      <c r="T113" s="12"/>
      <c r="U113" s="12"/>
      <c r="V113" s="12"/>
      <c r="W113" s="12"/>
    </row>
    <row r="114" spans="1:23" s="1" customFormat="1" ht="15" customHeight="1" x14ac:dyDescent="0.2">
      <c r="A114" s="977"/>
      <c r="B114" s="942"/>
      <c r="C114" s="944"/>
      <c r="D114" s="1154"/>
      <c r="E114" s="954"/>
      <c r="F114" s="553" t="s">
        <v>201</v>
      </c>
      <c r="G114" s="1184"/>
      <c r="H114" s="259" t="s">
        <v>66</v>
      </c>
      <c r="I114" s="398">
        <v>48.8</v>
      </c>
      <c r="J114" s="454"/>
      <c r="K114" s="173"/>
      <c r="L114" s="167"/>
      <c r="M114" s="719"/>
      <c r="N114" s="737"/>
      <c r="O114" s="135"/>
      <c r="P114" s="136"/>
      <c r="Q114" s="152"/>
      <c r="R114" s="12"/>
      <c r="S114" s="12"/>
      <c r="T114" s="12"/>
      <c r="U114" s="12"/>
      <c r="V114" s="12"/>
      <c r="W114" s="12"/>
    </row>
    <row r="115" spans="1:23" s="1" customFormat="1" ht="15" customHeight="1" thickBot="1" x14ac:dyDescent="0.25">
      <c r="A115" s="1171"/>
      <c r="B115" s="1172"/>
      <c r="C115" s="1182"/>
      <c r="D115" s="1155"/>
      <c r="E115" s="1191"/>
      <c r="F115" s="322"/>
      <c r="G115" s="1185"/>
      <c r="H115" s="386" t="s">
        <v>20</v>
      </c>
      <c r="I115" s="399">
        <f>SUM(I112:I114)</f>
        <v>579.69999999999993</v>
      </c>
      <c r="J115" s="121">
        <f t="shared" ref="J115:L115" si="13">SUM(J112:J114)</f>
        <v>45</v>
      </c>
      <c r="K115" s="118">
        <f t="shared" si="13"/>
        <v>0</v>
      </c>
      <c r="L115" s="115">
        <f t="shared" si="13"/>
        <v>0</v>
      </c>
      <c r="M115" s="693"/>
      <c r="N115" s="672"/>
      <c r="O115" s="583"/>
      <c r="P115" s="674"/>
      <c r="Q115" s="683"/>
      <c r="R115" s="12"/>
      <c r="S115" s="12"/>
      <c r="T115" s="12"/>
      <c r="U115" s="12"/>
      <c r="V115" s="12"/>
      <c r="W115" s="12"/>
    </row>
    <row r="116" spans="1:23" s="1" customFormat="1" ht="15.75" customHeight="1" x14ac:dyDescent="0.2">
      <c r="A116" s="977"/>
      <c r="B116" s="942"/>
      <c r="C116" s="944"/>
      <c r="D116" s="1153" t="s">
        <v>21</v>
      </c>
      <c r="E116" s="1169" t="s">
        <v>135</v>
      </c>
      <c r="F116" s="321" t="s">
        <v>36</v>
      </c>
      <c r="G116" s="1183" t="s">
        <v>101</v>
      </c>
      <c r="H116" s="513" t="s">
        <v>66</v>
      </c>
      <c r="I116" s="523">
        <f>400+87.9-16.2-0.9+60-150</f>
        <v>380.79999999999995</v>
      </c>
      <c r="J116" s="193">
        <v>151.9</v>
      </c>
      <c r="K116" s="206"/>
      <c r="L116" s="377"/>
      <c r="M116" s="1236" t="s">
        <v>161</v>
      </c>
      <c r="N116" s="1238">
        <v>100</v>
      </c>
      <c r="O116" s="593"/>
      <c r="P116" s="595"/>
      <c r="Q116" s="599"/>
      <c r="R116" s="12"/>
      <c r="S116" s="12"/>
      <c r="T116" s="12"/>
      <c r="U116" s="12"/>
      <c r="V116" s="178"/>
      <c r="W116" s="12"/>
    </row>
    <row r="117" spans="1:23" s="1" customFormat="1" ht="36.75" customHeight="1" x14ac:dyDescent="0.2">
      <c r="A117" s="978"/>
      <c r="B117" s="943"/>
      <c r="C117" s="945"/>
      <c r="D117" s="1154"/>
      <c r="E117" s="947"/>
      <c r="F117" s="321" t="s">
        <v>95</v>
      </c>
      <c r="G117" s="1184"/>
      <c r="H117" s="260" t="s">
        <v>12</v>
      </c>
      <c r="I117" s="401"/>
      <c r="J117" s="1246">
        <v>54.1</v>
      </c>
      <c r="K117" s="1240"/>
      <c r="L117" s="1242"/>
      <c r="M117" s="1237"/>
      <c r="N117" s="1239"/>
      <c r="O117" s="594"/>
      <c r="P117" s="598"/>
      <c r="Q117" s="602"/>
      <c r="R117" s="12"/>
      <c r="S117" s="12"/>
      <c r="T117" s="12"/>
      <c r="U117" s="12"/>
      <c r="V117" s="12"/>
      <c r="W117" s="178"/>
    </row>
    <row r="118" spans="1:23" s="1" customFormat="1" ht="12" customHeight="1" x14ac:dyDescent="0.2">
      <c r="A118" s="978"/>
      <c r="B118" s="943"/>
      <c r="C118" s="945"/>
      <c r="D118" s="1154"/>
      <c r="E118" s="947"/>
      <c r="F118" s="553" t="s">
        <v>201</v>
      </c>
      <c r="G118" s="1184"/>
      <c r="H118" s="260"/>
      <c r="I118" s="401"/>
      <c r="J118" s="1166"/>
      <c r="K118" s="1241"/>
      <c r="L118" s="1243"/>
      <c r="M118" s="1244" t="s">
        <v>212</v>
      </c>
      <c r="N118" s="590">
        <v>90</v>
      </c>
      <c r="O118" s="592">
        <v>100</v>
      </c>
      <c r="P118" s="596"/>
      <c r="Q118" s="600"/>
      <c r="R118" s="12"/>
      <c r="S118" s="12"/>
      <c r="T118" s="12"/>
      <c r="U118" s="12"/>
      <c r="V118" s="12"/>
      <c r="W118" s="178"/>
    </row>
    <row r="119" spans="1:23" s="1" customFormat="1" ht="15.75" customHeight="1" thickBot="1" x14ac:dyDescent="0.25">
      <c r="A119" s="1171"/>
      <c r="B119" s="1172"/>
      <c r="C119" s="1182"/>
      <c r="D119" s="1155"/>
      <c r="E119" s="1170"/>
      <c r="F119" s="323"/>
      <c r="G119" s="1185"/>
      <c r="H119" s="386" t="s">
        <v>20</v>
      </c>
      <c r="I119" s="402">
        <f>SUM(I116:I117)</f>
        <v>380.79999999999995</v>
      </c>
      <c r="J119" s="496">
        <f t="shared" ref="J119:L119" si="14">SUM(J116:J117)</f>
        <v>206</v>
      </c>
      <c r="K119" s="174">
        <f t="shared" si="14"/>
        <v>0</v>
      </c>
      <c r="L119" s="168">
        <f t="shared" si="14"/>
        <v>0</v>
      </c>
      <c r="M119" s="1245"/>
      <c r="N119" s="591"/>
      <c r="O119" s="584"/>
      <c r="P119" s="597"/>
      <c r="Q119" s="601"/>
      <c r="R119" s="12"/>
      <c r="S119" s="12"/>
      <c r="T119" s="178"/>
      <c r="U119" s="12"/>
      <c r="V119" s="12"/>
      <c r="W119" s="12"/>
    </row>
    <row r="120" spans="1:23" s="1" customFormat="1" ht="28.5" customHeight="1" x14ac:dyDescent="0.2">
      <c r="A120" s="977"/>
      <c r="B120" s="942"/>
      <c r="C120" s="944"/>
      <c r="D120" s="1153" t="s">
        <v>25</v>
      </c>
      <c r="E120" s="1175" t="s">
        <v>136</v>
      </c>
      <c r="F120" s="568" t="s">
        <v>95</v>
      </c>
      <c r="G120" s="1183" t="s">
        <v>101</v>
      </c>
      <c r="H120" s="513" t="s">
        <v>12</v>
      </c>
      <c r="I120" s="554">
        <f>81.1-9.8</f>
        <v>71.3</v>
      </c>
      <c r="J120" s="555">
        <v>132.80000000000001</v>
      </c>
      <c r="K120" s="556">
        <v>600</v>
      </c>
      <c r="L120" s="555">
        <v>740.3</v>
      </c>
      <c r="M120" s="557" t="s">
        <v>64</v>
      </c>
      <c r="N120" s="503">
        <v>1</v>
      </c>
      <c r="O120" s="504"/>
      <c r="P120" s="505"/>
      <c r="Q120" s="506"/>
      <c r="R120" s="12"/>
      <c r="S120" s="12"/>
      <c r="T120" s="12"/>
      <c r="U120" s="12"/>
      <c r="V120" s="12"/>
      <c r="W120" s="12"/>
    </row>
    <row r="121" spans="1:23" s="1" customFormat="1" ht="15.75" customHeight="1" x14ac:dyDescent="0.2">
      <c r="A121" s="978"/>
      <c r="B121" s="943"/>
      <c r="C121" s="945"/>
      <c r="D121" s="1154"/>
      <c r="E121" s="947"/>
      <c r="F121" s="734"/>
      <c r="G121" s="1184"/>
      <c r="H121" s="754" t="s">
        <v>66</v>
      </c>
      <c r="I121" s="404"/>
      <c r="J121" s="643">
        <v>17.2</v>
      </c>
      <c r="K121" s="476"/>
      <c r="L121" s="643"/>
      <c r="M121" s="176" t="s">
        <v>212</v>
      </c>
      <c r="N121" s="590"/>
      <c r="O121" s="501">
        <v>10</v>
      </c>
      <c r="P121" s="502">
        <v>50</v>
      </c>
      <c r="Q121" s="580">
        <v>100</v>
      </c>
      <c r="R121" s="12"/>
      <c r="S121" s="12"/>
      <c r="T121" s="12"/>
      <c r="U121" s="12"/>
      <c r="V121" s="12"/>
      <c r="W121" s="12"/>
    </row>
    <row r="122" spans="1:23" s="1" customFormat="1" ht="15.6" customHeight="1" x14ac:dyDescent="0.2">
      <c r="A122" s="978"/>
      <c r="B122" s="943"/>
      <c r="C122" s="945"/>
      <c r="D122" s="1154"/>
      <c r="E122" s="947"/>
      <c r="F122" s="546" t="s">
        <v>36</v>
      </c>
      <c r="G122" s="1184" t="s">
        <v>107</v>
      </c>
      <c r="H122" s="754" t="s">
        <v>59</v>
      </c>
      <c r="I122" s="404"/>
      <c r="J122" s="649">
        <v>850</v>
      </c>
      <c r="K122" s="476">
        <v>3400</v>
      </c>
      <c r="L122" s="477">
        <v>4117.3</v>
      </c>
      <c r="M122" s="176"/>
      <c r="N122" s="361"/>
      <c r="O122" s="501"/>
      <c r="P122" s="502"/>
      <c r="Q122" s="580"/>
      <c r="R122" s="12"/>
      <c r="S122" s="12"/>
      <c r="T122" s="12"/>
      <c r="U122" s="12"/>
      <c r="V122" s="12"/>
      <c r="W122" s="12"/>
    </row>
    <row r="123" spans="1:23" s="1" customFormat="1" ht="15" customHeight="1" thickBot="1" x14ac:dyDescent="0.25">
      <c r="A123" s="1171"/>
      <c r="B123" s="1172"/>
      <c r="C123" s="1182"/>
      <c r="D123" s="1155"/>
      <c r="E123" s="1176"/>
      <c r="F123" s="718" t="s">
        <v>201</v>
      </c>
      <c r="G123" s="1185"/>
      <c r="H123" s="391" t="s">
        <v>20</v>
      </c>
      <c r="I123" s="405">
        <f>SUM(I120:I122)</f>
        <v>71.3</v>
      </c>
      <c r="J123" s="516">
        <f t="shared" ref="J123:L123" si="15">SUM(J120:J122)</f>
        <v>1000</v>
      </c>
      <c r="K123" s="285">
        <f t="shared" si="15"/>
        <v>4000</v>
      </c>
      <c r="L123" s="447">
        <f t="shared" si="15"/>
        <v>4857.6000000000004</v>
      </c>
      <c r="M123" s="752"/>
      <c r="N123" s="370"/>
      <c r="O123" s="426"/>
      <c r="P123" s="439"/>
      <c r="Q123" s="427"/>
      <c r="R123" s="12"/>
      <c r="S123" s="12"/>
      <c r="T123" s="12"/>
      <c r="U123" s="12"/>
      <c r="V123" s="12"/>
      <c r="W123" s="12"/>
    </row>
    <row r="124" spans="1:23" s="1" customFormat="1" ht="27" customHeight="1" x14ac:dyDescent="0.2">
      <c r="A124" s="977"/>
      <c r="B124" s="942"/>
      <c r="C124" s="944"/>
      <c r="D124" s="1153" t="s">
        <v>28</v>
      </c>
      <c r="E124" s="1175" t="s">
        <v>137</v>
      </c>
      <c r="F124" s="1186" t="s">
        <v>36</v>
      </c>
      <c r="G124" s="1183" t="s">
        <v>107</v>
      </c>
      <c r="H124" s="753" t="s">
        <v>23</v>
      </c>
      <c r="I124" s="403">
        <f>2448+50.7+0.3</f>
        <v>2499</v>
      </c>
      <c r="J124" s="343"/>
      <c r="K124" s="444"/>
      <c r="L124" s="343"/>
      <c r="M124" s="175" t="s">
        <v>94</v>
      </c>
      <c r="N124" s="675">
        <v>100</v>
      </c>
      <c r="O124" s="424"/>
      <c r="P124" s="438"/>
      <c r="Q124" s="425"/>
      <c r="R124" s="12"/>
      <c r="S124" s="12"/>
      <c r="T124" s="12"/>
      <c r="U124" s="12"/>
      <c r="V124" s="12"/>
      <c r="W124" s="12"/>
    </row>
    <row r="125" spans="1:23" s="1" customFormat="1" ht="12.75" customHeight="1" x14ac:dyDescent="0.2">
      <c r="A125" s="978"/>
      <c r="B125" s="943"/>
      <c r="C125" s="945"/>
      <c r="D125" s="1154"/>
      <c r="E125" s="947"/>
      <c r="F125" s="1187"/>
      <c r="G125" s="1184"/>
      <c r="H125" s="754"/>
      <c r="I125" s="406"/>
      <c r="J125" s="232"/>
      <c r="K125" s="762"/>
      <c r="L125" s="236"/>
      <c r="M125" s="176"/>
      <c r="N125" s="361"/>
      <c r="O125" s="177"/>
      <c r="P125" s="140"/>
      <c r="Q125" s="153"/>
      <c r="R125" s="12"/>
      <c r="S125" s="12"/>
      <c r="T125" s="12"/>
      <c r="U125" s="12"/>
      <c r="V125" s="12"/>
      <c r="W125" s="12"/>
    </row>
    <row r="126" spans="1:23" s="1" customFormat="1" ht="18" customHeight="1" thickBot="1" x14ac:dyDescent="0.25">
      <c r="A126" s="1171"/>
      <c r="B126" s="1172"/>
      <c r="C126" s="1182"/>
      <c r="D126" s="1155"/>
      <c r="E126" s="1176"/>
      <c r="F126" s="1188"/>
      <c r="G126" s="1185"/>
      <c r="H126" s="392" t="s">
        <v>20</v>
      </c>
      <c r="I126" s="399">
        <f t="shared" ref="I126:L126" si="16">SUM(I124:I124)</f>
        <v>2499</v>
      </c>
      <c r="J126" s="121">
        <f t="shared" si="16"/>
        <v>0</v>
      </c>
      <c r="K126" s="118">
        <f t="shared" si="16"/>
        <v>0</v>
      </c>
      <c r="L126" s="115">
        <f t="shared" si="16"/>
        <v>0</v>
      </c>
      <c r="M126" s="74"/>
      <c r="N126" s="681"/>
      <c r="O126" s="428"/>
      <c r="P126" s="440"/>
      <c r="Q126" s="626"/>
      <c r="R126" s="178"/>
      <c r="S126" s="12"/>
      <c r="T126" s="12"/>
      <c r="U126" s="178"/>
      <c r="V126" s="12"/>
      <c r="W126" s="12"/>
    </row>
    <row r="127" spans="1:23" s="1" customFormat="1" ht="18" customHeight="1" x14ac:dyDescent="0.2">
      <c r="A127" s="749"/>
      <c r="B127" s="747"/>
      <c r="C127" s="98"/>
      <c r="D127" s="532" t="s">
        <v>38</v>
      </c>
      <c r="E127" s="1110" t="s">
        <v>202</v>
      </c>
      <c r="F127" s="568" t="s">
        <v>36</v>
      </c>
      <c r="G127" s="698" t="s">
        <v>107</v>
      </c>
      <c r="H127" s="753" t="s">
        <v>12</v>
      </c>
      <c r="I127" s="400"/>
      <c r="J127" s="760"/>
      <c r="K127" s="761">
        <f>300</f>
        <v>300</v>
      </c>
      <c r="L127" s="662"/>
      <c r="M127" s="1167" t="s">
        <v>64</v>
      </c>
      <c r="N127" s="679"/>
      <c r="O127" s="561"/>
      <c r="P127" s="756">
        <v>1</v>
      </c>
      <c r="Q127" s="642"/>
      <c r="R127" s="178"/>
      <c r="S127" s="12"/>
      <c r="T127" s="12"/>
      <c r="U127" s="178"/>
      <c r="V127" s="12"/>
      <c r="W127" s="12"/>
    </row>
    <row r="128" spans="1:23" s="1" customFormat="1" ht="12.75" customHeight="1" x14ac:dyDescent="0.2">
      <c r="A128" s="749"/>
      <c r="B128" s="747"/>
      <c r="C128" s="98"/>
      <c r="D128" s="535"/>
      <c r="E128" s="952"/>
      <c r="F128" s="734" t="s">
        <v>200</v>
      </c>
      <c r="G128" s="699"/>
      <c r="H128" s="663"/>
      <c r="I128" s="664"/>
      <c r="J128" s="665"/>
      <c r="K128" s="666"/>
      <c r="L128" s="667"/>
      <c r="M128" s="918"/>
      <c r="N128" s="562"/>
      <c r="O128" s="563"/>
      <c r="P128" s="644"/>
      <c r="Q128" s="645"/>
      <c r="R128" s="178"/>
      <c r="S128" s="12"/>
      <c r="T128" s="12"/>
      <c r="U128" s="178"/>
      <c r="V128" s="12"/>
      <c r="W128" s="12"/>
    </row>
    <row r="129" spans="1:26" s="1" customFormat="1" ht="16.899999999999999" customHeight="1" x14ac:dyDescent="0.2">
      <c r="A129" s="749"/>
      <c r="B129" s="747"/>
      <c r="C129" s="98"/>
      <c r="D129" s="535"/>
      <c r="E129" s="730"/>
      <c r="F129" s="734" t="s">
        <v>201</v>
      </c>
      <c r="G129" s="699"/>
      <c r="H129" s="251" t="s">
        <v>37</v>
      </c>
      <c r="I129" s="668"/>
      <c r="J129" s="669"/>
      <c r="K129" s="208"/>
      <c r="L129" s="670">
        <v>5774</v>
      </c>
      <c r="M129" s="509" t="s">
        <v>212</v>
      </c>
      <c r="N129" s="680"/>
      <c r="O129" s="558"/>
      <c r="P129" s="757"/>
      <c r="Q129" s="560">
        <v>20</v>
      </c>
      <c r="R129" s="178"/>
      <c r="S129" s="12"/>
      <c r="T129" s="12"/>
      <c r="U129" s="178"/>
      <c r="V129" s="12"/>
      <c r="W129" s="12"/>
    </row>
    <row r="130" spans="1:26" s="1" customFormat="1" ht="18" customHeight="1" thickBot="1" x14ac:dyDescent="0.25">
      <c r="A130" s="749"/>
      <c r="B130" s="747"/>
      <c r="C130" s="98"/>
      <c r="D130" s="537"/>
      <c r="E130" s="731"/>
      <c r="F130" s="630"/>
      <c r="G130" s="705"/>
      <c r="H130" s="391" t="s">
        <v>20</v>
      </c>
      <c r="I130" s="405">
        <f>I127</f>
        <v>0</v>
      </c>
      <c r="J130" s="516">
        <f>J127</f>
        <v>0</v>
      </c>
      <c r="K130" s="285">
        <f>K127</f>
        <v>300</v>
      </c>
      <c r="L130" s="447">
        <f>SUM(L129)</f>
        <v>5774</v>
      </c>
      <c r="M130" s="74"/>
      <c r="N130" s="681"/>
      <c r="O130" s="428"/>
      <c r="P130" s="758"/>
      <c r="Q130" s="661"/>
      <c r="R130" s="178"/>
      <c r="S130" s="12"/>
      <c r="T130" s="12"/>
      <c r="U130" s="178"/>
      <c r="V130" s="12"/>
      <c r="W130" s="12"/>
    </row>
    <row r="131" spans="1:26" s="1" customFormat="1" ht="18" customHeight="1" x14ac:dyDescent="0.2">
      <c r="A131" s="749"/>
      <c r="B131" s="747"/>
      <c r="C131" s="98"/>
      <c r="D131" s="532" t="s">
        <v>39</v>
      </c>
      <c r="E131" s="1110" t="s">
        <v>203</v>
      </c>
      <c r="F131" s="568" t="s">
        <v>36</v>
      </c>
      <c r="G131" s="698" t="s">
        <v>235</v>
      </c>
      <c r="H131" s="753" t="s">
        <v>12</v>
      </c>
      <c r="I131" s="400"/>
      <c r="J131" s="238"/>
      <c r="K131" s="761"/>
      <c r="L131" s="237">
        <v>50</v>
      </c>
      <c r="M131" s="581" t="s">
        <v>226</v>
      </c>
      <c r="N131" s="679"/>
      <c r="O131" s="561"/>
      <c r="P131" s="756"/>
      <c r="Q131" s="570">
        <v>1</v>
      </c>
      <c r="R131" s="178"/>
      <c r="S131" s="12"/>
      <c r="T131" s="12"/>
      <c r="U131" s="178"/>
      <c r="V131" s="12"/>
      <c r="W131" s="12"/>
    </row>
    <row r="132" spans="1:26" s="1" customFormat="1" ht="12.75" customHeight="1" x14ac:dyDescent="0.2">
      <c r="A132" s="749"/>
      <c r="B132" s="747"/>
      <c r="C132" s="98"/>
      <c r="D132" s="535"/>
      <c r="E132" s="952"/>
      <c r="F132" s="734" t="s">
        <v>200</v>
      </c>
      <c r="G132" s="1184" t="s">
        <v>236</v>
      </c>
      <c r="H132" s="564"/>
      <c r="I132" s="759"/>
      <c r="J132" s="565"/>
      <c r="K132" s="566"/>
      <c r="L132" s="567"/>
      <c r="M132" s="509"/>
      <c r="N132" s="680"/>
      <c r="O132" s="558"/>
      <c r="P132" s="757"/>
      <c r="Q132" s="560"/>
      <c r="R132" s="178"/>
      <c r="S132" s="12"/>
      <c r="T132" s="12"/>
      <c r="U132" s="178"/>
      <c r="V132" s="12"/>
      <c r="W132" s="12"/>
    </row>
    <row r="133" spans="1:26" s="1" customFormat="1" ht="18" customHeight="1" thickBot="1" x14ac:dyDescent="0.25">
      <c r="A133" s="749"/>
      <c r="B133" s="747"/>
      <c r="C133" s="98"/>
      <c r="D133" s="537"/>
      <c r="E133" s="1157"/>
      <c r="F133" s="630" t="s">
        <v>201</v>
      </c>
      <c r="G133" s="1185"/>
      <c r="H133" s="391"/>
      <c r="I133" s="405">
        <f>I131</f>
        <v>0</v>
      </c>
      <c r="J133" s="516">
        <f>J131</f>
        <v>0</v>
      </c>
      <c r="K133" s="285">
        <f>K131</f>
        <v>0</v>
      </c>
      <c r="L133" s="447">
        <f>L131</f>
        <v>50</v>
      </c>
      <c r="M133" s="74"/>
      <c r="N133" s="681"/>
      <c r="O133" s="428"/>
      <c r="P133" s="758"/>
      <c r="Q133" s="569"/>
      <c r="R133" s="178"/>
      <c r="S133" s="12"/>
      <c r="T133" s="12"/>
      <c r="U133" s="178"/>
      <c r="V133" s="12"/>
      <c r="W133" s="12"/>
    </row>
    <row r="134" spans="1:26" s="1" customFormat="1" ht="16.149999999999999" customHeight="1" x14ac:dyDescent="0.2">
      <c r="A134" s="749"/>
      <c r="B134" s="747"/>
      <c r="C134" s="748"/>
      <c r="D134" s="728" t="s">
        <v>11</v>
      </c>
      <c r="E134" s="947" t="s">
        <v>141</v>
      </c>
      <c r="F134" s="734" t="s">
        <v>36</v>
      </c>
      <c r="G134" s="1159" t="s">
        <v>108</v>
      </c>
      <c r="H134" s="384" t="s">
        <v>12</v>
      </c>
      <c r="I134" s="411">
        <f>50+101.6</f>
        <v>151.6</v>
      </c>
      <c r="J134" s="232"/>
      <c r="K134" s="459"/>
      <c r="L134" s="460"/>
      <c r="M134" s="1088" t="s">
        <v>88</v>
      </c>
      <c r="N134" s="362">
        <v>100</v>
      </c>
      <c r="O134" s="373"/>
      <c r="P134" s="441"/>
      <c r="Q134" s="374"/>
      <c r="R134" s="178"/>
      <c r="S134" s="12"/>
      <c r="T134" s="12"/>
      <c r="U134" s="12"/>
      <c r="V134" s="12"/>
      <c r="W134" s="12"/>
    </row>
    <row r="135" spans="1:26" s="1" customFormat="1" ht="16.149999999999999" customHeight="1" x14ac:dyDescent="0.2">
      <c r="A135" s="749"/>
      <c r="B135" s="747"/>
      <c r="C135" s="748"/>
      <c r="D135" s="728"/>
      <c r="E135" s="947"/>
      <c r="F135" s="734"/>
      <c r="G135" s="1159"/>
      <c r="H135" s="393" t="s">
        <v>37</v>
      </c>
      <c r="I135" s="407">
        <v>50</v>
      </c>
      <c r="J135" s="478"/>
      <c r="K135" s="479"/>
      <c r="L135" s="480"/>
      <c r="M135" s="1088"/>
      <c r="N135" s="362"/>
      <c r="O135" s="373"/>
      <c r="P135" s="441"/>
      <c r="Q135" s="374"/>
      <c r="R135" s="178"/>
      <c r="S135" s="12"/>
      <c r="T135" s="12"/>
      <c r="U135" s="12"/>
      <c r="V135" s="12"/>
      <c r="W135" s="12"/>
    </row>
    <row r="136" spans="1:26" s="1" customFormat="1" ht="16.149999999999999" customHeight="1" thickBot="1" x14ac:dyDescent="0.25">
      <c r="A136" s="749"/>
      <c r="B136" s="747"/>
      <c r="C136" s="748"/>
      <c r="D136" s="728"/>
      <c r="E136" s="947"/>
      <c r="F136" s="734"/>
      <c r="G136" s="699"/>
      <c r="H136" s="394" t="s">
        <v>20</v>
      </c>
      <c r="I136" s="408">
        <f>I134+I135</f>
        <v>201.6</v>
      </c>
      <c r="J136" s="517">
        <f t="shared" ref="J136:L136" si="17">J134+J135</f>
        <v>0</v>
      </c>
      <c r="K136" s="123">
        <f t="shared" si="17"/>
        <v>0</v>
      </c>
      <c r="L136" s="499">
        <f t="shared" si="17"/>
        <v>0</v>
      </c>
      <c r="M136" s="74"/>
      <c r="N136" s="429"/>
      <c r="O136" s="430"/>
      <c r="P136" s="442"/>
      <c r="Q136" s="431"/>
      <c r="R136" s="178"/>
      <c r="S136" s="12"/>
      <c r="T136" s="12"/>
      <c r="U136" s="12"/>
      <c r="V136" s="12"/>
      <c r="W136" s="12"/>
    </row>
    <row r="137" spans="1:26" s="1" customFormat="1" ht="18.75" customHeight="1" x14ac:dyDescent="0.2">
      <c r="A137" s="749"/>
      <c r="B137" s="747"/>
      <c r="C137" s="98"/>
      <c r="D137" s="532" t="s">
        <v>40</v>
      </c>
      <c r="E137" s="1169" t="s">
        <v>142</v>
      </c>
      <c r="F137" s="766" t="s">
        <v>36</v>
      </c>
      <c r="G137" s="1179" t="s">
        <v>115</v>
      </c>
      <c r="H137" s="533" t="s">
        <v>66</v>
      </c>
      <c r="I137" s="534">
        <f>73.8+0.9-0.5</f>
        <v>74.2</v>
      </c>
      <c r="J137" s="202">
        <v>26</v>
      </c>
      <c r="K137" s="203"/>
      <c r="L137" s="376"/>
      <c r="M137" s="692" t="s">
        <v>81</v>
      </c>
      <c r="N137" s="671"/>
      <c r="O137" s="582">
        <v>1</v>
      </c>
      <c r="P137" s="673"/>
      <c r="Q137" s="682"/>
      <c r="R137" s="12"/>
      <c r="S137" s="12"/>
      <c r="T137" s="12"/>
      <c r="U137" s="12"/>
      <c r="V137" s="12"/>
      <c r="W137" s="12"/>
    </row>
    <row r="138" spans="1:26" s="1" customFormat="1" ht="17.25" customHeight="1" x14ac:dyDescent="0.2">
      <c r="A138" s="749"/>
      <c r="B138" s="747"/>
      <c r="C138" s="98"/>
      <c r="D138" s="535"/>
      <c r="E138" s="947"/>
      <c r="F138" s="764" t="s">
        <v>95</v>
      </c>
      <c r="G138" s="1180"/>
      <c r="H138" s="261" t="s">
        <v>12</v>
      </c>
      <c r="I138" s="536"/>
      <c r="J138" s="466">
        <v>29</v>
      </c>
      <c r="K138" s="467"/>
      <c r="L138" s="746"/>
      <c r="M138" s="719"/>
      <c r="N138" s="737"/>
      <c r="O138" s="135"/>
      <c r="P138" s="136"/>
      <c r="Q138" s="152"/>
      <c r="R138" s="12"/>
      <c r="S138" s="178"/>
      <c r="T138" s="178"/>
      <c r="U138" s="12"/>
      <c r="V138" s="12"/>
      <c r="W138" s="12"/>
    </row>
    <row r="139" spans="1:26" s="1" customFormat="1" ht="17.25" customHeight="1" thickBot="1" x14ac:dyDescent="0.25">
      <c r="A139" s="749"/>
      <c r="B139" s="747"/>
      <c r="C139" s="98"/>
      <c r="D139" s="537"/>
      <c r="E139" s="1170"/>
      <c r="F139" s="767" t="s">
        <v>190</v>
      </c>
      <c r="G139" s="1181"/>
      <c r="H139" s="538" t="s">
        <v>20</v>
      </c>
      <c r="I139" s="399">
        <f t="shared" ref="I139" si="18">SUM(I137:I138)</f>
        <v>74.2</v>
      </c>
      <c r="J139" s="121">
        <f>SUM(J137:J138)</f>
        <v>55</v>
      </c>
      <c r="K139" s="118">
        <f>SUM(K137:K138)</f>
        <v>0</v>
      </c>
      <c r="L139" s="115">
        <f>SUM(L137:L138)</f>
        <v>0</v>
      </c>
      <c r="M139" s="693"/>
      <c r="N139" s="672"/>
      <c r="O139" s="583"/>
      <c r="P139" s="674"/>
      <c r="Q139" s="683"/>
      <c r="R139" s="12"/>
      <c r="S139" s="178"/>
      <c r="T139" s="178"/>
      <c r="U139" s="12"/>
      <c r="V139" s="12"/>
      <c r="W139" s="12"/>
    </row>
    <row r="140" spans="1:26" s="1" customFormat="1" ht="36" customHeight="1" x14ac:dyDescent="0.2">
      <c r="A140" s="50"/>
      <c r="B140" s="6"/>
      <c r="C140" s="41"/>
      <c r="D140" s="64" t="s">
        <v>41</v>
      </c>
      <c r="E140" s="926" t="s">
        <v>128</v>
      </c>
      <c r="F140" s="766" t="s">
        <v>36</v>
      </c>
      <c r="G140" s="1158" t="s">
        <v>164</v>
      </c>
      <c r="H140" s="714" t="s">
        <v>12</v>
      </c>
      <c r="I140" s="401">
        <v>14.2</v>
      </c>
      <c r="J140" s="475">
        <v>223.3</v>
      </c>
      <c r="K140" s="206">
        <f>122.5+1202.2</f>
        <v>1324.7</v>
      </c>
      <c r="L140" s="377"/>
      <c r="M140" s="1189" t="s">
        <v>212</v>
      </c>
      <c r="N140" s="422" t="s">
        <v>127</v>
      </c>
      <c r="O140" s="423" t="s">
        <v>129</v>
      </c>
      <c r="P140" s="689" t="s">
        <v>123</v>
      </c>
      <c r="Q140" s="432"/>
      <c r="R140" s="282"/>
      <c r="S140" s="12"/>
      <c r="T140" s="12"/>
      <c r="U140" s="178"/>
      <c r="V140" s="12"/>
      <c r="W140" s="12"/>
      <c r="X140" s="12"/>
      <c r="Y140" s="12"/>
      <c r="Z140" s="12"/>
    </row>
    <row r="141" spans="1:26" s="1" customFormat="1" ht="36" customHeight="1" x14ac:dyDescent="0.2">
      <c r="A141" s="50"/>
      <c r="B141" s="6"/>
      <c r="C141" s="41"/>
      <c r="D141" s="64"/>
      <c r="E141" s="927"/>
      <c r="F141" s="607" t="s">
        <v>201</v>
      </c>
      <c r="G141" s="1159"/>
      <c r="H141" s="252" t="s">
        <v>69</v>
      </c>
      <c r="I141" s="410">
        <v>137.69999999999999</v>
      </c>
      <c r="J141" s="211">
        <v>2309.1</v>
      </c>
      <c r="K141" s="208">
        <v>1190.9000000000001</v>
      </c>
      <c r="L141" s="209"/>
      <c r="M141" s="1091"/>
      <c r="N141" s="358"/>
      <c r="O141" s="271"/>
      <c r="P141" s="142"/>
      <c r="Q141" s="372"/>
      <c r="R141" s="282"/>
      <c r="S141" s="12"/>
      <c r="T141" s="12"/>
      <c r="U141" s="178"/>
      <c r="V141" s="12"/>
      <c r="W141" s="12"/>
      <c r="X141" s="12"/>
      <c r="Y141" s="12"/>
      <c r="Z141" s="12"/>
    </row>
    <row r="142" spans="1:26" s="1" customFormat="1" ht="32.450000000000003" customHeight="1" x14ac:dyDescent="0.2">
      <c r="A142" s="50"/>
      <c r="B142" s="6"/>
      <c r="C142" s="41"/>
      <c r="D142" s="64"/>
      <c r="E142" s="927"/>
      <c r="F142" s="324"/>
      <c r="G142" s="1159"/>
      <c r="H142" s="395" t="s">
        <v>37</v>
      </c>
      <c r="I142" s="406">
        <v>3.1</v>
      </c>
      <c r="J142" s="211">
        <v>48.6</v>
      </c>
      <c r="K142" s="208">
        <v>5</v>
      </c>
      <c r="L142" s="209"/>
      <c r="M142" s="1091"/>
      <c r="N142" s="358"/>
      <c r="O142" s="271"/>
      <c r="P142" s="142"/>
      <c r="Q142" s="372"/>
      <c r="R142" s="282"/>
      <c r="S142" s="12"/>
      <c r="T142" s="12"/>
      <c r="U142" s="178"/>
      <c r="V142" s="178"/>
      <c r="W142" s="12"/>
      <c r="X142" s="12"/>
      <c r="Y142" s="12"/>
      <c r="Z142" s="12"/>
    </row>
    <row r="143" spans="1:26" s="1" customFormat="1" ht="15.75" customHeight="1" thickBot="1" x14ac:dyDescent="0.25">
      <c r="A143" s="50"/>
      <c r="B143" s="6"/>
      <c r="C143" s="41"/>
      <c r="D143" s="64"/>
      <c r="E143" s="925"/>
      <c r="F143" s="324"/>
      <c r="G143" s="1160"/>
      <c r="H143" s="396" t="s">
        <v>20</v>
      </c>
      <c r="I143" s="408">
        <f>SUM(I140:I142)</f>
        <v>154.99999999999997</v>
      </c>
      <c r="J143" s="517">
        <f t="shared" ref="J143:L143" si="19">SUM(J140:J142)</f>
        <v>2581</v>
      </c>
      <c r="K143" s="285">
        <f t="shared" si="19"/>
        <v>2520.6000000000004</v>
      </c>
      <c r="L143" s="499">
        <f t="shared" si="19"/>
        <v>0</v>
      </c>
      <c r="M143" s="1087"/>
      <c r="N143" s="371"/>
      <c r="O143" s="433"/>
      <c r="P143" s="733"/>
      <c r="Q143" s="434"/>
      <c r="R143" s="12"/>
      <c r="S143" s="178"/>
      <c r="T143" s="12"/>
      <c r="U143" s="12"/>
      <c r="V143" s="12"/>
      <c r="W143" s="12"/>
      <c r="X143" s="12"/>
      <c r="Y143" s="12"/>
      <c r="Z143" s="12"/>
    </row>
    <row r="144" spans="1:26" s="1" customFormat="1" ht="16.899999999999999" customHeight="1" x14ac:dyDescent="0.2">
      <c r="A144" s="977"/>
      <c r="B144" s="942"/>
      <c r="C144" s="944"/>
      <c r="D144" s="1153" t="s">
        <v>109</v>
      </c>
      <c r="E144" s="1175" t="s">
        <v>143</v>
      </c>
      <c r="F144" s="1186" t="s">
        <v>36</v>
      </c>
      <c r="G144" s="1158" t="s">
        <v>108</v>
      </c>
      <c r="H144" s="753" t="s">
        <v>12</v>
      </c>
      <c r="I144" s="409">
        <f>27.5+61.3</f>
        <v>88.8</v>
      </c>
      <c r="J144" s="481"/>
      <c r="K144" s="203"/>
      <c r="L144" s="376"/>
      <c r="M144" s="692" t="s">
        <v>132</v>
      </c>
      <c r="N144" s="671">
        <v>1</v>
      </c>
      <c r="O144" s="582"/>
      <c r="P144" s="673"/>
      <c r="Q144" s="682"/>
      <c r="R144" s="12"/>
      <c r="S144" s="12"/>
      <c r="T144" s="12"/>
      <c r="U144" s="12"/>
      <c r="V144" s="12"/>
      <c r="W144" s="12"/>
    </row>
    <row r="145" spans="1:23" s="1" customFormat="1" ht="16.899999999999999" customHeight="1" x14ac:dyDescent="0.2">
      <c r="A145" s="978"/>
      <c r="B145" s="943"/>
      <c r="C145" s="945"/>
      <c r="D145" s="1154"/>
      <c r="E145" s="947"/>
      <c r="F145" s="1187"/>
      <c r="G145" s="1159"/>
      <c r="H145" s="251" t="s">
        <v>66</v>
      </c>
      <c r="I145" s="397">
        <v>21.2</v>
      </c>
      <c r="J145" s="454"/>
      <c r="K145" s="173"/>
      <c r="L145" s="167"/>
      <c r="M145" s="719"/>
      <c r="N145" s="737"/>
      <c r="O145" s="135"/>
      <c r="P145" s="136"/>
      <c r="Q145" s="152"/>
      <c r="R145" s="12"/>
      <c r="S145" s="178"/>
      <c r="T145" s="12"/>
      <c r="U145" s="12"/>
      <c r="V145" s="12"/>
      <c r="W145" s="12"/>
    </row>
    <row r="146" spans="1:23" s="1" customFormat="1" ht="15.6" customHeight="1" thickBot="1" x14ac:dyDescent="0.25">
      <c r="A146" s="1171"/>
      <c r="B146" s="1172"/>
      <c r="C146" s="1182"/>
      <c r="D146" s="1155"/>
      <c r="E146" s="1176"/>
      <c r="F146" s="1188"/>
      <c r="G146" s="1160"/>
      <c r="H146" s="392" t="s">
        <v>20</v>
      </c>
      <c r="I146" s="399">
        <f>SUM(I144:I145)</f>
        <v>110</v>
      </c>
      <c r="J146" s="121"/>
      <c r="K146" s="118">
        <f t="shared" ref="K146:L146" si="20">SUM(K144:K145)</f>
        <v>0</v>
      </c>
      <c r="L146" s="115">
        <f t="shared" si="20"/>
        <v>0</v>
      </c>
      <c r="M146" s="74"/>
      <c r="N146" s="681"/>
      <c r="O146" s="428"/>
      <c r="P146" s="440"/>
      <c r="Q146" s="626"/>
      <c r="R146" s="12"/>
      <c r="S146" s="178"/>
      <c r="T146" s="12"/>
      <c r="U146" s="12"/>
      <c r="V146" s="12"/>
      <c r="W146" s="12"/>
    </row>
    <row r="147" spans="1:23" s="1" customFormat="1" ht="18" customHeight="1" x14ac:dyDescent="0.2">
      <c r="A147" s="749"/>
      <c r="B147" s="747"/>
      <c r="C147" s="98"/>
      <c r="D147" s="727" t="s">
        <v>124</v>
      </c>
      <c r="E147" s="1156" t="s">
        <v>223</v>
      </c>
      <c r="F147" s="568"/>
      <c r="G147" s="721"/>
      <c r="H147" s="513" t="s">
        <v>12</v>
      </c>
      <c r="I147" s="523">
        <v>19.2</v>
      </c>
      <c r="J147" s="500"/>
      <c r="K147" s="179"/>
      <c r="L147" s="162"/>
      <c r="M147" s="1167" t="s">
        <v>88</v>
      </c>
      <c r="N147" s="634">
        <v>100</v>
      </c>
      <c r="O147" s="561"/>
      <c r="P147" s="629"/>
      <c r="Q147" s="642"/>
      <c r="R147" s="12"/>
      <c r="S147" s="178"/>
      <c r="T147" s="12"/>
      <c r="U147" s="12"/>
      <c r="V147" s="12"/>
      <c r="W147" s="12"/>
    </row>
    <row r="148" spans="1:23" s="1" customFormat="1" ht="16.5" customHeight="1" x14ac:dyDescent="0.2">
      <c r="A148" s="749"/>
      <c r="B148" s="747"/>
      <c r="C148" s="98"/>
      <c r="D148" s="728"/>
      <c r="E148" s="952"/>
      <c r="F148" s="734"/>
      <c r="G148" s="722"/>
      <c r="H148" s="251" t="s">
        <v>66</v>
      </c>
      <c r="I148" s="410">
        <v>110.8</v>
      </c>
      <c r="J148" s="631"/>
      <c r="K148" s="632"/>
      <c r="L148" s="633"/>
      <c r="M148" s="917"/>
      <c r="N148" s="680"/>
      <c r="O148" s="558"/>
      <c r="P148" s="627"/>
      <c r="Q148" s="628"/>
      <c r="R148" s="12"/>
      <c r="S148" s="178"/>
      <c r="T148" s="12"/>
      <c r="U148" s="12"/>
      <c r="V148" s="12"/>
      <c r="W148" s="12"/>
    </row>
    <row r="149" spans="1:23" s="1" customFormat="1" ht="18.75" customHeight="1" thickBot="1" x14ac:dyDescent="0.25">
      <c r="A149" s="749"/>
      <c r="B149" s="747"/>
      <c r="C149" s="98"/>
      <c r="D149" s="729"/>
      <c r="E149" s="1157"/>
      <c r="F149" s="630"/>
      <c r="G149" s="723"/>
      <c r="H149" s="391" t="s">
        <v>20</v>
      </c>
      <c r="I149" s="405">
        <f>SUM(I147:I148)</f>
        <v>130</v>
      </c>
      <c r="J149" s="256"/>
      <c r="K149" s="285"/>
      <c r="L149" s="256"/>
      <c r="M149" s="1168"/>
      <c r="N149" s="681"/>
      <c r="O149" s="428"/>
      <c r="P149" s="440"/>
      <c r="Q149" s="626"/>
      <c r="R149" s="12"/>
      <c r="S149" s="178"/>
      <c r="T149" s="12"/>
      <c r="U149" s="12"/>
      <c r="V149" s="12"/>
      <c r="W149" s="12"/>
    </row>
    <row r="150" spans="1:23" s="1" customFormat="1" ht="21.75" customHeight="1" x14ac:dyDescent="0.2">
      <c r="A150" s="749"/>
      <c r="B150" s="747"/>
      <c r="C150" s="748"/>
      <c r="D150" s="728" t="s">
        <v>186</v>
      </c>
      <c r="E150" s="954" t="s">
        <v>158</v>
      </c>
      <c r="F150" s="734" t="s">
        <v>36</v>
      </c>
      <c r="G150" s="1158" t="s">
        <v>108</v>
      </c>
      <c r="H150" s="513" t="s">
        <v>12</v>
      </c>
      <c r="I150" s="523">
        <v>100</v>
      </c>
      <c r="J150" s="193">
        <v>200</v>
      </c>
      <c r="K150" s="206"/>
      <c r="L150" s="377"/>
      <c r="M150" s="1167" t="s">
        <v>88</v>
      </c>
      <c r="N150" s="362">
        <v>100</v>
      </c>
      <c r="O150" s="373">
        <v>100</v>
      </c>
      <c r="P150" s="441"/>
      <c r="Q150" s="374"/>
      <c r="R150" s="178"/>
      <c r="S150" s="178"/>
      <c r="T150" s="12"/>
      <c r="U150" s="12"/>
      <c r="V150" s="12"/>
      <c r="W150" s="12"/>
    </row>
    <row r="151" spans="1:23" s="1" customFormat="1" ht="16.5" customHeight="1" x14ac:dyDescent="0.2">
      <c r="A151" s="749"/>
      <c r="B151" s="747"/>
      <c r="C151" s="748"/>
      <c r="D151" s="728"/>
      <c r="E151" s="954"/>
      <c r="F151" s="734"/>
      <c r="G151" s="1159"/>
      <c r="H151" s="251" t="s">
        <v>37</v>
      </c>
      <c r="I151" s="410"/>
      <c r="J151" s="210">
        <v>1700</v>
      </c>
      <c r="K151" s="208"/>
      <c r="L151" s="209"/>
      <c r="M151" s="917"/>
      <c r="N151" s="362"/>
      <c r="O151" s="373"/>
      <c r="P151" s="441"/>
      <c r="Q151" s="374"/>
      <c r="R151" s="178"/>
      <c r="S151" s="178"/>
      <c r="T151" s="12"/>
      <c r="U151" s="12"/>
      <c r="V151" s="12"/>
      <c r="W151" s="12"/>
    </row>
    <row r="152" spans="1:23" s="1" customFormat="1" ht="16.149999999999999" customHeight="1" thickBot="1" x14ac:dyDescent="0.25">
      <c r="A152" s="749"/>
      <c r="B152" s="747"/>
      <c r="C152" s="748"/>
      <c r="D152" s="728"/>
      <c r="E152" s="1170"/>
      <c r="F152" s="734"/>
      <c r="G152" s="722"/>
      <c r="H152" s="394" t="s">
        <v>20</v>
      </c>
      <c r="I152" s="408">
        <f>I150</f>
        <v>100</v>
      </c>
      <c r="J152" s="517">
        <f>J150+J151</f>
        <v>1900</v>
      </c>
      <c r="K152" s="73">
        <f>K150+K151</f>
        <v>0</v>
      </c>
      <c r="L152" s="72">
        <f>L150+L151</f>
        <v>0</v>
      </c>
      <c r="M152" s="74"/>
      <c r="N152" s="429"/>
      <c r="O152" s="430"/>
      <c r="P152" s="442"/>
      <c r="Q152" s="431"/>
      <c r="R152" s="640"/>
      <c r="S152" s="12"/>
      <c r="T152" s="12"/>
      <c r="U152" s="12"/>
      <c r="V152" s="12"/>
      <c r="W152" s="12"/>
    </row>
    <row r="153" spans="1:23" s="1" customFormat="1" ht="24.75" customHeight="1" x14ac:dyDescent="0.2">
      <c r="A153" s="977"/>
      <c r="B153" s="942"/>
      <c r="C153" s="1173"/>
      <c r="D153" s="1153" t="s">
        <v>43</v>
      </c>
      <c r="E153" s="1175" t="s">
        <v>113</v>
      </c>
      <c r="F153" s="1177" t="s">
        <v>36</v>
      </c>
      <c r="G153" s="1158" t="s">
        <v>173</v>
      </c>
      <c r="H153" s="753" t="s">
        <v>37</v>
      </c>
      <c r="I153" s="400">
        <v>200</v>
      </c>
      <c r="J153" s="475"/>
      <c r="K153" s="206"/>
      <c r="L153" s="377"/>
      <c r="M153" s="522" t="s">
        <v>114</v>
      </c>
      <c r="N153" s="671">
        <v>1</v>
      </c>
      <c r="O153" s="582"/>
      <c r="P153" s="673"/>
      <c r="Q153" s="682"/>
      <c r="R153" s="12"/>
      <c r="S153" s="12"/>
      <c r="T153" s="12"/>
      <c r="U153" s="12"/>
      <c r="V153" s="12"/>
      <c r="W153" s="12"/>
    </row>
    <row r="154" spans="1:23" s="1" customFormat="1" ht="18" customHeight="1" thickBot="1" x14ac:dyDescent="0.25">
      <c r="A154" s="1171"/>
      <c r="B154" s="1172"/>
      <c r="C154" s="1174"/>
      <c r="D154" s="1155"/>
      <c r="E154" s="1176"/>
      <c r="F154" s="1178"/>
      <c r="G154" s="1160"/>
      <c r="H154" s="392" t="s">
        <v>20</v>
      </c>
      <c r="I154" s="399">
        <f t="shared" ref="I154:L154" si="21">SUM(I153:I153)</f>
        <v>200</v>
      </c>
      <c r="J154" s="121">
        <f t="shared" si="21"/>
        <v>0</v>
      </c>
      <c r="K154" s="118">
        <f t="shared" si="21"/>
        <v>0</v>
      </c>
      <c r="L154" s="115">
        <f t="shared" si="21"/>
        <v>0</v>
      </c>
      <c r="M154" s="74"/>
      <c r="N154" s="681"/>
      <c r="O154" s="428"/>
      <c r="P154" s="440"/>
      <c r="Q154" s="626"/>
      <c r="R154" s="178"/>
      <c r="S154" s="12"/>
      <c r="T154" s="12"/>
      <c r="U154" s="12"/>
      <c r="V154" s="178"/>
      <c r="W154" s="12"/>
    </row>
    <row r="155" spans="1:23" s="1" customFormat="1" ht="27.75" customHeight="1" x14ac:dyDescent="0.2">
      <c r="A155" s="749"/>
      <c r="B155" s="747"/>
      <c r="C155" s="98"/>
      <c r="D155" s="728" t="s">
        <v>204</v>
      </c>
      <c r="E155" s="1156" t="s">
        <v>227</v>
      </c>
      <c r="F155" s="734" t="s">
        <v>201</v>
      </c>
      <c r="G155" s="721" t="s">
        <v>108</v>
      </c>
      <c r="H155" s="513" t="s">
        <v>12</v>
      </c>
      <c r="I155" s="523">
        <v>200</v>
      </c>
      <c r="J155" s="500"/>
      <c r="K155" s="179"/>
      <c r="L155" s="162"/>
      <c r="M155" s="176" t="s">
        <v>88</v>
      </c>
      <c r="N155" s="524">
        <v>100</v>
      </c>
      <c r="O155" s="520"/>
      <c r="P155" s="521"/>
      <c r="Q155" s="510"/>
      <c r="R155" s="178"/>
      <c r="S155" s="12"/>
      <c r="T155" s="12"/>
      <c r="U155" s="12"/>
      <c r="V155" s="178"/>
      <c r="W155" s="12"/>
    </row>
    <row r="156" spans="1:23" s="1" customFormat="1" ht="26.25" customHeight="1" x14ac:dyDescent="0.2">
      <c r="A156" s="749"/>
      <c r="B156" s="747"/>
      <c r="C156" s="98"/>
      <c r="D156" s="728"/>
      <c r="E156" s="952"/>
      <c r="F156" s="734"/>
      <c r="G156" s="722"/>
      <c r="H156" s="251" t="s">
        <v>66</v>
      </c>
      <c r="I156" s="410">
        <v>100</v>
      </c>
      <c r="J156" s="631"/>
      <c r="K156" s="632"/>
      <c r="L156" s="633"/>
      <c r="M156" s="176"/>
      <c r="N156" s="524"/>
      <c r="O156" s="520"/>
      <c r="P156" s="521"/>
      <c r="Q156" s="512"/>
      <c r="R156" s="178"/>
      <c r="S156" s="12"/>
      <c r="T156" s="12"/>
      <c r="U156" s="12"/>
      <c r="V156" s="178"/>
      <c r="W156" s="12"/>
    </row>
    <row r="157" spans="1:23" s="1" customFormat="1" ht="15" customHeight="1" thickBot="1" x14ac:dyDescent="0.25">
      <c r="A157" s="749"/>
      <c r="B157" s="747"/>
      <c r="C157" s="98"/>
      <c r="D157" s="728"/>
      <c r="E157" s="1157"/>
      <c r="F157" s="734"/>
      <c r="G157" s="723"/>
      <c r="H157" s="394" t="s">
        <v>20</v>
      </c>
      <c r="I157" s="408">
        <f>SUM(I155:I156)</f>
        <v>300</v>
      </c>
      <c r="J157" s="339"/>
      <c r="K157" s="443"/>
      <c r="L157" s="499"/>
      <c r="M157" s="509"/>
      <c r="N157" s="680"/>
      <c r="O157" s="520"/>
      <c r="P157" s="521"/>
      <c r="Q157" s="511"/>
      <c r="R157" s="178"/>
      <c r="S157" s="12"/>
      <c r="T157" s="12"/>
      <c r="U157" s="12"/>
      <c r="V157" s="178"/>
      <c r="W157" s="12"/>
    </row>
    <row r="158" spans="1:23" s="1" customFormat="1" ht="33" customHeight="1" x14ac:dyDescent="0.2">
      <c r="A158" s="749"/>
      <c r="B158" s="747"/>
      <c r="C158" s="98"/>
      <c r="D158" s="1153" t="s">
        <v>205</v>
      </c>
      <c r="E158" s="1169" t="s">
        <v>184</v>
      </c>
      <c r="F158" s="717" t="s">
        <v>36</v>
      </c>
      <c r="G158" s="1158" t="s">
        <v>108</v>
      </c>
      <c r="H158" s="513" t="s">
        <v>12</v>
      </c>
      <c r="I158" s="508"/>
      <c r="J158" s="193">
        <v>80</v>
      </c>
      <c r="K158" s="179"/>
      <c r="L158" s="162"/>
      <c r="M158" s="1259" t="s">
        <v>88</v>
      </c>
      <c r="N158" s="1247"/>
      <c r="O158" s="604">
        <v>100</v>
      </c>
      <c r="P158" s="1249"/>
      <c r="Q158" s="510"/>
      <c r="R158" s="178"/>
      <c r="S158" s="12"/>
      <c r="T158" s="12"/>
      <c r="U158" s="12"/>
      <c r="V158" s="178"/>
      <c r="W158" s="12"/>
    </row>
    <row r="159" spans="1:23" s="1" customFormat="1" ht="15.75" customHeight="1" thickBot="1" x14ac:dyDescent="0.25">
      <c r="A159" s="749"/>
      <c r="B159" s="747"/>
      <c r="C159" s="98"/>
      <c r="D159" s="1155"/>
      <c r="E159" s="1170"/>
      <c r="F159" s="718" t="s">
        <v>185</v>
      </c>
      <c r="G159" s="1160"/>
      <c r="H159" s="391" t="s">
        <v>20</v>
      </c>
      <c r="I159" s="405">
        <f>I158</f>
        <v>0</v>
      </c>
      <c r="J159" s="516">
        <f t="shared" ref="J159:L159" si="22">J158</f>
        <v>80</v>
      </c>
      <c r="K159" s="285">
        <f t="shared" si="22"/>
        <v>0</v>
      </c>
      <c r="L159" s="447">
        <f t="shared" si="22"/>
        <v>0</v>
      </c>
      <c r="M159" s="1260"/>
      <c r="N159" s="1248"/>
      <c r="O159" s="507"/>
      <c r="P159" s="1250"/>
      <c r="Q159" s="511"/>
      <c r="R159" s="178"/>
      <c r="S159" s="12"/>
      <c r="T159" s="12"/>
      <c r="U159" s="12"/>
      <c r="V159" s="178"/>
      <c r="W159" s="12"/>
    </row>
    <row r="160" spans="1:23" s="1" customFormat="1" ht="18" customHeight="1" x14ac:dyDescent="0.2">
      <c r="A160" s="749"/>
      <c r="B160" s="747"/>
      <c r="C160" s="98"/>
      <c r="D160" s="1153" t="s">
        <v>217</v>
      </c>
      <c r="E160" s="1156" t="s">
        <v>144</v>
      </c>
      <c r="F160" s="717" t="s">
        <v>36</v>
      </c>
      <c r="G160" s="1158"/>
      <c r="H160" s="1161" t="s">
        <v>37</v>
      </c>
      <c r="I160" s="1163"/>
      <c r="J160" s="1165">
        <v>118.9</v>
      </c>
      <c r="K160" s="1251">
        <v>476.1</v>
      </c>
      <c r="L160" s="1252"/>
      <c r="M160" s="1167" t="s">
        <v>212</v>
      </c>
      <c r="N160" s="1247"/>
      <c r="O160" s="1255">
        <v>20</v>
      </c>
      <c r="P160" s="1257">
        <v>100</v>
      </c>
      <c r="Q160" s="512"/>
      <c r="R160" s="178"/>
      <c r="S160" s="12"/>
      <c r="T160" s="12"/>
      <c r="U160" s="12"/>
      <c r="V160" s="178"/>
      <c r="W160" s="12"/>
    </row>
    <row r="161" spans="1:23" s="1" customFormat="1" ht="14.25" customHeight="1" x14ac:dyDescent="0.2">
      <c r="A161" s="749"/>
      <c r="B161" s="747"/>
      <c r="C161" s="98"/>
      <c r="D161" s="1154"/>
      <c r="E161" s="952"/>
      <c r="F161" s="546" t="s">
        <v>201</v>
      </c>
      <c r="G161" s="1159"/>
      <c r="H161" s="1162"/>
      <c r="I161" s="1164"/>
      <c r="J161" s="1166"/>
      <c r="K161" s="1241"/>
      <c r="L161" s="1253"/>
      <c r="M161" s="917"/>
      <c r="N161" s="1254"/>
      <c r="O161" s="910"/>
      <c r="P161" s="911"/>
      <c r="Q161" s="512"/>
      <c r="R161" s="178"/>
      <c r="S161" s="12"/>
      <c r="T161" s="12"/>
      <c r="U161" s="12"/>
      <c r="V161" s="178"/>
      <c r="W161" s="12"/>
    </row>
    <row r="162" spans="1:23" s="1" customFormat="1" ht="13.5" customHeight="1" thickBot="1" x14ac:dyDescent="0.25">
      <c r="A162" s="749"/>
      <c r="B162" s="747"/>
      <c r="C162" s="98"/>
      <c r="D162" s="1155"/>
      <c r="E162" s="1157"/>
      <c r="F162" s="718" t="s">
        <v>185</v>
      </c>
      <c r="G162" s="1160"/>
      <c r="H162" s="391" t="s">
        <v>20</v>
      </c>
      <c r="I162" s="405">
        <f>I160</f>
        <v>0</v>
      </c>
      <c r="J162" s="516">
        <f t="shared" ref="J162:L162" si="23">J160</f>
        <v>118.9</v>
      </c>
      <c r="K162" s="285">
        <f t="shared" si="23"/>
        <v>476.1</v>
      </c>
      <c r="L162" s="447">
        <f t="shared" si="23"/>
        <v>0</v>
      </c>
      <c r="M162" s="1168"/>
      <c r="N162" s="1248"/>
      <c r="O162" s="1256"/>
      <c r="P162" s="1258"/>
      <c r="Q162" s="511"/>
      <c r="R162" s="178"/>
      <c r="S162" s="12"/>
      <c r="T162" s="12"/>
      <c r="U162" s="12"/>
      <c r="V162" s="178"/>
      <c r="W162" s="12"/>
    </row>
    <row r="163" spans="1:23" s="1" customFormat="1" ht="16.5" customHeight="1" thickBot="1" x14ac:dyDescent="0.25">
      <c r="A163" s="53" t="s">
        <v>7</v>
      </c>
      <c r="B163" s="3" t="s">
        <v>25</v>
      </c>
      <c r="C163" s="981" t="s">
        <v>29</v>
      </c>
      <c r="D163" s="929"/>
      <c r="E163" s="929"/>
      <c r="F163" s="929"/>
      <c r="G163" s="929"/>
      <c r="H163" s="929"/>
      <c r="I163" s="435">
        <f>I139+I119+I115+I123+I126+I154+I146+I136+I152+I143+I159+I162+I157+I149</f>
        <v>4801.6000000000004</v>
      </c>
      <c r="J163" s="273">
        <f>J139+J119+J115+J123+J126+J154+J146+J136+J152+J143+J159+J162+J130+J13</f>
        <v>5985.9</v>
      </c>
      <c r="K163" s="287">
        <f>K139+K119+K115+K123+K126+K154+K146+K136+K152+K143+K159+K162+K130+K133</f>
        <v>7296.7000000000007</v>
      </c>
      <c r="L163" s="286">
        <f>L139+L119+L115+L123+L126+L154+L146+L136+L152+L143+L159+L162+L130+L133</f>
        <v>10681.6</v>
      </c>
      <c r="M163" s="999"/>
      <c r="N163" s="1000"/>
      <c r="O163" s="1000"/>
      <c r="P163" s="1000"/>
      <c r="Q163" s="1001"/>
      <c r="R163" s="12"/>
      <c r="S163" s="12"/>
      <c r="T163" s="12"/>
      <c r="U163" s="12"/>
      <c r="V163" s="12"/>
      <c r="W163" s="12"/>
    </row>
    <row r="164" spans="1:23" s="1" customFormat="1" ht="16.5" customHeight="1" thickBot="1" x14ac:dyDescent="0.25">
      <c r="A164" s="54" t="s">
        <v>7</v>
      </c>
      <c r="B164" s="979" t="s">
        <v>42</v>
      </c>
      <c r="C164" s="980"/>
      <c r="D164" s="980"/>
      <c r="E164" s="980"/>
      <c r="F164" s="980"/>
      <c r="G164" s="980"/>
      <c r="H164" s="980"/>
      <c r="I164" s="436">
        <f>I163+I109+I64</f>
        <v>15073.2</v>
      </c>
      <c r="J164" s="274">
        <f>J163+J109+J64</f>
        <v>9968</v>
      </c>
      <c r="K164" s="119">
        <f>K163+K109+K64</f>
        <v>10997.500000000002</v>
      </c>
      <c r="L164" s="116">
        <f>L163+L109+L64</f>
        <v>14382.5</v>
      </c>
      <c r="M164" s="985"/>
      <c r="N164" s="986"/>
      <c r="O164" s="986"/>
      <c r="P164" s="986"/>
      <c r="Q164" s="987"/>
      <c r="R164" s="12"/>
      <c r="S164" s="12"/>
      <c r="T164" s="12"/>
      <c r="U164" s="12"/>
      <c r="V164" s="12"/>
      <c r="W164" s="12"/>
    </row>
    <row r="165" spans="1:23" s="1" customFormat="1" ht="16.5" customHeight="1" thickBot="1" x14ac:dyDescent="0.25">
      <c r="A165" s="55" t="s">
        <v>43</v>
      </c>
      <c r="B165" s="949" t="s">
        <v>44</v>
      </c>
      <c r="C165" s="950"/>
      <c r="D165" s="950"/>
      <c r="E165" s="950"/>
      <c r="F165" s="950"/>
      <c r="G165" s="950"/>
      <c r="H165" s="950"/>
      <c r="I165" s="437">
        <f t="shared" ref="I165:L165" si="24">I164</f>
        <v>15073.2</v>
      </c>
      <c r="J165" s="275">
        <f t="shared" si="24"/>
        <v>9968</v>
      </c>
      <c r="K165" s="120">
        <f t="shared" si="24"/>
        <v>10997.500000000002</v>
      </c>
      <c r="L165" s="117">
        <f t="shared" si="24"/>
        <v>14382.5</v>
      </c>
      <c r="M165" s="1075"/>
      <c r="N165" s="1076"/>
      <c r="O165" s="1076"/>
      <c r="P165" s="1076"/>
      <c r="Q165" s="1077"/>
      <c r="R165" s="12"/>
      <c r="S165" s="12"/>
      <c r="T165" s="12"/>
      <c r="U165" s="12"/>
      <c r="V165" s="12"/>
      <c r="W165" s="12"/>
    </row>
    <row r="166" spans="1:23" s="12" customFormat="1" ht="21.6" customHeight="1" x14ac:dyDescent="0.2">
      <c r="A166" s="1152" t="s">
        <v>225</v>
      </c>
      <c r="B166" s="1152"/>
      <c r="C166" s="1152"/>
      <c r="D166" s="1152"/>
      <c r="E166" s="1152"/>
      <c r="F166" s="1152"/>
      <c r="G166" s="1152"/>
      <c r="H166" s="1152"/>
      <c r="I166" s="1152"/>
      <c r="J166" s="1152"/>
      <c r="K166" s="1152"/>
      <c r="L166" s="1152"/>
      <c r="M166" s="1152"/>
      <c r="N166" s="1152"/>
      <c r="O166" s="344"/>
      <c r="P166" s="344"/>
      <c r="Q166" s="344"/>
    </row>
    <row r="167" spans="1:23" s="12" customFormat="1" ht="41.25" customHeight="1" x14ac:dyDescent="0.2">
      <c r="A167" s="344"/>
      <c r="B167" s="941" t="s">
        <v>230</v>
      </c>
      <c r="C167" s="941"/>
      <c r="D167" s="941"/>
      <c r="E167" s="941"/>
      <c r="F167" s="941"/>
      <c r="G167" s="941"/>
      <c r="H167" s="941"/>
      <c r="I167" s="941"/>
      <c r="J167" s="941"/>
      <c r="K167" s="941"/>
      <c r="L167" s="941"/>
      <c r="M167" s="344"/>
      <c r="N167" s="344"/>
      <c r="O167" s="344"/>
      <c r="P167" s="344"/>
      <c r="Q167" s="344"/>
    </row>
    <row r="168" spans="1:23" s="12" customFormat="1" ht="12.75" x14ac:dyDescent="0.2">
      <c r="A168" s="344"/>
      <c r="B168" s="445"/>
      <c r="C168" s="445"/>
      <c r="D168" s="445"/>
      <c r="E168" s="445"/>
      <c r="F168" s="445"/>
      <c r="G168" s="445"/>
      <c r="H168" s="445"/>
      <c r="I168" s="445"/>
      <c r="J168" s="445"/>
      <c r="K168" s="445"/>
      <c r="L168" s="445"/>
      <c r="M168" s="344"/>
      <c r="N168" s="344"/>
      <c r="O168" s="344"/>
      <c r="P168" s="344"/>
      <c r="Q168" s="344"/>
    </row>
    <row r="169" spans="1:23" s="1" customFormat="1" ht="15" customHeight="1" thickBot="1" x14ac:dyDescent="0.25">
      <c r="A169" s="7"/>
      <c r="B169" s="935" t="s">
        <v>45</v>
      </c>
      <c r="C169" s="935"/>
      <c r="D169" s="935"/>
      <c r="E169" s="935"/>
      <c r="F169" s="935"/>
      <c r="G169" s="935"/>
      <c r="H169" s="935"/>
      <c r="I169" s="935"/>
      <c r="J169" s="765"/>
      <c r="K169" s="765"/>
      <c r="L169" s="765"/>
      <c r="M169" s="8"/>
      <c r="N169" s="38"/>
      <c r="O169" s="38"/>
      <c r="P169" s="38"/>
      <c r="Q169" s="38"/>
      <c r="R169" s="12"/>
      <c r="S169" s="12"/>
      <c r="T169" s="12"/>
      <c r="U169" s="12"/>
      <c r="V169" s="12"/>
      <c r="W169" s="12"/>
    </row>
    <row r="170" spans="1:23" s="1" customFormat="1" ht="90.75" customHeight="1" thickBot="1" x14ac:dyDescent="0.25">
      <c r="A170" s="9"/>
      <c r="B170" s="962" t="s">
        <v>46</v>
      </c>
      <c r="C170" s="963"/>
      <c r="D170" s="963"/>
      <c r="E170" s="963"/>
      <c r="F170" s="963"/>
      <c r="G170" s="964"/>
      <c r="H170" s="964"/>
      <c r="I170" s="491" t="s">
        <v>170</v>
      </c>
      <c r="J170" s="492" t="s">
        <v>178</v>
      </c>
      <c r="K170" s="493" t="s">
        <v>229</v>
      </c>
      <c r="L170" s="494" t="s">
        <v>179</v>
      </c>
      <c r="M170" s="60"/>
      <c r="N170" s="60"/>
      <c r="O170" s="60"/>
      <c r="P170" s="60"/>
      <c r="Q170" s="60"/>
      <c r="R170" s="12"/>
      <c r="S170" s="12"/>
      <c r="T170" s="12"/>
      <c r="U170" s="12"/>
      <c r="V170" s="12"/>
      <c r="W170" s="12"/>
    </row>
    <row r="171" spans="1:23" s="1" customFormat="1" ht="15.75" customHeight="1" x14ac:dyDescent="0.2">
      <c r="A171" s="9"/>
      <c r="B171" s="965" t="s">
        <v>231</v>
      </c>
      <c r="C171" s="966"/>
      <c r="D171" s="966"/>
      <c r="E171" s="966"/>
      <c r="F171" s="966"/>
      <c r="G171" s="967"/>
      <c r="H171" s="967"/>
      <c r="I171" s="486">
        <f t="shared" ref="I171:L171" si="25">+I172+I181+I182+I183</f>
        <v>14241</v>
      </c>
      <c r="J171" s="495">
        <f t="shared" si="25"/>
        <v>6768.4000000000005</v>
      </c>
      <c r="K171" s="498">
        <f t="shared" si="25"/>
        <v>6607.4</v>
      </c>
      <c r="L171" s="497">
        <f t="shared" si="25"/>
        <v>3951.7999999999993</v>
      </c>
      <c r="M171" s="58"/>
      <c r="N171" s="58"/>
      <c r="O171" s="58"/>
      <c r="P171" s="58"/>
      <c r="Q171" s="58"/>
      <c r="R171" s="12"/>
      <c r="S171" s="12"/>
      <c r="T171" s="12"/>
      <c r="U171" s="12"/>
      <c r="V171" s="12"/>
      <c r="W171" s="12"/>
    </row>
    <row r="172" spans="1:23" s="1" customFormat="1" ht="15.75" customHeight="1" x14ac:dyDescent="0.2">
      <c r="A172" s="9"/>
      <c r="B172" s="939" t="s">
        <v>103</v>
      </c>
      <c r="C172" s="940"/>
      <c r="D172" s="940"/>
      <c r="E172" s="940"/>
      <c r="F172" s="940"/>
      <c r="G172" s="940"/>
      <c r="H172" s="940"/>
      <c r="I172" s="483">
        <f t="shared" ref="I172:L172" si="26">SUM(I173:I180)</f>
        <v>13453.300000000001</v>
      </c>
      <c r="J172" s="487">
        <f t="shared" si="26"/>
        <v>6492.4</v>
      </c>
      <c r="K172" s="170">
        <f t="shared" si="26"/>
        <v>6607.4</v>
      </c>
      <c r="L172" s="164">
        <f t="shared" si="26"/>
        <v>3951.7999999999993</v>
      </c>
      <c r="M172" s="58"/>
      <c r="N172" s="58"/>
      <c r="O172" s="58"/>
      <c r="P172" s="58"/>
      <c r="Q172" s="58"/>
      <c r="R172" s="12"/>
      <c r="S172" s="12"/>
      <c r="T172" s="12"/>
      <c r="U172" s="12"/>
      <c r="V172" s="12"/>
      <c r="W172" s="12"/>
    </row>
    <row r="173" spans="1:23" s="1" customFormat="1" ht="15.75" customHeight="1" x14ac:dyDescent="0.2">
      <c r="A173" s="9"/>
      <c r="B173" s="936" t="s">
        <v>47</v>
      </c>
      <c r="C173" s="937"/>
      <c r="D173" s="937"/>
      <c r="E173" s="937"/>
      <c r="F173" s="937"/>
      <c r="G173" s="938"/>
      <c r="H173" s="938"/>
      <c r="I173" s="484">
        <f>SUMIF(H14:H162,"sb",I14:I162)</f>
        <v>2295.7999999999997</v>
      </c>
      <c r="J173" s="488">
        <f>SUMIF(H14:H162,"sb",J14:J162)</f>
        <v>2421.8000000000002</v>
      </c>
      <c r="K173" s="171">
        <f>SUMIF(H14:H162,"sb",K14:K162)</f>
        <v>3952.7999999999993</v>
      </c>
      <c r="L173" s="165">
        <f>SUMIF(H14:H162,"sb",L14:L162)</f>
        <v>2518.3999999999996</v>
      </c>
      <c r="M173" s="59"/>
      <c r="N173" s="59"/>
      <c r="O173" s="59"/>
      <c r="P173" s="59"/>
      <c r="Q173" s="59"/>
      <c r="R173" s="12"/>
      <c r="S173" s="12"/>
      <c r="T173" s="12"/>
      <c r="U173" s="12"/>
      <c r="V173" s="12"/>
      <c r="W173" s="12"/>
    </row>
    <row r="174" spans="1:23" s="1" customFormat="1" ht="15.75" customHeight="1" x14ac:dyDescent="0.2">
      <c r="A174" s="9"/>
      <c r="B174" s="958" t="s">
        <v>152</v>
      </c>
      <c r="C174" s="959"/>
      <c r="D174" s="959"/>
      <c r="E174" s="959"/>
      <c r="F174" s="959"/>
      <c r="G174" s="959"/>
      <c r="H174" s="959"/>
      <c r="I174" s="484">
        <f>SUMIF(H15:H162,"sb(k)",I15:I162)</f>
        <v>300</v>
      </c>
      <c r="J174" s="488">
        <f>SUMIF(H15:H162,"sb(k)",J15:J162)</f>
        <v>0</v>
      </c>
      <c r="K174" s="171">
        <f>SUMIF(H15:H162,"sb(k)",K15:K162)</f>
        <v>0</v>
      </c>
      <c r="L174" s="165">
        <f>SUMIF(H15:H162,"sb(k)",L15:L162)</f>
        <v>0</v>
      </c>
      <c r="M174" s="59"/>
      <c r="N174" s="59"/>
      <c r="O174" s="59"/>
      <c r="P174" s="59"/>
      <c r="Q174" s="59"/>
      <c r="R174" s="12"/>
      <c r="S174" s="12"/>
      <c r="T174" s="12"/>
      <c r="U174" s="12"/>
      <c r="V174" s="12"/>
      <c r="W174" s="12"/>
    </row>
    <row r="175" spans="1:23" s="1" customFormat="1" ht="15.75" customHeight="1" x14ac:dyDescent="0.2">
      <c r="A175" s="9"/>
      <c r="B175" s="958" t="s">
        <v>91</v>
      </c>
      <c r="C175" s="959"/>
      <c r="D175" s="959"/>
      <c r="E175" s="959"/>
      <c r="F175" s="959"/>
      <c r="G175" s="959"/>
      <c r="H175" s="959"/>
      <c r="I175" s="484">
        <f>SUMIF(H14:H162,"sb(aa)",I14:I162)</f>
        <v>126</v>
      </c>
      <c r="J175" s="488">
        <f>SUMIF(H14:H162,"sb(aa)",J14:J162)</f>
        <v>126</v>
      </c>
      <c r="K175" s="171">
        <f>SUMIF(H14:H162,"sb(aa)",K14:K162)</f>
        <v>126</v>
      </c>
      <c r="L175" s="165">
        <f>SUMIF(H14:H162,"sb(aa)",L14:L162)</f>
        <v>126</v>
      </c>
      <c r="M175" s="59"/>
      <c r="N175" s="59"/>
      <c r="O175" s="59"/>
      <c r="P175" s="59"/>
      <c r="Q175" s="59"/>
      <c r="R175" s="12"/>
      <c r="S175" s="12"/>
      <c r="T175" s="12"/>
      <c r="U175" s="12"/>
      <c r="V175" s="12"/>
      <c r="W175" s="12"/>
    </row>
    <row r="176" spans="1:23" s="1" customFormat="1" ht="15.75" customHeight="1" x14ac:dyDescent="0.2">
      <c r="A176" s="9"/>
      <c r="B176" s="936" t="s">
        <v>48</v>
      </c>
      <c r="C176" s="937"/>
      <c r="D176" s="937"/>
      <c r="E176" s="937"/>
      <c r="F176" s="937"/>
      <c r="G176" s="938"/>
      <c r="H176" s="938"/>
      <c r="I176" s="484">
        <f>SUMIF(H14:H162,"sb(sp)",I14:I162)</f>
        <v>25.6</v>
      </c>
      <c r="J176" s="488">
        <f>SUMIF(H14:H162,"sb(sp)",J14:J162)</f>
        <v>29.1</v>
      </c>
      <c r="K176" s="171">
        <f>SUMIF(H14:H162,"sb(sp)",K14:K162)</f>
        <v>29.1</v>
      </c>
      <c r="L176" s="165">
        <f>SUMIF(H14:H162,"sb(sp)",L14:L162)</f>
        <v>30.1</v>
      </c>
      <c r="M176" s="59"/>
      <c r="N176" s="59"/>
      <c r="O176" s="59"/>
      <c r="P176" s="59"/>
      <c r="Q176" s="59"/>
      <c r="R176" s="12"/>
      <c r="S176" s="12"/>
      <c r="T176" s="12"/>
      <c r="U176" s="12"/>
      <c r="V176" s="12"/>
      <c r="W176" s="12"/>
    </row>
    <row r="177" spans="1:23" s="1" customFormat="1" ht="15.75" hidden="1" customHeight="1" x14ac:dyDescent="0.2">
      <c r="A177" s="9"/>
      <c r="B177" s="958" t="s">
        <v>133</v>
      </c>
      <c r="C177" s="959"/>
      <c r="D177" s="959"/>
      <c r="E177" s="959"/>
      <c r="F177" s="959"/>
      <c r="G177" s="959"/>
      <c r="H177" s="959"/>
      <c r="I177" s="484">
        <f>SUMIF(H14:H154,"sb(p)",I14:I154)</f>
        <v>0</v>
      </c>
      <c r="J177" s="222"/>
      <c r="K177" s="223"/>
      <c r="L177" s="224"/>
      <c r="M177" s="59"/>
      <c r="N177" s="59"/>
      <c r="O177" s="59"/>
      <c r="P177" s="59"/>
      <c r="Q177" s="59"/>
      <c r="R177" s="12"/>
      <c r="S177" s="12"/>
      <c r="T177" s="12"/>
      <c r="U177" s="12"/>
      <c r="V177" s="12"/>
      <c r="W177" s="12"/>
    </row>
    <row r="178" spans="1:23" s="12" customFormat="1" ht="15.75" customHeight="1" x14ac:dyDescent="0.2">
      <c r="A178" s="9"/>
      <c r="B178" s="936" t="s">
        <v>49</v>
      </c>
      <c r="C178" s="937"/>
      <c r="D178" s="937"/>
      <c r="E178" s="937"/>
      <c r="F178" s="937"/>
      <c r="G178" s="938"/>
      <c r="H178" s="938"/>
      <c r="I178" s="484">
        <f>SUMIF(H14:H162,"sb(vb)",I14:I162)</f>
        <v>10207.5</v>
      </c>
      <c r="J178" s="488">
        <f>SUMIF(H14:H162,"sb(vb)",J14:J162)</f>
        <v>1394.6</v>
      </c>
      <c r="K178" s="171">
        <f>SUMIF(H14:H162,"sb(vb)",K14:K162)</f>
        <v>1278.0999999999999</v>
      </c>
      <c r="L178" s="165">
        <f>SUMIF(H14:H162,"sb(vb)",L14:L162)</f>
        <v>1277.3</v>
      </c>
      <c r="M178" s="59"/>
      <c r="N178" s="59"/>
      <c r="O178" s="59"/>
      <c r="P178" s="59"/>
      <c r="Q178" s="59"/>
    </row>
    <row r="179" spans="1:23" s="12" customFormat="1" ht="15.75" customHeight="1" x14ac:dyDescent="0.2">
      <c r="A179" s="9"/>
      <c r="B179" s="958" t="s">
        <v>84</v>
      </c>
      <c r="C179" s="959"/>
      <c r="D179" s="959"/>
      <c r="E179" s="959"/>
      <c r="F179" s="959"/>
      <c r="G179" s="959"/>
      <c r="H179" s="959"/>
      <c r="I179" s="484">
        <f>SUMIF(H14:H162,"sb(es)",I14:I162)</f>
        <v>419.7</v>
      </c>
      <c r="J179" s="488">
        <f>SUMIF(H14:H162,"sb(es)",J14:J162)</f>
        <v>2520.9</v>
      </c>
      <c r="K179" s="171">
        <f>SUMIF(H14:H162,"sb(es)",K14:K162)</f>
        <v>1221.4000000000001</v>
      </c>
      <c r="L179" s="165">
        <f>SUMIF(H14:H162,"sb(es)",L14:L162)</f>
        <v>0</v>
      </c>
      <c r="M179" s="59"/>
      <c r="N179" s="59"/>
      <c r="O179" s="59"/>
      <c r="P179" s="59"/>
      <c r="Q179" s="59"/>
    </row>
    <row r="180" spans="1:23" s="12" customFormat="1" ht="27.75" customHeight="1" x14ac:dyDescent="0.2">
      <c r="A180" s="9"/>
      <c r="B180" s="958" t="s">
        <v>76</v>
      </c>
      <c r="C180" s="959"/>
      <c r="D180" s="959"/>
      <c r="E180" s="959"/>
      <c r="F180" s="959"/>
      <c r="G180" s="959"/>
      <c r="H180" s="959"/>
      <c r="I180" s="484">
        <f>SUMIF(H14:H162,"sb(esa)",I14:I162)</f>
        <v>78.699999999999989</v>
      </c>
      <c r="J180" s="488">
        <f>SUMIF(H14:H162,"sb(esa)",J14:J162)</f>
        <v>0</v>
      </c>
      <c r="K180" s="171">
        <f>SUMIF(H14:H162,"sb(esa)",K14:K162)</f>
        <v>0</v>
      </c>
      <c r="L180" s="165">
        <f>SUMIF(H14:H162,"sb(esa)",L14:L162)</f>
        <v>0</v>
      </c>
      <c r="M180" s="59"/>
      <c r="N180" s="59"/>
      <c r="O180" s="59"/>
      <c r="P180" s="59"/>
      <c r="Q180" s="59"/>
      <c r="S180" s="178"/>
    </row>
    <row r="181" spans="1:23" s="1" customFormat="1" ht="15.75" customHeight="1" x14ac:dyDescent="0.2">
      <c r="A181" s="9"/>
      <c r="B181" s="960" t="s">
        <v>67</v>
      </c>
      <c r="C181" s="961"/>
      <c r="D181" s="961"/>
      <c r="E181" s="961"/>
      <c r="F181" s="961"/>
      <c r="G181" s="961"/>
      <c r="H181" s="961"/>
      <c r="I181" s="485">
        <f>SUMIF(H14:H162,"sb(l)",I14:I162)</f>
        <v>735.8</v>
      </c>
      <c r="J181" s="489">
        <f>SUMIF(H14:H162,"sb(l)",J14:J162)</f>
        <v>210.1</v>
      </c>
      <c r="K181" s="172">
        <f>SUMIF(H14:H162,"sb(l)",K14:K162)</f>
        <v>0</v>
      </c>
      <c r="L181" s="166">
        <f>SUMIF(H14:H162,"sb(l)",L14:L162)</f>
        <v>0</v>
      </c>
      <c r="M181" s="59"/>
      <c r="N181" s="59"/>
      <c r="O181" s="59"/>
      <c r="P181" s="59"/>
      <c r="Q181" s="59"/>
      <c r="R181" s="12"/>
      <c r="S181" s="12"/>
      <c r="T181" s="12"/>
      <c r="U181" s="12"/>
      <c r="V181" s="12"/>
      <c r="W181" s="12"/>
    </row>
    <row r="182" spans="1:23" s="1" customFormat="1" ht="15.75" customHeight="1" x14ac:dyDescent="0.2">
      <c r="A182" s="9"/>
      <c r="B182" s="960" t="s">
        <v>65</v>
      </c>
      <c r="C182" s="961"/>
      <c r="D182" s="961"/>
      <c r="E182" s="961"/>
      <c r="F182" s="961"/>
      <c r="G182" s="961"/>
      <c r="H182" s="961"/>
      <c r="I182" s="485">
        <f>SUMIF(H14:H162,"sb(aal)",I14:I162)</f>
        <v>44.4</v>
      </c>
      <c r="J182" s="489">
        <f>SUMIF(H14:H162,"sb(aal)",J14:J162)</f>
        <v>48.1</v>
      </c>
      <c r="K182" s="172">
        <f>SUMIF(H14:H162,"sb(aal)",K14:K162)</f>
        <v>0</v>
      </c>
      <c r="L182" s="166">
        <f>SUMIF(H14:H162,"sb(aal)",L14:L162)</f>
        <v>0</v>
      </c>
      <c r="M182" s="59"/>
      <c r="N182" s="59"/>
      <c r="O182" s="59"/>
      <c r="P182" s="59"/>
      <c r="Q182" s="59"/>
      <c r="R182" s="12"/>
      <c r="S182" s="12"/>
      <c r="T182" s="12"/>
      <c r="U182" s="12"/>
      <c r="V182" s="12"/>
      <c r="W182" s="12"/>
    </row>
    <row r="183" spans="1:23" s="1" customFormat="1" ht="15.75" customHeight="1" x14ac:dyDescent="0.2">
      <c r="A183" s="9"/>
      <c r="B183" s="960" t="s">
        <v>104</v>
      </c>
      <c r="C183" s="961"/>
      <c r="D183" s="961"/>
      <c r="E183" s="961"/>
      <c r="F183" s="961"/>
      <c r="G183" s="961"/>
      <c r="H183" s="961"/>
      <c r="I183" s="485">
        <f>SUMIF(H14:H162,"sb(spl)",I14:I162)</f>
        <v>7.5</v>
      </c>
      <c r="J183" s="489">
        <f>SUMIF(H14:H162,"sb(spl)",J14:J162)</f>
        <v>17.8</v>
      </c>
      <c r="K183" s="172">
        <f>SUMIF(H14:H162,"sb(spl)",K14:K162)</f>
        <v>0</v>
      </c>
      <c r="L183" s="166">
        <f>SUMIF(H14:H162,"sb(spl)",L14:L162)</f>
        <v>0</v>
      </c>
      <c r="M183" s="59"/>
      <c r="N183" s="59"/>
      <c r="O183" s="59"/>
      <c r="P183" s="59"/>
      <c r="Q183" s="59"/>
      <c r="R183" s="12"/>
      <c r="S183" s="12"/>
      <c r="T183" s="12"/>
      <c r="U183" s="12"/>
      <c r="V183" s="12"/>
      <c r="W183" s="12"/>
    </row>
    <row r="184" spans="1:23" s="1" customFormat="1" ht="15.75" customHeight="1" x14ac:dyDescent="0.2">
      <c r="A184" s="9"/>
      <c r="B184" s="970" t="s">
        <v>50</v>
      </c>
      <c r="C184" s="971"/>
      <c r="D184" s="971"/>
      <c r="E184" s="971"/>
      <c r="F184" s="971"/>
      <c r="G184" s="972"/>
      <c r="H184" s="972"/>
      <c r="I184" s="482">
        <f>SUM(I185:I188)</f>
        <v>832.2</v>
      </c>
      <c r="J184" s="490">
        <f>SUM(J185:J188)</f>
        <v>3199.6</v>
      </c>
      <c r="K184" s="169">
        <f>SUM(K185:K188)</f>
        <v>4390.1000000000004</v>
      </c>
      <c r="L184" s="163">
        <f>SUM(L185:L188)</f>
        <v>10430.700000000001</v>
      </c>
      <c r="M184" s="58"/>
      <c r="N184" s="58"/>
      <c r="O184" s="58"/>
      <c r="P184" s="58"/>
      <c r="Q184" s="58"/>
      <c r="R184" s="12"/>
      <c r="S184" s="12"/>
      <c r="T184" s="12"/>
      <c r="U184" s="12"/>
      <c r="V184" s="12"/>
      <c r="W184" s="12"/>
    </row>
    <row r="185" spans="1:23" s="1" customFormat="1" ht="15.75" customHeight="1" x14ac:dyDescent="0.2">
      <c r="A185" s="9"/>
      <c r="B185" s="958" t="s">
        <v>52</v>
      </c>
      <c r="C185" s="959"/>
      <c r="D185" s="959"/>
      <c r="E185" s="959"/>
      <c r="F185" s="959"/>
      <c r="G185" s="959"/>
      <c r="H185" s="959"/>
      <c r="I185" s="484">
        <f>SUMIF(H14:H154,"es",I14:I154)</f>
        <v>51.5</v>
      </c>
      <c r="J185" s="488">
        <f>SUMIF(H14:H162,"es",J14:J162)</f>
        <v>871.1</v>
      </c>
      <c r="K185" s="171">
        <f>SUMIF(H14:H162,"es",K14:K162)</f>
        <v>3400</v>
      </c>
      <c r="L185" s="165">
        <f>SUMIF(H14:H162,"es",L14:L162)</f>
        <v>4117.3</v>
      </c>
      <c r="M185" s="59"/>
      <c r="N185" s="59"/>
      <c r="O185" s="59"/>
      <c r="P185" s="59"/>
      <c r="Q185" s="59"/>
      <c r="R185" s="12"/>
      <c r="S185" s="12"/>
      <c r="T185" s="12"/>
      <c r="U185" s="12"/>
      <c r="V185" s="12"/>
      <c r="W185" s="12"/>
    </row>
    <row r="186" spans="1:23" s="1" customFormat="1" ht="15.75" customHeight="1" x14ac:dyDescent="0.2">
      <c r="A186" s="10"/>
      <c r="B186" s="968" t="s">
        <v>51</v>
      </c>
      <c r="C186" s="973"/>
      <c r="D186" s="973"/>
      <c r="E186" s="973"/>
      <c r="F186" s="973"/>
      <c r="G186" s="973"/>
      <c r="H186" s="973"/>
      <c r="I186" s="397">
        <f>SUMIF(H14:H162,"PSDF",I14:I162)</f>
        <v>525.9</v>
      </c>
      <c r="J186" s="454">
        <f>SUMIF(H14:H162,"PSDF",J14:J162)</f>
        <v>460.7</v>
      </c>
      <c r="K186" s="173">
        <f>SUMIF(H14:H162,"PSDF",K14:K162)</f>
        <v>509</v>
      </c>
      <c r="L186" s="167">
        <f>SUMIF(H14:H162,"PSDF",L14:L162)</f>
        <v>539.4</v>
      </c>
      <c r="M186" s="11"/>
      <c r="N186" s="68"/>
      <c r="O186" s="68"/>
      <c r="P186" s="68"/>
      <c r="Q186" s="68"/>
      <c r="R186" s="12"/>
      <c r="S186" s="12"/>
      <c r="T186" s="12"/>
      <c r="U186" s="12"/>
      <c r="V186" s="12"/>
      <c r="W186" s="12"/>
    </row>
    <row r="187" spans="1:23" s="1" customFormat="1" ht="15.75" customHeight="1" x14ac:dyDescent="0.2">
      <c r="A187" s="10"/>
      <c r="B187" s="968" t="s">
        <v>74</v>
      </c>
      <c r="C187" s="969"/>
      <c r="D187" s="969"/>
      <c r="E187" s="969"/>
      <c r="F187" s="969"/>
      <c r="G187" s="969"/>
      <c r="H187" s="969"/>
      <c r="I187" s="397">
        <f>SUMIF(H14:H162,"lrvb",I14:I162)</f>
        <v>1.7</v>
      </c>
      <c r="J187" s="454">
        <f>SUMIF(H14:H162,"lrvb",J14:J162)</f>
        <v>0.3</v>
      </c>
      <c r="K187" s="173">
        <f>SUMIF(H14:H162,"lrvb",K14:K162)</f>
        <v>0</v>
      </c>
      <c r="L187" s="167">
        <f>SUMIF(H14:H162,"lrvb",L14:L162)</f>
        <v>0</v>
      </c>
      <c r="M187" s="11"/>
      <c r="N187" s="68"/>
      <c r="O187" s="68"/>
      <c r="P187" s="68"/>
      <c r="Q187" s="68"/>
      <c r="R187" s="12"/>
      <c r="S187" s="12"/>
      <c r="T187" s="12"/>
      <c r="U187" s="12"/>
      <c r="V187" s="12"/>
      <c r="W187" s="12"/>
    </row>
    <row r="188" spans="1:23" s="1" customFormat="1" ht="15.75" customHeight="1" x14ac:dyDescent="0.2">
      <c r="A188" s="9"/>
      <c r="B188" s="936" t="s">
        <v>53</v>
      </c>
      <c r="C188" s="937"/>
      <c r="D188" s="937"/>
      <c r="E188" s="937"/>
      <c r="F188" s="937"/>
      <c r="G188" s="938"/>
      <c r="H188" s="938"/>
      <c r="I188" s="484">
        <f>SUMIF(H14:H162,"kt",I14:I162)</f>
        <v>253.1</v>
      </c>
      <c r="J188" s="488">
        <f>SUMIF(H14:H162,"kt",J14:J162)</f>
        <v>1867.5</v>
      </c>
      <c r="K188" s="171">
        <f>SUMIF(H14:H162,"kt",K14:K162)</f>
        <v>481.1</v>
      </c>
      <c r="L188" s="165">
        <f>SUMIF(H14:H162,"kt",L14:L162)</f>
        <v>5774</v>
      </c>
      <c r="M188" s="59"/>
      <c r="N188" s="59"/>
      <c r="O188" s="59"/>
      <c r="P188" s="59"/>
      <c r="Q188" s="59"/>
      <c r="R188" s="12"/>
      <c r="S188" s="12"/>
      <c r="T188" s="12"/>
      <c r="U188" s="12"/>
      <c r="V188" s="12"/>
      <c r="W188" s="12"/>
    </row>
    <row r="189" spans="1:23" s="1" customFormat="1" ht="15.75" customHeight="1" thickBot="1" x14ac:dyDescent="0.25">
      <c r="A189" s="13"/>
      <c r="B189" s="956" t="s">
        <v>54</v>
      </c>
      <c r="C189" s="957"/>
      <c r="D189" s="957"/>
      <c r="E189" s="957"/>
      <c r="F189" s="957"/>
      <c r="G189" s="957"/>
      <c r="H189" s="957"/>
      <c r="I189" s="402">
        <f t="shared" ref="I189:L189" si="27">I184+I171</f>
        <v>15073.2</v>
      </c>
      <c r="J189" s="496">
        <f t="shared" si="27"/>
        <v>9968</v>
      </c>
      <c r="K189" s="174">
        <f t="shared" si="27"/>
        <v>10997.5</v>
      </c>
      <c r="L189" s="168">
        <f t="shared" si="27"/>
        <v>14382.5</v>
      </c>
      <c r="M189" s="58"/>
      <c r="N189" s="58"/>
      <c r="O189" s="58"/>
      <c r="P189" s="58"/>
      <c r="Q189" s="58"/>
      <c r="R189" s="12"/>
      <c r="S189" s="12"/>
      <c r="T189" s="12"/>
      <c r="U189" s="12"/>
      <c r="V189" s="12"/>
      <c r="W189" s="12"/>
    </row>
    <row r="190" spans="1:23" x14ac:dyDescent="0.25">
      <c r="A190" s="14"/>
      <c r="B190" s="15"/>
      <c r="C190" s="15"/>
      <c r="D190" s="31"/>
      <c r="E190" s="15"/>
      <c r="F190" s="31"/>
      <c r="G190" s="79"/>
      <c r="H190" s="16"/>
      <c r="I190" s="16"/>
      <c r="J190" s="16"/>
      <c r="K190" s="16"/>
      <c r="L190" s="16"/>
      <c r="M190" s="9"/>
      <c r="N190" s="87"/>
      <c r="O190" s="87"/>
      <c r="P190" s="87"/>
      <c r="Q190" s="87"/>
    </row>
    <row r="191" spans="1:23" x14ac:dyDescent="0.25">
      <c r="A191" s="9"/>
      <c r="B191" s="9"/>
      <c r="C191" s="9"/>
      <c r="D191" s="87"/>
      <c r="E191" s="17"/>
      <c r="F191" s="87"/>
      <c r="G191" s="79"/>
      <c r="H191" s="67"/>
      <c r="I191" s="281">
        <f>+I189-I165</f>
        <v>0</v>
      </c>
      <c r="J191" s="281"/>
      <c r="K191" s="281"/>
      <c r="L191" s="281"/>
      <c r="M191" s="108"/>
      <c r="N191" s="40"/>
      <c r="O191" s="40"/>
      <c r="P191" s="40"/>
      <c r="Q191" s="40"/>
    </row>
    <row r="192" spans="1:23" x14ac:dyDescent="0.25">
      <c r="H192" s="91"/>
      <c r="I192" s="91"/>
      <c r="J192" s="91"/>
      <c r="K192" s="91"/>
      <c r="L192" s="91"/>
      <c r="M192" s="92"/>
      <c r="N192" s="141"/>
      <c r="O192" s="141"/>
      <c r="P192" s="141"/>
      <c r="Q192" s="141"/>
    </row>
    <row r="193" spans="8:17" x14ac:dyDescent="0.25">
      <c r="H193" s="93"/>
      <c r="I193" s="93"/>
      <c r="J193" s="93"/>
      <c r="K193" s="93"/>
      <c r="L193" s="93"/>
      <c r="M193" s="97"/>
      <c r="N193" s="141"/>
      <c r="O193" s="141"/>
      <c r="P193" s="141"/>
      <c r="Q193" s="141"/>
    </row>
  </sheetData>
  <mergeCells count="258">
    <mergeCell ref="M127:M128"/>
    <mergeCell ref="M134:M135"/>
    <mergeCell ref="J117:J118"/>
    <mergeCell ref="M140:M143"/>
    <mergeCell ref="M147:M149"/>
    <mergeCell ref="M150:M151"/>
    <mergeCell ref="N158:N159"/>
    <mergeCell ref="P158:P159"/>
    <mergeCell ref="K160:K161"/>
    <mergeCell ref="L160:L161"/>
    <mergeCell ref="N160:N162"/>
    <mergeCell ref="O160:O162"/>
    <mergeCell ref="P160:P162"/>
    <mergeCell ref="M158:M159"/>
    <mergeCell ref="O105:O106"/>
    <mergeCell ref="P105:P106"/>
    <mergeCell ref="Q105:Q106"/>
    <mergeCell ref="O107:O108"/>
    <mergeCell ref="P107:P108"/>
    <mergeCell ref="Q107:Q108"/>
    <mergeCell ref="M116:M117"/>
    <mergeCell ref="N116:N117"/>
    <mergeCell ref="K117:K118"/>
    <mergeCell ref="L117:L118"/>
    <mergeCell ref="M118:M119"/>
    <mergeCell ref="O76:O77"/>
    <mergeCell ref="P76:P77"/>
    <mergeCell ref="Q76:Q77"/>
    <mergeCell ref="O79:O80"/>
    <mergeCell ref="P79:P80"/>
    <mergeCell ref="Q79:Q80"/>
    <mergeCell ref="N76:N77"/>
    <mergeCell ref="O85:O86"/>
    <mergeCell ref="P85:P86"/>
    <mergeCell ref="Q85:Q86"/>
    <mergeCell ref="O44:O45"/>
    <mergeCell ref="P44:P45"/>
    <mergeCell ref="Q44:Q45"/>
    <mergeCell ref="M54:M55"/>
    <mergeCell ref="M56:M57"/>
    <mergeCell ref="M59:M61"/>
    <mergeCell ref="O62:O63"/>
    <mergeCell ref="P62:P63"/>
    <mergeCell ref="Q62:Q63"/>
    <mergeCell ref="N44:N45"/>
    <mergeCell ref="M44:M47"/>
    <mergeCell ref="M1:Q1"/>
    <mergeCell ref="A3:N3"/>
    <mergeCell ref="A4:N4"/>
    <mergeCell ref="A5:N5"/>
    <mergeCell ref="A6:Q6"/>
    <mergeCell ref="K7:K9"/>
    <mergeCell ref="L7:L9"/>
    <mergeCell ref="M7:Q7"/>
    <mergeCell ref="M8:M9"/>
    <mergeCell ref="N8:N9"/>
    <mergeCell ref="O8:Q8"/>
    <mergeCell ref="A10:Q10"/>
    <mergeCell ref="A11:Q11"/>
    <mergeCell ref="B12:Q12"/>
    <mergeCell ref="C13:Q13"/>
    <mergeCell ref="M14:M22"/>
    <mergeCell ref="M23:M25"/>
    <mergeCell ref="M29:M30"/>
    <mergeCell ref="M36:M37"/>
    <mergeCell ref="M38:M41"/>
    <mergeCell ref="M42:M43"/>
    <mergeCell ref="A7:A9"/>
    <mergeCell ref="B7:B9"/>
    <mergeCell ref="C7:C9"/>
    <mergeCell ref="D7:D9"/>
    <mergeCell ref="E7:E9"/>
    <mergeCell ref="J7:J9"/>
    <mergeCell ref="F7:F9"/>
    <mergeCell ref="G7:G9"/>
    <mergeCell ref="H7:H9"/>
    <mergeCell ref="I7:I9"/>
    <mergeCell ref="C23:C25"/>
    <mergeCell ref="E23:E25"/>
    <mergeCell ref="G23:G26"/>
    <mergeCell ref="E26:E27"/>
    <mergeCell ref="A14:A22"/>
    <mergeCell ref="B14:B22"/>
    <mergeCell ref="C14:C22"/>
    <mergeCell ref="E14:E16"/>
    <mergeCell ref="G14:G17"/>
    <mergeCell ref="E21:E22"/>
    <mergeCell ref="C38:C41"/>
    <mergeCell ref="E38:E41"/>
    <mergeCell ref="G38:G50"/>
    <mergeCell ref="C42:C43"/>
    <mergeCell ref="E42:E43"/>
    <mergeCell ref="F42:F43"/>
    <mergeCell ref="C44:C47"/>
    <mergeCell ref="C56:C58"/>
    <mergeCell ref="E56:E58"/>
    <mergeCell ref="G56:G57"/>
    <mergeCell ref="C59:C61"/>
    <mergeCell ref="E59:E61"/>
    <mergeCell ref="G59:G60"/>
    <mergeCell ref="C48:C50"/>
    <mergeCell ref="E48:E50"/>
    <mergeCell ref="F48:F50"/>
    <mergeCell ref="E51:E55"/>
    <mergeCell ref="G51:G55"/>
    <mergeCell ref="E44:E47"/>
    <mergeCell ref="F44:F47"/>
    <mergeCell ref="E66:E69"/>
    <mergeCell ref="G66:G72"/>
    <mergeCell ref="H70:H73"/>
    <mergeCell ref="M62:M63"/>
    <mergeCell ref="N62:N63"/>
    <mergeCell ref="C62:C63"/>
    <mergeCell ref="D62:D63"/>
    <mergeCell ref="E62:E63"/>
    <mergeCell ref="F62:F63"/>
    <mergeCell ref="G62:G63"/>
    <mergeCell ref="C64:H64"/>
    <mergeCell ref="M64:Q64"/>
    <mergeCell ref="C65:Q65"/>
    <mergeCell ref="M68:M69"/>
    <mergeCell ref="I70:I73"/>
    <mergeCell ref="M71:M72"/>
    <mergeCell ref="M73:M74"/>
    <mergeCell ref="E78:E80"/>
    <mergeCell ref="G78:G80"/>
    <mergeCell ref="M79:M80"/>
    <mergeCell ref="N79:N80"/>
    <mergeCell ref="E75:E77"/>
    <mergeCell ref="G75:G77"/>
    <mergeCell ref="M76:M77"/>
    <mergeCell ref="M85:M86"/>
    <mergeCell ref="E88:E89"/>
    <mergeCell ref="M88:M89"/>
    <mergeCell ref="G90:G91"/>
    <mergeCell ref="E91:E92"/>
    <mergeCell ref="E81:E84"/>
    <mergeCell ref="G81:G82"/>
    <mergeCell ref="E85:E86"/>
    <mergeCell ref="G85:G87"/>
    <mergeCell ref="M81:M82"/>
    <mergeCell ref="M96:M98"/>
    <mergeCell ref="N96:N98"/>
    <mergeCell ref="H93:H94"/>
    <mergeCell ref="M93:M95"/>
    <mergeCell ref="E99:E100"/>
    <mergeCell ref="E103:E104"/>
    <mergeCell ref="G103:G104"/>
    <mergeCell ref="E93:E95"/>
    <mergeCell ref="E96:E98"/>
    <mergeCell ref="G96:G97"/>
    <mergeCell ref="M103:M104"/>
    <mergeCell ref="D112:D115"/>
    <mergeCell ref="E112:E115"/>
    <mergeCell ref="G112:G115"/>
    <mergeCell ref="E107:E108"/>
    <mergeCell ref="F107:F108"/>
    <mergeCell ref="G107:G108"/>
    <mergeCell ref="M107:M108"/>
    <mergeCell ref="E105:E106"/>
    <mergeCell ref="F105:F106"/>
    <mergeCell ref="G105:G106"/>
    <mergeCell ref="M105:M106"/>
    <mergeCell ref="C109:H109"/>
    <mergeCell ref="M109:Q109"/>
    <mergeCell ref="C110:Q110"/>
    <mergeCell ref="O96:O98"/>
    <mergeCell ref="P96:P98"/>
    <mergeCell ref="Q96:Q98"/>
    <mergeCell ref="A114:A115"/>
    <mergeCell ref="B114:B115"/>
    <mergeCell ref="C114:C115"/>
    <mergeCell ref="A116:A119"/>
    <mergeCell ref="B116:B119"/>
    <mergeCell ref="C116:C119"/>
    <mergeCell ref="G116:G119"/>
    <mergeCell ref="A120:A123"/>
    <mergeCell ref="B120:B123"/>
    <mergeCell ref="C120:C123"/>
    <mergeCell ref="D120:D123"/>
    <mergeCell ref="E120:E123"/>
    <mergeCell ref="D116:D119"/>
    <mergeCell ref="E116:E119"/>
    <mergeCell ref="G120:G121"/>
    <mergeCell ref="G122:G123"/>
    <mergeCell ref="A144:A146"/>
    <mergeCell ref="B144:B146"/>
    <mergeCell ref="C144:C146"/>
    <mergeCell ref="D144:D146"/>
    <mergeCell ref="E144:E146"/>
    <mergeCell ref="G124:G126"/>
    <mergeCell ref="E127:E128"/>
    <mergeCell ref="E131:E133"/>
    <mergeCell ref="G132:G133"/>
    <mergeCell ref="E134:E136"/>
    <mergeCell ref="G134:G135"/>
    <mergeCell ref="A124:A126"/>
    <mergeCell ref="B124:B126"/>
    <mergeCell ref="C124:C126"/>
    <mergeCell ref="D124:D126"/>
    <mergeCell ref="E124:E126"/>
    <mergeCell ref="F124:F126"/>
    <mergeCell ref="F144:F146"/>
    <mergeCell ref="G144:G146"/>
    <mergeCell ref="E147:E149"/>
    <mergeCell ref="E150:E152"/>
    <mergeCell ref="G150:G151"/>
    <mergeCell ref="E137:E139"/>
    <mergeCell ref="G137:G139"/>
    <mergeCell ref="E140:E143"/>
    <mergeCell ref="G140:G143"/>
    <mergeCell ref="G153:G154"/>
    <mergeCell ref="E155:E157"/>
    <mergeCell ref="D158:D159"/>
    <mergeCell ref="E158:E159"/>
    <mergeCell ref="G158:G159"/>
    <mergeCell ref="A153:A154"/>
    <mergeCell ref="B153:B154"/>
    <mergeCell ref="C153:C154"/>
    <mergeCell ref="D153:D154"/>
    <mergeCell ref="E153:E154"/>
    <mergeCell ref="F153:F154"/>
    <mergeCell ref="D160:D162"/>
    <mergeCell ref="E160:E162"/>
    <mergeCell ref="G160:G162"/>
    <mergeCell ref="H160:H161"/>
    <mergeCell ref="I160:I161"/>
    <mergeCell ref="J160:J161"/>
    <mergeCell ref="M160:M162"/>
    <mergeCell ref="C163:H163"/>
    <mergeCell ref="M163:Q163"/>
    <mergeCell ref="B164:H164"/>
    <mergeCell ref="M164:Q164"/>
    <mergeCell ref="B165:H165"/>
    <mergeCell ref="M165:Q165"/>
    <mergeCell ref="A166:N166"/>
    <mergeCell ref="B167:L167"/>
    <mergeCell ref="B169:I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3" manualBreakCount="3">
    <brk id="50" max="16" man="1"/>
    <brk id="98" max="16" man="1"/>
    <brk id="154" max="16" man="1"/>
  </rowBreaks>
  <colBreaks count="1" manualBreakCount="1">
    <brk id="17" max="19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4 programa</vt:lpstr>
      <vt:lpstr>Aiškinamoji lentelė</vt:lpstr>
      <vt:lpstr>'4 programa'!Print_Area</vt:lpstr>
      <vt:lpstr>'Aiškinamoji lentelė'!Print_Area</vt:lpstr>
      <vt:lpstr>'4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Asta Česnauskienė</cp:lastModifiedBy>
  <cp:lastPrinted>2022-01-22T08:41:36Z</cp:lastPrinted>
  <dcterms:created xsi:type="dcterms:W3CDTF">2015-11-25T11:03:52Z</dcterms:created>
  <dcterms:modified xsi:type="dcterms:W3CDTF">2022-02-17T09:15:02Z</dcterms:modified>
</cp:coreProperties>
</file>