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2-2024 SVP\SPRENDIMO PROJEKTAS\"/>
    </mc:Choice>
  </mc:AlternateContent>
  <bookViews>
    <workbookView xWindow="-120" yWindow="-120" windowWidth="23160" windowHeight="9320"/>
  </bookViews>
  <sheets>
    <sheet name="5 programa" sheetId="6" r:id="rId1"/>
    <sheet name="Aiškinamoji lentelė" sheetId="5" state="hidden" r:id="rId2"/>
  </sheets>
  <definedNames>
    <definedName name="_xlnm.Print_Area" localSheetId="0">'5 programa'!$A$1:$M$188</definedName>
    <definedName name="_xlnm.Print_Area" localSheetId="1">'Aiškinamoji lentelė'!$A$1:$Q$184</definedName>
    <definedName name="_xlnm.Print_Titles" localSheetId="0">'5 programa'!$9:$11</definedName>
    <definedName name="_xlnm.Print_Titles" localSheetId="1">'Aiškinamoji lentelė'!$8:$10</definedName>
  </definedNames>
  <calcPr calcId="162913"/>
</workbook>
</file>

<file path=xl/calcChain.xml><?xml version="1.0" encoding="utf-8"?>
<calcChain xmlns="http://schemas.openxmlformats.org/spreadsheetml/2006/main">
  <c r="I185" i="6" l="1"/>
  <c r="I184" i="6"/>
  <c r="I182" i="6"/>
  <c r="I181" i="6"/>
  <c r="I180" i="6"/>
  <c r="I179" i="6"/>
  <c r="I178" i="6"/>
  <c r="I177" i="6"/>
  <c r="I176" i="6"/>
  <c r="I175" i="6"/>
  <c r="I174" i="6"/>
  <c r="I173" i="6"/>
  <c r="I172" i="6"/>
  <c r="H185" i="6"/>
  <c r="H184" i="6"/>
  <c r="H182" i="6"/>
  <c r="H181" i="6"/>
  <c r="H180" i="6"/>
  <c r="H179" i="6"/>
  <c r="H178" i="6"/>
  <c r="H177" i="6"/>
  <c r="H176" i="6"/>
  <c r="H175" i="6"/>
  <c r="H174" i="6"/>
  <c r="H173" i="6"/>
  <c r="H172" i="6"/>
  <c r="G185" i="6"/>
  <c r="G184" i="6"/>
  <c r="G182" i="6"/>
  <c r="G181" i="6"/>
  <c r="G180" i="6"/>
  <c r="G179" i="6"/>
  <c r="G178" i="6"/>
  <c r="G177" i="6"/>
  <c r="G176" i="6"/>
  <c r="G175" i="6"/>
  <c r="G174" i="6"/>
  <c r="G173" i="6"/>
  <c r="G172" i="6"/>
  <c r="I162" i="6"/>
  <c r="H162" i="6"/>
  <c r="G162" i="6"/>
  <c r="Q154" i="6"/>
  <c r="R154" i="6"/>
  <c r="P154" i="6"/>
  <c r="Q153" i="6"/>
  <c r="R153" i="6"/>
  <c r="I150" i="6"/>
  <c r="H150" i="6"/>
  <c r="G150" i="6"/>
  <c r="Q143" i="6"/>
  <c r="R143" i="6"/>
  <c r="P143" i="6"/>
  <c r="Q142" i="6"/>
  <c r="R142" i="6"/>
  <c r="P142" i="6"/>
  <c r="Q141" i="6"/>
  <c r="R141" i="6"/>
  <c r="P141" i="6"/>
  <c r="I140" i="6"/>
  <c r="H140" i="6"/>
  <c r="G140" i="6"/>
  <c r="Q117" i="6"/>
  <c r="R117" i="6"/>
  <c r="P117" i="6"/>
  <c r="Q116" i="6"/>
  <c r="R116" i="6"/>
  <c r="P116" i="6"/>
  <c r="Q115" i="6"/>
  <c r="R115" i="6"/>
  <c r="H114" i="6"/>
  <c r="I114" i="6"/>
  <c r="G114" i="6"/>
  <c r="Q83" i="6"/>
  <c r="R83" i="6"/>
  <c r="P83" i="6"/>
  <c r="Q82" i="6"/>
  <c r="R82" i="6"/>
  <c r="P82" i="6"/>
  <c r="Q81" i="6"/>
  <c r="R81" i="6"/>
  <c r="P81" i="6"/>
  <c r="Q80" i="6"/>
  <c r="R80" i="6"/>
  <c r="P80" i="6"/>
  <c r="Q79" i="6"/>
  <c r="R79" i="6"/>
  <c r="P79" i="6"/>
  <c r="Q78" i="6"/>
  <c r="R78" i="6"/>
  <c r="P78" i="6"/>
  <c r="Q77" i="6"/>
  <c r="R77" i="6"/>
  <c r="P77" i="6"/>
  <c r="Q76" i="6"/>
  <c r="R76" i="6"/>
  <c r="P76" i="6"/>
  <c r="R75" i="6"/>
  <c r="I74" i="6"/>
  <c r="H74" i="6"/>
  <c r="G74" i="6"/>
  <c r="Q65" i="6"/>
  <c r="R65" i="6"/>
  <c r="Q64" i="6"/>
  <c r="R64" i="6"/>
  <c r="P64" i="6"/>
  <c r="Q63" i="6"/>
  <c r="R63" i="6"/>
  <c r="P63" i="6"/>
  <c r="I60" i="6"/>
  <c r="H60" i="6"/>
  <c r="G60" i="6"/>
  <c r="Q41" i="6"/>
  <c r="R41" i="6"/>
  <c r="P41" i="6"/>
  <c r="P40" i="6"/>
  <c r="Q42" i="6"/>
  <c r="R42" i="6"/>
  <c r="Q40" i="6"/>
  <c r="R40" i="6"/>
  <c r="R39" i="6"/>
  <c r="I36" i="6"/>
  <c r="H36" i="6"/>
  <c r="G36" i="6"/>
  <c r="Q17" i="6"/>
  <c r="R17" i="6"/>
  <c r="P17" i="6"/>
  <c r="Q19" i="6"/>
  <c r="R19" i="6"/>
  <c r="P19" i="6"/>
  <c r="Q18" i="6"/>
  <c r="R18" i="6"/>
  <c r="Q16" i="6"/>
  <c r="R16" i="6"/>
  <c r="P16" i="6"/>
  <c r="R155" i="6" l="1"/>
  <c r="R156" i="6" s="1"/>
  <c r="Q155" i="6"/>
  <c r="Q156" i="6"/>
  <c r="P144" i="6"/>
  <c r="P145" i="6" s="1"/>
  <c r="R144" i="6"/>
  <c r="R145" i="6" s="1"/>
  <c r="Q144" i="6"/>
  <c r="R84" i="6"/>
  <c r="R85" i="6" s="1"/>
  <c r="Q145" i="6"/>
  <c r="Q118" i="6"/>
  <c r="Q120" i="6" s="1"/>
  <c r="R118" i="6"/>
  <c r="R120" i="6" s="1"/>
  <c r="Q66" i="6"/>
  <c r="Q20" i="6"/>
  <c r="Q21" i="6" s="1"/>
  <c r="R43" i="6"/>
  <c r="R44" i="6" s="1"/>
  <c r="R66" i="6"/>
  <c r="R67" i="6" s="1"/>
  <c r="Q67" i="6"/>
  <c r="R20" i="6"/>
  <c r="R21" i="6" s="1"/>
  <c r="I163" i="6"/>
  <c r="H163" i="6"/>
  <c r="G155" i="6"/>
  <c r="G118" i="6"/>
  <c r="P115" i="6" s="1"/>
  <c r="P118" i="6" s="1"/>
  <c r="P120" i="6" s="1"/>
  <c r="H110" i="6"/>
  <c r="Q75" i="6" s="1"/>
  <c r="Q84" i="6" s="1"/>
  <c r="Q85" i="6" s="1"/>
  <c r="G84" i="6"/>
  <c r="P75" i="6" s="1"/>
  <c r="P84" i="6" s="1"/>
  <c r="P85" i="6" s="1"/>
  <c r="G71" i="6"/>
  <c r="P65" i="6" s="1"/>
  <c r="P66" i="6" s="1"/>
  <c r="P67" i="6" s="1"/>
  <c r="I61" i="6"/>
  <c r="H51" i="6"/>
  <c r="G51" i="6"/>
  <c r="P39" i="6" s="1"/>
  <c r="G44" i="6"/>
  <c r="P42" i="6" s="1"/>
  <c r="I37" i="6"/>
  <c r="H37" i="6"/>
  <c r="G21" i="6"/>
  <c r="G163" i="6" l="1"/>
  <c r="P153" i="6"/>
  <c r="P155" i="6" s="1"/>
  <c r="P156" i="6" s="1"/>
  <c r="P43" i="6"/>
  <c r="P44" i="6" s="1"/>
  <c r="H61" i="6"/>
  <c r="Q39" i="6"/>
  <c r="Q43" i="6" s="1"/>
  <c r="Q44" i="6" s="1"/>
  <c r="H183" i="6"/>
  <c r="G37" i="6"/>
  <c r="P18" i="6"/>
  <c r="P20" i="6" s="1"/>
  <c r="P21" i="6" s="1"/>
  <c r="I183" i="6"/>
  <c r="G183" i="6"/>
  <c r="G171" i="6"/>
  <c r="I171" i="6"/>
  <c r="I170" i="6" s="1"/>
  <c r="G61" i="6"/>
  <c r="I151" i="6"/>
  <c r="I164" i="6" s="1"/>
  <c r="I165" i="6" s="1"/>
  <c r="G151" i="6"/>
  <c r="H151" i="6"/>
  <c r="H164" i="6" s="1"/>
  <c r="H165" i="6" s="1"/>
  <c r="H171" i="6"/>
  <c r="H170" i="6" s="1"/>
  <c r="L59" i="5"/>
  <c r="H186" i="6" l="1"/>
  <c r="G164" i="6"/>
  <c r="G165" i="6" s="1"/>
  <c r="I186" i="6"/>
  <c r="G170" i="6"/>
  <c r="G186" i="6" s="1"/>
  <c r="I25" i="5"/>
  <c r="I16" i="5"/>
  <c r="I35" i="5" l="1"/>
  <c r="K35" i="5" l="1"/>
  <c r="L35" i="5"/>
  <c r="J113" i="5" l="1"/>
  <c r="J73" i="5"/>
  <c r="J110" i="5" s="1"/>
  <c r="J168" i="5" l="1"/>
  <c r="K106" i="5" l="1"/>
  <c r="K48" i="5"/>
  <c r="K59" i="5" s="1"/>
  <c r="J48" i="5"/>
  <c r="J40" i="5"/>
  <c r="J59" i="5" l="1"/>
  <c r="J134" i="5"/>
  <c r="I139" i="5" l="1"/>
  <c r="I115" i="5"/>
  <c r="I99" i="5"/>
  <c r="I73" i="5"/>
  <c r="J149" i="5" l="1"/>
  <c r="J69" i="5" l="1"/>
  <c r="L171" i="5" l="1"/>
  <c r="K171" i="5"/>
  <c r="J171" i="5"/>
  <c r="I171" i="5"/>
  <c r="K134" i="5" l="1"/>
  <c r="J142" i="5"/>
  <c r="J156" i="5"/>
  <c r="L134" i="5"/>
  <c r="L110" i="5"/>
  <c r="K110" i="5"/>
  <c r="K170" i="5" l="1"/>
  <c r="K167" i="5"/>
  <c r="J17" i="5" l="1"/>
  <c r="J35" i="5" s="1"/>
  <c r="I153" i="5" l="1"/>
  <c r="I113" i="5"/>
  <c r="I134" i="5" s="1"/>
  <c r="I105" i="5"/>
  <c r="I98" i="5"/>
  <c r="I51" i="5"/>
  <c r="I142" i="5" l="1"/>
  <c r="L71" i="5" l="1"/>
  <c r="K71" i="5"/>
  <c r="J71" i="5"/>
  <c r="L182" i="5" l="1"/>
  <c r="L181" i="5"/>
  <c r="L180" i="5"/>
  <c r="L178" i="5"/>
  <c r="L177" i="5"/>
  <c r="L176" i="5"/>
  <c r="L175" i="5"/>
  <c r="L174" i="5"/>
  <c r="L173" i="5"/>
  <c r="L172" i="5"/>
  <c r="L170" i="5"/>
  <c r="L169" i="5"/>
  <c r="L168" i="5"/>
  <c r="L167" i="5"/>
  <c r="K182" i="5"/>
  <c r="K181" i="5"/>
  <c r="K180" i="5"/>
  <c r="K178" i="5"/>
  <c r="K177" i="5"/>
  <c r="K176" i="5"/>
  <c r="K175" i="5"/>
  <c r="K174" i="5"/>
  <c r="K173" i="5"/>
  <c r="K172" i="5"/>
  <c r="K169" i="5"/>
  <c r="K168" i="5"/>
  <c r="J182" i="5"/>
  <c r="J181" i="5"/>
  <c r="J180" i="5"/>
  <c r="J178" i="5"/>
  <c r="J177" i="5"/>
  <c r="J176" i="5"/>
  <c r="J175" i="5"/>
  <c r="J174" i="5"/>
  <c r="J173" i="5"/>
  <c r="J172" i="5"/>
  <c r="J170" i="5"/>
  <c r="J169" i="5"/>
  <c r="J167" i="5"/>
  <c r="I182" i="5"/>
  <c r="I181" i="5"/>
  <c r="I180" i="5"/>
  <c r="I178" i="5"/>
  <c r="I176" i="5"/>
  <c r="I175" i="5"/>
  <c r="I173" i="5"/>
  <c r="I172" i="5"/>
  <c r="I170" i="5"/>
  <c r="I169" i="5"/>
  <c r="J157" i="5"/>
  <c r="K156" i="5"/>
  <c r="K157" i="5" s="1"/>
  <c r="L156" i="5"/>
  <c r="K142" i="5"/>
  <c r="L142" i="5"/>
  <c r="L60" i="5"/>
  <c r="J60" i="5"/>
  <c r="K60" i="5"/>
  <c r="J36" i="5"/>
  <c r="K36" i="5"/>
  <c r="L36" i="5"/>
  <c r="I149" i="5"/>
  <c r="I104" i="5"/>
  <c r="I88" i="5"/>
  <c r="I84" i="5"/>
  <c r="I83" i="5"/>
  <c r="I70" i="5"/>
  <c r="I67" i="5"/>
  <c r="I65" i="5"/>
  <c r="I48" i="5"/>
  <c r="I43" i="5"/>
  <c r="I59" i="5" s="1"/>
  <c r="I36" i="5"/>
  <c r="I110" i="5" l="1"/>
  <c r="I156" i="5"/>
  <c r="I157" i="5" s="1"/>
  <c r="I71" i="5"/>
  <c r="I174" i="5"/>
  <c r="I168" i="5"/>
  <c r="I177" i="5"/>
  <c r="J143" i="5"/>
  <c r="J158" i="5" s="1"/>
  <c r="J159" i="5" s="1"/>
  <c r="L143" i="5"/>
  <c r="K143" i="5"/>
  <c r="K158" i="5" s="1"/>
  <c r="K159" i="5" s="1"/>
  <c r="I167" i="5"/>
  <c r="K179" i="5"/>
  <c r="J179" i="5"/>
  <c r="J166" i="5"/>
  <c r="J165" i="5" s="1"/>
  <c r="I179" i="5"/>
  <c r="I60" i="5"/>
  <c r="J183" i="5" l="1"/>
  <c r="I143" i="5"/>
  <c r="I158" i="5" s="1"/>
  <c r="I159" i="5" s="1"/>
  <c r="I166" i="5"/>
  <c r="I165" i="5" s="1"/>
  <c r="I183" i="5" s="1"/>
  <c r="K166" i="5"/>
  <c r="K165" i="5" s="1"/>
  <c r="K183" i="5" s="1"/>
  <c r="L157" i="5" l="1"/>
  <c r="L158" i="5" s="1"/>
  <c r="L159" i="5" s="1"/>
  <c r="L179" i="5" l="1"/>
  <c r="L166" i="5" l="1"/>
  <c r="L165" i="5" s="1"/>
  <c r="L183" i="5" s="1"/>
</calcChain>
</file>

<file path=xl/comments1.xml><?xml version="1.0" encoding="utf-8"?>
<comments xmlns="http://schemas.openxmlformats.org/spreadsheetml/2006/main">
  <authors>
    <author>Saulina Paulauskiene</author>
    <author>Audra Cepiene</author>
    <author>Snieguole Kacerauskaite</author>
    <author>Inga Mikalauskienė</author>
    <author>Irma Zukiene</author>
    <author>Rima Alisauskaite</author>
  </authors>
  <commentList>
    <comment ref="K28" authorId="0" shapeId="0">
      <text>
        <r>
          <rPr>
            <sz val="9"/>
            <color indexed="81"/>
            <rFont val="Tahoma"/>
            <family val="2"/>
            <charset val="186"/>
          </rPr>
          <t xml:space="preserve">Atliekų tvarkymo švietimo priemonės:
1) plakatų kūrimas, leidyba, eksploatavimas; 
2) radio žaidimai, viktorinos.
3) viešinimo paslaugos per žiniasklaidos atstovus;
4) suvenyrų su logotipu (daugkartinio naudojimo metalinių gertuvių) gamyba;
5) aplinkosauginių projektų atliekų tvarkymo tematika rėmimas, 3 vnt. </t>
        </r>
      </text>
    </comment>
    <comment ref="L28" authorId="0" shapeId="0">
      <text>
        <r>
          <rPr>
            <sz val="9"/>
            <color indexed="81"/>
            <rFont val="Tahoma"/>
            <family val="2"/>
            <charset val="186"/>
          </rPr>
          <t xml:space="preserve">Atliekų tvarkymo švietimo priemonės:
1) plakatų kūrimas, leidyba, eksploatavimas; 
2) radio žaidimai, viktorinos.
3) viešinimo paslaugos per žiniasklaidos atstovus;
4) konkurso organizavimas ir įgyvendinimas bendrojo ugdymo mokyklose;
5) aplinkosauginių projektų atliekų tvarkymo tematika rėmimas, 3 vnt. </t>
        </r>
      </text>
    </comment>
    <comment ref="M28" authorId="0" shapeId="0">
      <text>
        <r>
          <rPr>
            <sz val="9"/>
            <color indexed="81"/>
            <rFont val="Tahoma"/>
            <family val="2"/>
            <charset val="186"/>
          </rPr>
          <t>Atliekų tvarkymo švietimo priemonės:
1) plakatų kūrimas, leidyba, eksploatavimas; 
2) radio žaidimai, viktorinos.
3) viešinimo paslaugos per žiniasklaidos atstovus;
4) suvenyrų su logotipu (daugkartinio naudojimo metalinių gertuvių) gamyba;
5) konkurso organizavimas ir įgyvendinimas bendrojo ugdymo mokyklose;
6) aplinkosauginių projektų atliekų tvarkymo tematika rėmimas, 3 vnt</t>
        </r>
      </text>
    </comment>
    <comment ref="E30" authorId="1" shapeId="0">
      <text>
        <r>
          <rPr>
            <sz val="9"/>
            <color indexed="81"/>
            <rFont val="Tahoma"/>
            <family val="2"/>
            <charset val="186"/>
          </rPr>
          <t>P-3.3.4.1.</t>
        </r>
      </text>
    </comment>
    <comment ref="J30" authorId="2" shapeId="0">
      <text>
        <r>
          <rPr>
            <sz val="9"/>
            <color indexed="81"/>
            <rFont val="Tahoma"/>
            <family val="2"/>
            <charset val="186"/>
          </rPr>
          <t xml:space="preserve">Projektą įgyvendina KRATC, savivaldybė apmoka savo dalį, kai agentūra pripažįsta išlaidas tinkamomis. 
</t>
        </r>
      </text>
    </comment>
    <comment ref="D43" authorId="1" shapeId="0">
      <text>
        <r>
          <rPr>
            <sz val="9"/>
            <color indexed="81"/>
            <rFont val="Tahoma"/>
            <family val="2"/>
            <charset val="186"/>
          </rPr>
          <t>2021-09-30 tarybos sprendimas Nr. T2-"Dėl Klaipėdos miesto savivaldybės aplinkos monitoringo 2022-2026 m. programos patvirtinimo"</t>
        </r>
      </text>
    </comment>
    <comment ref="E43" authorId="1" shapeId="0">
      <text>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K43" authorId="3" shapeId="0">
      <text>
        <r>
          <rPr>
            <sz val="9"/>
            <color indexed="81"/>
            <rFont val="Tahoma"/>
            <family val="2"/>
            <charset val="186"/>
          </rPr>
          <t>Aplinkos oro monitoringas;</t>
        </r>
        <r>
          <rPr>
            <b/>
            <sz val="9"/>
            <color indexed="81"/>
            <rFont val="Tahoma"/>
            <family val="2"/>
            <charset val="186"/>
          </rPr>
          <t xml:space="preserve">
</t>
        </r>
        <r>
          <rPr>
            <sz val="9"/>
            <color indexed="81"/>
            <rFont val="Tahoma"/>
            <family val="2"/>
            <charset val="186"/>
          </rPr>
          <t>Aplinkos triukšmo monitoringas</t>
        </r>
      </text>
    </comment>
    <comment ref="L43" authorId="3" shapeId="0">
      <text>
        <r>
          <rPr>
            <sz val="9"/>
            <color indexed="81"/>
            <rFont val="Tahoma"/>
            <family val="2"/>
            <charset val="186"/>
          </rPr>
          <t xml:space="preserve">Aplinkos oro monitoringas;
Aplinkos triukšmo monitoringas;
Dirvožemio monitoringas
</t>
        </r>
      </text>
    </comment>
    <comment ref="M43" authorId="3" shapeId="0">
      <text>
        <r>
          <rPr>
            <sz val="9"/>
            <color indexed="81"/>
            <rFont val="Tahoma"/>
            <family val="2"/>
            <charset val="186"/>
          </rPr>
          <t>Aplinkos oro monitoringas;
Aplinkos triukšmo monitoringas; 
Dirvožemio monitoringas;
Gyvosios gamtos monitoringas;
Paviršinio vandens monitoringas</t>
        </r>
      </text>
    </comment>
    <comment ref="E44" authorId="0" shapeId="0">
      <text>
        <r>
          <rPr>
            <sz val="9"/>
            <color indexed="81"/>
            <rFont val="Tahoma"/>
            <family val="2"/>
            <charset val="186"/>
          </rPr>
          <t>P-3.3.5.; 3.3.5.1.; 3.5.4.;</t>
        </r>
      </text>
    </comment>
    <comment ref="J44" authorId="0" shapeId="0">
      <text>
        <r>
          <rPr>
            <sz val="9"/>
            <color indexed="81"/>
            <rFont val="Tahoma"/>
            <family val="2"/>
            <charset val="186"/>
          </rPr>
          <t xml:space="preserve">Bus perkama nepertraukiamų oro matavimų paslauga  5 taškuose (3 taškuose LOJ, 2 taškuose - kietosios ir suspenduotos dalelės), kaip aplinkos oro monitoringo 2022-2026 m. dalis. </t>
        </r>
      </text>
    </comment>
    <comment ref="E46" authorId="0" shapeId="0">
      <text>
        <r>
          <rPr>
            <sz val="9"/>
            <color indexed="81"/>
            <rFont val="Tahoma"/>
            <family val="2"/>
            <charset val="186"/>
          </rPr>
          <t>P-3.3.2.6.; 3.3.5.1.</t>
        </r>
      </text>
    </comment>
    <comment ref="E49" authorId="1" shapeId="0">
      <text>
        <r>
          <rPr>
            <sz val="9"/>
            <color indexed="81"/>
            <rFont val="Tahoma"/>
            <family val="2"/>
            <charset val="186"/>
          </rPr>
          <t>P1, 1.1. Aplinkos oro kokybės valdymo plano parengimas ir oro kokybės mieste užtikrinimo priemonių įgyvendinimas</t>
        </r>
      </text>
    </comment>
    <comment ref="E51" authorId="0" shapeId="0">
      <text>
        <r>
          <rPr>
            <sz val="9"/>
            <color indexed="81"/>
            <rFont val="Tahoma"/>
            <family val="2"/>
            <charset val="186"/>
          </rPr>
          <t>P-3.3.5.5.</t>
        </r>
      </text>
    </comment>
    <comment ref="K51" authorId="3" shapeId="0">
      <text>
        <r>
          <rPr>
            <sz val="9"/>
            <color indexed="81"/>
            <rFont val="Tahoma"/>
            <family val="2"/>
            <charset val="186"/>
          </rPr>
          <t xml:space="preserve">Lopšelis-darželis "Bitutė"
</t>
        </r>
      </text>
    </comment>
    <comment ref="L51" authorId="3" shapeId="0">
      <text>
        <r>
          <rPr>
            <sz val="9"/>
            <color indexed="81"/>
            <rFont val="Tahoma"/>
            <family val="2"/>
            <charset val="186"/>
          </rPr>
          <t>Gyvenamoji teritorija Švyturio g. - darbų pradžia 2022 m.</t>
        </r>
      </text>
    </comment>
    <comment ref="M51" authorId="3" shapeId="0">
      <text>
        <r>
          <rPr>
            <sz val="9"/>
            <color indexed="81"/>
            <rFont val="Tahoma"/>
            <family val="2"/>
            <charset val="186"/>
          </rPr>
          <t>L/d Traukinukas</t>
        </r>
      </text>
    </comment>
    <comment ref="K54" authorId="3" shapeId="0">
      <text>
        <r>
          <rPr>
            <sz val="9"/>
            <color indexed="81"/>
            <rFont val="Tahoma"/>
            <family val="2"/>
            <charset val="186"/>
          </rPr>
          <t xml:space="preserve">Vitės progimnazija
</t>
        </r>
      </text>
    </comment>
    <comment ref="E56" authorId="0" shapeId="0">
      <text>
        <r>
          <rPr>
            <sz val="9"/>
            <color indexed="81"/>
            <rFont val="Tahoma"/>
            <family val="2"/>
            <charset val="186"/>
          </rPr>
          <t>P-3.5.4.;</t>
        </r>
      </text>
    </comment>
    <comment ref="L56" authorId="3" shapeId="0">
      <text>
        <r>
          <rPr>
            <sz val="9"/>
            <color indexed="81"/>
            <rFont val="Tahoma"/>
            <family val="2"/>
            <charset val="186"/>
          </rPr>
          <t xml:space="preserve">Parengta strateginių triukšmo (kelių, pagrindinių kelių, geležinkelių, pramoninės veiklos zonų) žemėlapių atskirai pagal paros, dienos, vakaro ir nakties triukšmo rodiklius
</t>
        </r>
      </text>
    </comment>
    <comment ref="E66" authorId="0" shapeId="0">
      <text>
        <r>
          <rPr>
            <sz val="9"/>
            <color indexed="81"/>
            <rFont val="Tahoma"/>
            <family val="2"/>
            <charset val="186"/>
          </rPr>
          <t>P-3.3.1.4.</t>
        </r>
      </text>
    </comment>
    <comment ref="K66" authorId="3" shapeId="0">
      <text>
        <r>
          <rPr>
            <sz val="9"/>
            <color indexed="81"/>
            <rFont val="Tahoma"/>
            <family val="2"/>
            <charset val="186"/>
          </rPr>
          <t>Dėl vykdomų projektų ir nusausinimo darbų naujiems statiniams statyti mažėja telkinių skaičius - dabar sanitarinis valymas atliekamas 16 vandens telkinių.</t>
        </r>
        <r>
          <rPr>
            <sz val="9"/>
            <color indexed="81"/>
            <rFont val="Tahoma"/>
            <family val="2"/>
            <charset val="186"/>
          </rPr>
          <t xml:space="preserve">
</t>
        </r>
      </text>
    </comment>
    <comment ref="E68" authorId="1" shapeId="0">
      <text>
        <r>
          <rPr>
            <sz val="9"/>
            <color indexed="81"/>
            <rFont val="Tahoma"/>
            <family val="2"/>
            <charset val="186"/>
          </rPr>
          <t xml:space="preserve">KEPS 4.5.1. Išvalyti Danės upę, pastatyti ir išplėtoti mažus uostelius. </t>
        </r>
      </text>
    </comment>
    <comment ref="E70" authorId="1" shapeId="0">
      <text>
        <r>
          <rPr>
            <sz val="9"/>
            <color indexed="81"/>
            <rFont val="Tahoma"/>
            <family val="2"/>
            <charset val="186"/>
          </rPr>
          <t xml:space="preserve">P-3.3.1.4.
</t>
        </r>
      </text>
    </comment>
    <comment ref="E73" authorId="0" shapeId="0">
      <text>
        <r>
          <rPr>
            <sz val="9"/>
            <color indexed="81"/>
            <rFont val="Tahoma"/>
            <family val="2"/>
            <charset val="186"/>
          </rPr>
          <t>P-3.3.1.4.</t>
        </r>
      </text>
    </comment>
    <comment ref="E84"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J84" authorId="2" shapeId="0">
      <text>
        <r>
          <rPr>
            <sz val="9"/>
            <color indexed="81"/>
            <rFont val="Tahoma"/>
            <family val="2"/>
            <charset val="186"/>
          </rPr>
          <t xml:space="preserve">Rangos sutartis pasirašyta 2020-04-09 25 mėn. Sutartis galioja iki darbų užbaigimo dokumento pasirašymo ir galutinio apmokėjimo dienos. Sutartyje yra numatyta technologinė pertrauka, todėl darbai gali būti nukelti į 2023 m. 
</t>
        </r>
      </text>
    </comment>
    <comment ref="E87" authorId="1" shapeId="0">
      <text>
        <r>
          <rPr>
            <sz val="9"/>
            <color indexed="81"/>
            <rFont val="Tahoma"/>
            <family val="2"/>
            <charset val="186"/>
          </rPr>
          <t xml:space="preserve">KEPS 3.1.13. Vystyti viešųjų erdvių gerinimo programas ir lokalius urbanistinės struktūros atgaivinimo projektus  </t>
        </r>
      </text>
    </comment>
    <comment ref="E88" authorId="0" shapeId="0">
      <text>
        <r>
          <rPr>
            <sz val="9"/>
            <color indexed="81"/>
            <rFont val="Tahoma"/>
            <family val="2"/>
            <charset val="186"/>
          </rPr>
          <t>P-3.2.2.5.</t>
        </r>
      </text>
    </comment>
    <comment ref="E89" authorId="1"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t>
        </r>
      </text>
    </comment>
    <comment ref="E90"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E92" authorId="0" shapeId="0">
      <text>
        <r>
          <rPr>
            <sz val="9"/>
            <color indexed="81"/>
            <rFont val="Tahoma"/>
            <family val="2"/>
            <charset val="186"/>
          </rPr>
          <t>P-3.3.1.2.</t>
        </r>
      </text>
    </comment>
    <comment ref="E94" authorId="3"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J94" authorId="4" shapeId="0">
      <text>
        <r>
          <rPr>
            <sz val="9"/>
            <color indexed="81"/>
            <rFont val="Tahoma"/>
            <family val="2"/>
            <charset val="186"/>
          </rPr>
          <t>Teritorijos palei Šilutės pl. nuo Smiltelės g. iki Jūrininkų pr. (plotas apie 6,2 ha) apsauginės paskirties želdynų ir želdinių projekto parengimas: 2022 m. bus toliau organizuojamas projekto konkursas pagal sutartį J9-1927 (4300 Eur, (SB)) su priziniu fondu 10000 Eur (SB)</t>
        </r>
      </text>
    </comment>
    <comment ref="E95" authorId="3" shapeId="0">
      <text>
        <r>
          <rPr>
            <sz val="9"/>
            <color indexed="81"/>
            <rFont val="Tahoma"/>
            <family val="2"/>
            <charset val="186"/>
          </rPr>
          <t xml:space="preserve">P-3.3.1.1-1, 3.3.1.2-2
</t>
        </r>
      </text>
    </comment>
    <comment ref="J95" authorId="4" shapeId="0">
      <text>
        <r>
          <rPr>
            <sz val="9"/>
            <color indexed="81"/>
            <rFont val="Tahoma"/>
            <family val="2"/>
            <charset val="186"/>
          </rPr>
          <t>Teritorijos palei geležinkelį Klevų g. 6H detaliojo plano pakeitimas, 2022 m. 6300 Eur (SB), pasirašyta sutartis J9-2023</t>
        </r>
      </text>
    </comment>
    <comment ref="E96"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J96" authorId="4" shapeId="0">
      <text>
        <r>
          <rPr>
            <sz val="9"/>
            <color indexed="81"/>
            <rFont val="Tahoma"/>
            <family val="2"/>
            <charset val="186"/>
          </rPr>
          <t>2022 m. planuojama 10000 Eur (SB) ir 2023 m. 10000 Eur (AA)</t>
        </r>
      </text>
    </comment>
    <comment ref="J97" authorId="4" shapeId="0">
      <text>
        <r>
          <rPr>
            <sz val="9"/>
            <color indexed="81"/>
            <rFont val="Tahoma"/>
            <family val="2"/>
            <charset val="186"/>
          </rPr>
          <t>1. Teritorijos palei geležinkelį Klevų g. 6H (plotas apie 13 a) apsauginės paskirties želdynų ir želdinių techninio darbo projekto parengimas - 2022m 3900 Eur; 2023 m. - 4100 Eur (AA);
2. Teritorijos nuo Veliuonos g. iki KVJU ribos (plotas apie 71 a) apsauginės paskirties želdynų ir želdinių techninio darbo projekto parengimas, lėšos planuojamos 2023 m. 14200 Eur (AA); 
3. Teritorijos palei Šilutės pl. nuo Smiltelės g. iki Jūrininkų pr. apsauginės paskirties želdynų ir želdinių techninio darbo projekto parengimas, lėšos planuojamos 2022 m. - 10000Eur (AA), 2023 m. - 20000 Eur (AA); 
4. Apsauginės paskirties želdyno prie Švyturio g. techninio darbo projekto parengimas - 2022 m. 12000 Eur (AA)</t>
        </r>
      </text>
    </comment>
    <comment ref="E98" authorId="1"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J98" authorId="2" shapeId="0">
      <text>
        <r>
          <rPr>
            <sz val="9"/>
            <color indexed="81"/>
            <rFont val="Tahoma"/>
            <family val="2"/>
            <charset val="186"/>
          </rPr>
          <t>Projektas baigtas, pateiktas ir patvirtintas galutinis mokėjimo prašymas. Likutis kitiems metams WC įsigijimui ir įrengimui</t>
        </r>
      </text>
    </comment>
    <comment ref="E100" authorId="1" shapeId="0">
      <text>
        <r>
          <rPr>
            <sz val="9"/>
            <color indexed="81"/>
            <rFont val="Tahoma"/>
            <family val="2"/>
            <charset val="186"/>
          </rPr>
          <t xml:space="preserve">KEPS 3.1.13. Vystyti viešųjų erdvių gerinimo programas ir lokalius urbanistinės struktūros atgaivinimo projektus  </t>
        </r>
      </text>
    </comment>
    <comment ref="E101" authorId="1" shapeId="0">
      <text>
        <r>
          <rPr>
            <sz val="9"/>
            <color indexed="81"/>
            <rFont val="Tahoma"/>
            <family val="2"/>
            <charset val="186"/>
          </rPr>
          <t xml:space="preserve">P-3.2.2.5.
</t>
        </r>
      </text>
    </comment>
    <comment ref="E103"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J103" authorId="1" shapeId="0">
      <text>
        <r>
          <rPr>
            <sz val="9"/>
            <color indexed="81"/>
            <rFont val="Tahoma"/>
            <family val="2"/>
            <charset val="186"/>
          </rPr>
          <t>I etapo darbai</t>
        </r>
      </text>
    </comment>
    <comment ref="J105" authorId="5" shapeId="0">
      <text>
        <r>
          <rPr>
            <sz val="9"/>
            <color indexed="81"/>
            <rFont val="Tahoma"/>
            <family val="2"/>
            <charset val="186"/>
          </rPr>
          <t xml:space="preserve">II etapo darbai. Projekto finansavimo sutartis pratęsta iki 2022-06-30. Nepanaudotos lėšos persikels i 2022 m. </t>
        </r>
      </text>
    </comment>
    <comment ref="E106" authorId="1" shapeId="0">
      <text>
        <r>
          <rPr>
            <sz val="9"/>
            <color indexed="81"/>
            <rFont val="Tahoma"/>
            <family val="2"/>
            <charset val="186"/>
          </rPr>
          <t xml:space="preserve">P-3.2.2.5.
</t>
        </r>
      </text>
    </comment>
    <comment ref="E109" authorId="1"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110" authorId="1" shapeId="0">
      <text>
        <r>
          <rPr>
            <sz val="9"/>
            <color indexed="81"/>
            <rFont val="Tahoma"/>
            <family val="2"/>
            <charset val="186"/>
          </rPr>
          <t xml:space="preserve">KEPS 3.1.13. Vystyti viešųjų erdvių gerinimo programas ir lokalius urbanistinės struktūros atgaivinimo projektus  </t>
        </r>
      </text>
    </comment>
    <comment ref="E113" authorId="1" shapeId="0">
      <text>
        <r>
          <rPr>
            <sz val="9"/>
            <color indexed="81"/>
            <rFont val="Tahoma"/>
            <family val="2"/>
            <charset val="186"/>
          </rPr>
          <t xml:space="preserve">P-3.2.2.5.
</t>
        </r>
      </text>
    </comment>
    <comment ref="E115" authorId="1"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E118" authorId="5" shapeId="0">
      <text>
        <r>
          <rPr>
            <sz val="9"/>
            <color indexed="81"/>
            <rFont val="Tahoma"/>
            <family val="2"/>
            <charset val="186"/>
          </rPr>
          <t>P-1.2.1.1.</t>
        </r>
      </text>
    </comment>
    <comment ref="J118" authorId="3" shapeId="0">
      <text>
        <r>
          <rPr>
            <sz val="9"/>
            <color indexed="81"/>
            <rFont val="Tahoma"/>
            <family val="2"/>
            <charset val="186"/>
          </rPr>
          <t xml:space="preserve">Remiantis „Miško parko“ koncepcija. Vyksta projektavimo paslaugų pirkimo procedūros. </t>
        </r>
      </text>
    </comment>
    <comment ref="E121" authorId="1" shapeId="0">
      <text>
        <r>
          <rPr>
            <sz val="9"/>
            <color indexed="81"/>
            <rFont val="Tahoma"/>
            <family val="2"/>
            <charset val="186"/>
          </rPr>
          <t xml:space="preserve">P-3.1.1.2
</t>
        </r>
      </text>
    </comment>
    <comment ref="K122" authorId="2" shapeId="0">
      <text>
        <r>
          <rPr>
            <sz val="9"/>
            <color indexed="81"/>
            <rFont val="Tahoma"/>
            <family val="2"/>
            <charset val="186"/>
          </rPr>
          <t xml:space="preserve">Bus vykdomi rangos pirkimai:
Varpų g. atkarpoje nuo Sąjūdžio parko iki Smiltelės g.; Baltijos pr. atkarpoje nuo 8A iki 8C sklypų; Baltijos pr. atkarpoje nuo 45 iki 51A sklypų; Dubysos g. atkarpa nuo 31A iki 37C sklypų; Šilutės pl. atkarpa nuo 26 iki geležinkelio pervažos. 
</t>
        </r>
        <r>
          <rPr>
            <sz val="9"/>
            <color indexed="81"/>
            <rFont val="Tahoma"/>
            <family val="2"/>
            <charset val="186"/>
          </rPr>
          <t xml:space="preserve">
</t>
        </r>
      </text>
    </comment>
    <comment ref="E123" authorId="1" shapeId="0">
      <text>
        <r>
          <rPr>
            <sz val="9"/>
            <color indexed="81"/>
            <rFont val="Tahoma"/>
            <family val="2"/>
            <charset val="186"/>
          </rPr>
          <t xml:space="preserve">P-3.1.1.2
</t>
        </r>
      </text>
    </comment>
    <comment ref="E125" authorId="1" shapeId="0">
      <text>
        <r>
          <rPr>
            <sz val="9"/>
            <color indexed="81"/>
            <rFont val="Tahoma"/>
            <family val="2"/>
            <charset val="186"/>
          </rPr>
          <t xml:space="preserve">P-3.1.1.2
</t>
        </r>
      </text>
    </comment>
    <comment ref="E128" authorId="1" shapeId="0">
      <text>
        <r>
          <rPr>
            <sz val="9"/>
            <color indexed="81"/>
            <rFont val="Tahoma"/>
            <family val="2"/>
            <charset val="186"/>
          </rPr>
          <t xml:space="preserve">P-3.1.1.2
</t>
        </r>
      </text>
    </comment>
    <comment ref="E131" authorId="1" shapeId="0">
      <text>
        <r>
          <rPr>
            <sz val="9"/>
            <color indexed="81"/>
            <rFont val="Tahoma"/>
            <family val="2"/>
            <charset val="186"/>
          </rPr>
          <t xml:space="preserve">P-3.1.1.2
</t>
        </r>
      </text>
    </comment>
    <comment ref="E134" authorId="1" shapeId="0">
      <text>
        <r>
          <rPr>
            <sz val="9"/>
            <color indexed="81"/>
            <rFont val="Tahoma"/>
            <family val="2"/>
            <charset val="186"/>
          </rPr>
          <t xml:space="preserve">P-3.1.1.2
</t>
        </r>
      </text>
    </comment>
    <comment ref="D137" authorId="3"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E137" authorId="3" shapeId="0">
      <text>
        <r>
          <rPr>
            <sz val="9"/>
            <color indexed="81"/>
            <rFont val="Tahoma"/>
            <family val="2"/>
            <charset val="186"/>
          </rPr>
          <t>P-3.1.1.2.</t>
        </r>
      </text>
    </comment>
    <comment ref="J137" authorId="3" shapeId="0">
      <text>
        <r>
          <rPr>
            <sz val="9"/>
            <color indexed="81"/>
            <rFont val="Tahoma"/>
            <family val="2"/>
            <charset val="186"/>
          </rPr>
          <t xml:space="preserve">Lėšos architektūrinio konkurso organizavimui su prizais 2023 m. numatomos pagal analogišką 2021-07-23 pasirašytą paslaugų sutartį Nr. J9-1927 dėl projekto konkurso organizavimo paslaugų, kaina 8420 Eur parengiamiesiems darbams ir 15000 Eur prizams (7+5+3) 1-3 vietų laimėtojams 
</t>
        </r>
      </text>
    </comment>
    <comment ref="E144" authorId="1" shapeId="0">
      <text>
        <r>
          <rPr>
            <sz val="9"/>
            <color indexed="81"/>
            <rFont val="Tahoma"/>
            <family val="2"/>
            <charset val="186"/>
          </rPr>
          <t xml:space="preserve">P-1.2.1.5.
</t>
        </r>
      </text>
    </comment>
    <comment ref="E146" authorId="1" shapeId="0">
      <text>
        <r>
          <rPr>
            <sz val="9"/>
            <color indexed="81"/>
            <rFont val="Tahoma"/>
            <family val="2"/>
            <charset val="186"/>
          </rPr>
          <t xml:space="preserve">P-1.2.1.5.
</t>
        </r>
      </text>
    </comment>
    <comment ref="J155" authorId="2" shapeId="0">
      <text>
        <r>
          <rPr>
            <sz val="9"/>
            <color indexed="81"/>
            <rFont val="Tahoma"/>
            <family val="2"/>
            <charset val="186"/>
          </rPr>
          <t xml:space="preserve">KMSA projekte dalyvauja kaip partneris. AB „LTGI Infra“ (Lietuvos geležinkeliai) teikti paraišką ES finansavimui planuoja 2022 II ketv. </t>
        </r>
      </text>
    </comment>
    <comment ref="E156"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 ref="E158" authorId="5" shapeId="0">
      <text>
        <r>
          <rPr>
            <sz val="9"/>
            <color indexed="81"/>
            <rFont val="Tahoma"/>
            <family val="2"/>
            <charset val="186"/>
          </rPr>
          <t>P-3.3.5.3.</t>
        </r>
      </text>
    </comment>
    <comment ref="E161" authorId="5" shapeId="0">
      <text>
        <r>
          <rPr>
            <sz val="9"/>
            <color indexed="81"/>
            <rFont val="Tahoma"/>
            <family val="2"/>
            <charset val="186"/>
          </rPr>
          <t>P-3.3.1.4.</t>
        </r>
      </text>
    </comment>
  </commentList>
</comments>
</file>

<file path=xl/comments2.xml><?xml version="1.0" encoding="utf-8"?>
<comments xmlns="http://schemas.openxmlformats.org/spreadsheetml/2006/main">
  <authors>
    <author>Audra Cepiene</author>
    <author>Saulina Paulauskiene</author>
    <author>Snieguole Kacerauskaite</author>
    <author>Inga Mikalauskienė</author>
    <author>Irma Zukiene</author>
    <author>Rima Alisauskaite</author>
  </authors>
  <commentList>
    <comment ref="N26" authorId="0" shapeId="0">
      <text>
        <r>
          <rPr>
            <sz val="9"/>
            <color indexed="81"/>
            <rFont val="Tahoma"/>
            <family val="2"/>
            <charset val="186"/>
          </rPr>
          <t>Pagal pasirašytas sutartis vykdomos atliekų tvarkymo švietimo priemonės:
1) Plakatų kūrimas, leidyba, eksploatavimas; 2) Edukacinio ekologinio ugdymo pamokos mokiniams;
3) viešinimo paslaugos per žiniasklaidos atstovus;
4) tušinukų gamyba;
5) pirkinių maišelių gamyba;
6) radio žaidimai, viktorinos.</t>
        </r>
      </text>
    </comment>
    <comment ref="O26" authorId="1" shapeId="0">
      <text>
        <r>
          <rPr>
            <sz val="9"/>
            <color indexed="81"/>
            <rFont val="Tahoma"/>
            <family val="2"/>
            <charset val="186"/>
          </rPr>
          <t xml:space="preserve">Atliekų tvarkymo švietimo priemonės:
1) plakatų kūrimas, leidyba, eksploatavimas; 
2) radio žaidimai, viktorinos.
3) viešinimo paslaugos per žiniasklaidos atstovus;
4) suvenyrų su logotipu (daugkartinio naudojimo metalinių gertuvių) gamyba;
5) aplinkosauginių projektų atliekų tvarkymo tematika rėmimas, 3 vnt. </t>
        </r>
      </text>
    </comment>
    <comment ref="P26" authorId="1" shapeId="0">
      <text>
        <r>
          <rPr>
            <sz val="9"/>
            <color indexed="81"/>
            <rFont val="Tahoma"/>
            <family val="2"/>
            <charset val="186"/>
          </rPr>
          <t xml:space="preserve">Atliekų tvarkymo švietimo priemonės:
1) plakatų kūrimas, leidyba, eksploatavimas; 
2) radio žaidimai, viktorinos.
3) viešinimo paslaugos per žiniasklaidos atstovus;
4) konkurso organizavimas ir įgyvendinimas bendrojo ugdymo mokyklose;
5) aplinkosauginių projektų atliekų tvarkymo tematika rėmimas, 3 vnt. </t>
        </r>
      </text>
    </comment>
    <comment ref="Q26" authorId="1" shapeId="0">
      <text>
        <r>
          <rPr>
            <sz val="9"/>
            <color indexed="81"/>
            <rFont val="Tahoma"/>
            <family val="2"/>
            <charset val="186"/>
          </rPr>
          <t>Atliekų tvarkymo švietimo priemonės:
1) plakatų kūrimas, leidyba, eksploatavimas; 
2) radio žaidimai, viktorinos.
3) viešinimo paslaugos per žiniasklaidos atstovus;
4) suvenyrų su logotipu (daugkartinio naudojimo metalinių gertuvių) gamyba;
5) konkurso organizavimas ir įgyvendinimas bendrojo ugdymo mokyklose;
6) aplinkosauginių projektų atliekų tvarkymo tematika rėmimas, 3 vnt</t>
        </r>
      </text>
    </comment>
    <comment ref="F28" authorId="0" shapeId="0">
      <text>
        <r>
          <rPr>
            <sz val="9"/>
            <color indexed="81"/>
            <rFont val="Tahoma"/>
            <family val="2"/>
            <charset val="186"/>
          </rPr>
          <t>P-3.3.4.1.</t>
        </r>
      </text>
    </comment>
    <comment ref="M28" authorId="2" shapeId="0">
      <text>
        <r>
          <rPr>
            <sz val="9"/>
            <color indexed="81"/>
            <rFont val="Tahoma"/>
            <family val="2"/>
            <charset val="186"/>
          </rPr>
          <t xml:space="preserve">Projektą įgyvendina KRATC, savivaldybė apmoka savo dalį, kai agentūra pripažįsta išlaidas tinkamomis. 
</t>
        </r>
      </text>
    </comment>
    <comment ref="E39" authorId="0" shapeId="0">
      <text>
        <r>
          <rPr>
            <sz val="9"/>
            <color indexed="81"/>
            <rFont val="Tahoma"/>
            <family val="2"/>
            <charset val="186"/>
          </rPr>
          <t>2021-09-30 tarybos sprendimas Nr. T2-  "Dėl Klaipėdos miesto savivaldybės aplinkos monitoringo 2022-2026 m. programos patvirtinimo"</t>
        </r>
      </text>
    </comment>
    <comment ref="F39" authorId="0" shapeId="0">
      <text>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O39" authorId="3" shapeId="0">
      <text>
        <r>
          <rPr>
            <sz val="9"/>
            <color indexed="81"/>
            <rFont val="Tahoma"/>
            <family val="2"/>
            <charset val="186"/>
          </rPr>
          <t>Aplinkos oro monitoringas;</t>
        </r>
        <r>
          <rPr>
            <b/>
            <sz val="9"/>
            <color indexed="81"/>
            <rFont val="Tahoma"/>
            <family val="2"/>
            <charset val="186"/>
          </rPr>
          <t xml:space="preserve">
</t>
        </r>
        <r>
          <rPr>
            <sz val="9"/>
            <color indexed="81"/>
            <rFont val="Tahoma"/>
            <family val="2"/>
            <charset val="186"/>
          </rPr>
          <t>Aplinkos triukšmo monitoringas</t>
        </r>
      </text>
    </comment>
    <comment ref="P39" authorId="3" shapeId="0">
      <text>
        <r>
          <rPr>
            <sz val="9"/>
            <color indexed="81"/>
            <rFont val="Tahoma"/>
            <family val="2"/>
            <charset val="186"/>
          </rPr>
          <t xml:space="preserve">Aplinkos oro monitoringas;
Aplinkos triukšmo monitoringas;
Dirvožemio monitoringas
</t>
        </r>
      </text>
    </comment>
    <comment ref="Q39" authorId="3" shapeId="0">
      <text>
        <r>
          <rPr>
            <sz val="9"/>
            <color indexed="81"/>
            <rFont val="Tahoma"/>
            <family val="2"/>
            <charset val="186"/>
          </rPr>
          <t>Aplinkos oro monitoringas;
Aplinkos triukšmo monitoringas; 
Dirvožemio monitoringas;
Gyvosios gamtos monitoringas;
Paviršinio vandens monitoringas</t>
        </r>
      </text>
    </comment>
    <comment ref="F40" authorId="1" shapeId="0">
      <text>
        <r>
          <rPr>
            <sz val="9"/>
            <color indexed="81"/>
            <rFont val="Tahoma"/>
            <family val="2"/>
            <charset val="186"/>
          </rPr>
          <t>P-3.3.5.; 3.3.5.1.; 3.5.4.;</t>
        </r>
      </text>
    </comment>
    <comment ref="M40" authorId="1" shapeId="0">
      <text>
        <r>
          <rPr>
            <sz val="9"/>
            <color indexed="81"/>
            <rFont val="Tahoma"/>
            <family val="2"/>
            <charset val="186"/>
          </rPr>
          <t xml:space="preserve">Bus perkama nepertraukiamų oro matavimų paslauga  5 taškuose (3 taškuose LOJ, 2 taškuose - kietosios ir suspenduotos dalelės), kaip aplinkos oro monitoringo 2022-2026 m. dalis. </t>
        </r>
      </text>
    </comment>
    <comment ref="F42" authorId="1" shapeId="0">
      <text>
        <r>
          <rPr>
            <sz val="9"/>
            <color indexed="81"/>
            <rFont val="Tahoma"/>
            <family val="2"/>
            <charset val="186"/>
          </rPr>
          <t>P-3.3.2.6.; 3.3.5.1.</t>
        </r>
      </text>
    </comment>
    <comment ref="F45" authorId="0" shapeId="0">
      <text>
        <r>
          <rPr>
            <sz val="9"/>
            <color indexed="81"/>
            <rFont val="Tahoma"/>
            <family val="2"/>
            <charset val="186"/>
          </rPr>
          <t>P1, 1.1. Aplinkos oro kokybės valdymo plano parengimas ir oro kokybės mieste užtikrinimo priemonių įgyvendinimas</t>
        </r>
      </text>
    </comment>
    <comment ref="F47" authorId="1" shapeId="0">
      <text>
        <r>
          <rPr>
            <sz val="9"/>
            <color indexed="81"/>
            <rFont val="Tahoma"/>
            <family val="2"/>
            <charset val="186"/>
          </rPr>
          <t>P-3.3.5.5.</t>
        </r>
      </text>
    </comment>
    <comment ref="N47" authorId="3" shapeId="0">
      <text>
        <r>
          <rPr>
            <sz val="9"/>
            <color indexed="81"/>
            <rFont val="Tahoma"/>
            <family val="2"/>
            <charset val="186"/>
          </rPr>
          <t xml:space="preserve">Lopšelis-darželis "Bitutė"
</t>
        </r>
      </text>
    </comment>
    <comment ref="O47" authorId="3" shapeId="0">
      <text>
        <r>
          <rPr>
            <sz val="9"/>
            <color indexed="81"/>
            <rFont val="Tahoma"/>
            <family val="2"/>
            <charset val="186"/>
          </rPr>
          <t xml:space="preserve">Lopšelis-darželis "Bitutė"
</t>
        </r>
      </text>
    </comment>
    <comment ref="P47" authorId="3" shapeId="0">
      <text>
        <r>
          <rPr>
            <sz val="9"/>
            <color indexed="81"/>
            <rFont val="Tahoma"/>
            <family val="2"/>
            <charset val="186"/>
          </rPr>
          <t>Gyvenamoji teritorija Švyturio g. - darbų pradžia 2022 m.</t>
        </r>
      </text>
    </comment>
    <comment ref="Q47" authorId="3" shapeId="0">
      <text>
        <r>
          <rPr>
            <sz val="9"/>
            <color indexed="81"/>
            <rFont val="Tahoma"/>
            <family val="2"/>
            <charset val="186"/>
          </rPr>
          <t>L/d Traukinukas</t>
        </r>
      </text>
    </comment>
    <comment ref="J48" authorId="3" shapeId="0">
      <text>
        <r>
          <rPr>
            <sz val="9"/>
            <color indexed="81"/>
            <rFont val="Tahoma"/>
            <family val="2"/>
            <charset val="186"/>
          </rPr>
          <t xml:space="preserve">Pagrindimas parengtas pagal UAB "DGE Baltic Soil and Environment" projektą ir tvarkymo planą.
</t>
        </r>
      </text>
    </comment>
    <comment ref="N51" authorId="3" shapeId="0">
      <text>
        <r>
          <rPr>
            <sz val="9"/>
            <color indexed="81"/>
            <rFont val="Tahoma"/>
            <family val="2"/>
            <charset val="186"/>
          </rPr>
          <t xml:space="preserve">Vitės progimnazija
</t>
        </r>
      </text>
    </comment>
    <comment ref="O51" authorId="3" shapeId="0">
      <text>
        <r>
          <rPr>
            <sz val="9"/>
            <color indexed="81"/>
            <rFont val="Tahoma"/>
            <family val="2"/>
            <charset val="186"/>
          </rPr>
          <t xml:space="preserve">Vitės progimnazija
</t>
        </r>
      </text>
    </comment>
    <comment ref="F55" authorId="1" shapeId="0">
      <text>
        <r>
          <rPr>
            <sz val="9"/>
            <color indexed="81"/>
            <rFont val="Tahoma"/>
            <family val="2"/>
            <charset val="186"/>
          </rPr>
          <t>P-3.5.4.;</t>
        </r>
      </text>
    </comment>
    <comment ref="P55" authorId="3" shapeId="0">
      <text>
        <r>
          <rPr>
            <sz val="9"/>
            <color indexed="81"/>
            <rFont val="Tahoma"/>
            <family val="2"/>
            <charset val="186"/>
          </rPr>
          <t xml:space="preserve">Parengta strateginių triukšmo (kelių, pagrindinių kelių, geležinkelių, pramoninės veiklos zonų) žemėlapių atskirai pagal paros, dienos, vakaro ir nakties triukšmo rodiklius
</t>
        </r>
      </text>
    </comment>
    <comment ref="F63" authorId="1" shapeId="0">
      <text>
        <r>
          <rPr>
            <sz val="9"/>
            <color indexed="81"/>
            <rFont val="Tahoma"/>
            <family val="2"/>
            <charset val="186"/>
          </rPr>
          <t>P-3.3.1.4.</t>
        </r>
      </text>
    </comment>
    <comment ref="O63" authorId="3" shapeId="0">
      <text>
        <r>
          <rPr>
            <sz val="9"/>
            <color indexed="81"/>
            <rFont val="Tahoma"/>
            <family val="2"/>
            <charset val="186"/>
          </rPr>
          <t>Dėl vykdomų projektų ir nusausinimo darbų naujiems statiniams statyti mažėja telkinių skaičius - dabar sanitarinis valymas atliekamas 16 vandens telkinių.</t>
        </r>
        <r>
          <rPr>
            <sz val="9"/>
            <color indexed="81"/>
            <rFont val="Tahoma"/>
            <family val="2"/>
            <charset val="186"/>
          </rPr>
          <t xml:space="preserve">
</t>
        </r>
      </text>
    </comment>
    <comment ref="F65" authorId="0" shapeId="0">
      <text>
        <r>
          <rPr>
            <sz val="9"/>
            <color indexed="81"/>
            <rFont val="Tahoma"/>
            <family val="2"/>
            <charset val="186"/>
          </rPr>
          <t xml:space="preserve">KEPS 4.5.1. Išvalyti Danės upę, pastatyti ir išplėtoti mažus uostelius. </t>
        </r>
      </text>
    </comment>
    <comment ref="F67" authorId="0" shapeId="0">
      <text>
        <r>
          <rPr>
            <sz val="9"/>
            <color indexed="81"/>
            <rFont val="Tahoma"/>
            <family val="2"/>
            <charset val="186"/>
          </rPr>
          <t xml:space="preserve">P-3.3.1.4.
</t>
        </r>
      </text>
    </comment>
    <comment ref="F70" authorId="1" shapeId="0">
      <text>
        <r>
          <rPr>
            <sz val="9"/>
            <color indexed="81"/>
            <rFont val="Tahoma"/>
            <family val="2"/>
            <charset val="186"/>
          </rPr>
          <t>P-3.3.1.4.</t>
        </r>
      </text>
    </comment>
    <comment ref="F73"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M73" authorId="2" shapeId="0">
      <text>
        <r>
          <rPr>
            <sz val="9"/>
            <color indexed="81"/>
            <rFont val="Tahoma"/>
            <family val="2"/>
            <charset val="186"/>
          </rPr>
          <t xml:space="preserve">Rangos sutartis pasirašyta 2020-04-09 25 mėn. Sutartis galioja iki darbų užbaigimo dokumento pasirašymo ir galutinio apmokėjimo dienos. Sutartyje yra numatyta technologinė pertrauka, todėl darbai gali būti nukelti į 2023 m. 
</t>
        </r>
      </text>
    </comment>
    <comment ref="H74" authorId="0" shapeId="0">
      <text>
        <r>
          <rPr>
            <sz val="9"/>
            <color indexed="81"/>
            <rFont val="Tahoma"/>
            <family val="2"/>
            <charset val="186"/>
          </rPr>
          <t xml:space="preserve">Laivų krovos AB „Klaipėdos Smeltė“, pagal 2013-04-26 partnerystės sutartį Nr. J9-470 pervedė 2016 m. - 22 734 Eur. Pagal sutartį toliau kasmet pervedinės  po 22 tūkst eur (nuo 2017 iki 2025 m.) </t>
        </r>
      </text>
    </comment>
    <comment ref="F76" authorId="0" shapeId="0">
      <text>
        <r>
          <rPr>
            <sz val="9"/>
            <color indexed="81"/>
            <rFont val="Tahoma"/>
            <family val="2"/>
            <charset val="186"/>
          </rPr>
          <t xml:space="preserve">KEPS 3.1.13. Vystyti viešųjų erdvių gerinimo programas ir lokalius urbanistinės struktūros atgaivinimo projektus  </t>
        </r>
      </text>
    </comment>
    <comment ref="F77" authorId="1" shapeId="0">
      <text>
        <r>
          <rPr>
            <sz val="9"/>
            <color indexed="81"/>
            <rFont val="Tahoma"/>
            <family val="2"/>
            <charset val="186"/>
          </rPr>
          <t>P-3.2.2.5.</t>
        </r>
      </text>
    </comment>
    <comment ref="F78"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O78" authorId="2" shapeId="0">
      <text>
        <r>
          <rPr>
            <sz val="9"/>
            <color indexed="81"/>
            <rFont val="Tahoma"/>
            <family val="2"/>
            <charset val="186"/>
          </rPr>
          <t>Pabrango medžiai ir sodinimo darbai, todėl už tą pačią kainą planuojamas mažesnis kiekis</t>
        </r>
        <r>
          <rPr>
            <sz val="9"/>
            <color indexed="81"/>
            <rFont val="Tahoma"/>
            <family val="2"/>
            <charset val="186"/>
          </rPr>
          <t xml:space="preserve">
</t>
        </r>
      </text>
    </comment>
    <comment ref="F79"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F81" authorId="1" shapeId="0">
      <text>
        <r>
          <rPr>
            <sz val="9"/>
            <color indexed="81"/>
            <rFont val="Tahoma"/>
            <family val="2"/>
            <charset val="186"/>
          </rPr>
          <t>P-3.3.1.2.</t>
        </r>
      </text>
    </comment>
    <comment ref="F83" authorId="3"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M83" authorId="4" shapeId="0">
      <text>
        <r>
          <rPr>
            <sz val="9"/>
            <color indexed="81"/>
            <rFont val="Tahoma"/>
            <family val="2"/>
            <charset val="186"/>
          </rPr>
          <t>Teritorijos palei Šilutės pl. nuo Smiltelės g. iki Jūrininkų pr. (plotas apie 6,2 ha) apsauginės paskirties želdynų ir želdinių projekto parengimas: 2022 m. bus toliau organizuojamas projekto konkursas pagal sutartį J9-1927 (4300 Eur, (SB)) su priziniu fondu 10000 Eur (SB)</t>
        </r>
      </text>
    </comment>
    <comment ref="F84" authorId="3" shapeId="0">
      <text>
        <r>
          <rPr>
            <sz val="9"/>
            <color indexed="81"/>
            <rFont val="Tahoma"/>
            <family val="2"/>
            <charset val="186"/>
          </rPr>
          <t xml:space="preserve">P-3.3.1.1-1, 3.3.1.2-2
</t>
        </r>
      </text>
    </comment>
    <comment ref="M84" authorId="4" shapeId="0">
      <text>
        <r>
          <rPr>
            <sz val="9"/>
            <color indexed="81"/>
            <rFont val="Tahoma"/>
            <family val="2"/>
            <charset val="186"/>
          </rPr>
          <t>Teritorijos palei geležinkelį Klevų g. 6H detaliojo plano pakeitimas, 2022 m. 6300 Eur (SB), pasirašyta sutartis J9-2023</t>
        </r>
      </text>
    </comment>
    <comment ref="F85"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M85" authorId="4" shapeId="0">
      <text>
        <r>
          <rPr>
            <sz val="9"/>
            <color indexed="81"/>
            <rFont val="Tahoma"/>
            <family val="2"/>
            <charset val="186"/>
          </rPr>
          <t>2022 m. planuojama 10000 Eur (SB) ir 2023 m. 10000 Eur (AA)</t>
        </r>
      </text>
    </comment>
    <comment ref="M86" authorId="4" shapeId="0">
      <text>
        <r>
          <rPr>
            <sz val="9"/>
            <color indexed="81"/>
            <rFont val="Tahoma"/>
            <family val="2"/>
            <charset val="186"/>
          </rPr>
          <t>1. Teritorijos palei geležinkelį Klevų g. 6H (plotas apie 13 a) apsauginės paskirties želdynų ir želdinių techninio darbo projekto parengimas - 2022m 3900 Eur; 2023 m. - 4100 Eur (AA);
2. Teritorijos nuo Veliuonos g. iki KVJU ribos (plotas apie 71 a) apsauginės paskirties želdynų ir želdinių techninio darbo projekto parengimas, lėšos planuojamos 2023 m. 14200 Eur (AA); 
3. Teritorijos palei Šilutės pl. nuo Smiltelės g. iki Jūrininkų pr. apsauginės paskirties želdynų ir želdinių techninio darbo projekto parengimas, lėšos planuojamos 2022 m. - 10000Eur (AA), 2023 m. - 20000 Eur (AA); 
4. Apsauginės paskirties želdyno prie Švyturio g. techninio darbo projekto parengimas - 2022 m. 12000 Eur (AA)</t>
        </r>
      </text>
    </comment>
    <comment ref="F87"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89" authorId="0" shapeId="0">
      <text>
        <r>
          <rPr>
            <sz val="9"/>
            <color indexed="81"/>
            <rFont val="Tahoma"/>
            <family val="2"/>
            <charset val="186"/>
          </rPr>
          <t xml:space="preserve">KEPS 3.1.13. Vystyti viešųjų erdvių gerinimo programas ir lokalius urbanistinės struktūros atgaivinimo projektus  </t>
        </r>
      </text>
    </comment>
    <comment ref="F9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92"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M92" authorId="2" shapeId="0">
      <text>
        <r>
          <rPr>
            <sz val="9"/>
            <color indexed="81"/>
            <rFont val="Tahoma"/>
            <family val="2"/>
            <charset val="186"/>
          </rPr>
          <t>Projektas baigtas, pateiktas ir patvirtintas galutinis mokėjimo prašymas. Likutis kitiems metams WC įsigijimui ir įrengimui</t>
        </r>
      </text>
    </comment>
    <comment ref="F94" authorId="0" shapeId="0">
      <text>
        <r>
          <rPr>
            <sz val="9"/>
            <color indexed="81"/>
            <rFont val="Tahoma"/>
            <family val="2"/>
            <charset val="186"/>
          </rPr>
          <t xml:space="preserve">KEPS 3.1.13. Vystyti viešųjų erdvių gerinimo programas ir lokalius urbanistinės struktūros atgaivinimo projektus  </t>
        </r>
      </text>
    </comment>
    <comment ref="F95" authorId="0" shapeId="0">
      <text>
        <r>
          <rPr>
            <sz val="9"/>
            <color indexed="81"/>
            <rFont val="Tahoma"/>
            <family val="2"/>
            <charset val="186"/>
          </rPr>
          <t xml:space="preserve">P-3.2.2.5.
</t>
        </r>
      </text>
    </comment>
    <comment ref="F98"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M98" authorId="0" shapeId="0">
      <text>
        <r>
          <rPr>
            <sz val="9"/>
            <color indexed="81"/>
            <rFont val="Tahoma"/>
            <family val="2"/>
            <charset val="186"/>
          </rPr>
          <t>I etapo darbai</t>
        </r>
      </text>
    </comment>
    <comment ref="M99" authorId="5" shapeId="0">
      <text>
        <r>
          <rPr>
            <sz val="9"/>
            <color indexed="81"/>
            <rFont val="Tahoma"/>
            <family val="2"/>
            <charset val="186"/>
          </rPr>
          <t xml:space="preserve">II etapo darbai. Projekto finansavimo sutartis pratęsta iki 2022-06-30. Nepanaudotos lėšos persikels i 2022 m. </t>
        </r>
      </text>
    </comment>
    <comment ref="F101" authorId="0" shapeId="0">
      <text>
        <r>
          <rPr>
            <sz val="9"/>
            <color indexed="81"/>
            <rFont val="Tahoma"/>
            <family val="2"/>
            <charset val="186"/>
          </rPr>
          <t xml:space="preserve">P-3.2.2.5.
</t>
        </r>
      </text>
    </comment>
    <comment ref="F105"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106" authorId="0" shapeId="0">
      <text>
        <r>
          <rPr>
            <sz val="9"/>
            <color indexed="81"/>
            <rFont val="Tahoma"/>
            <family val="2"/>
            <charset val="186"/>
          </rPr>
          <t xml:space="preserve">KEPS 3.1.13. Vystyti viešųjų erdvių gerinimo programas ir lokalius urbanistinės struktūros atgaivinimo projektus  </t>
        </r>
      </text>
    </comment>
    <comment ref="F109" authorId="0" shapeId="0">
      <text>
        <r>
          <rPr>
            <sz val="9"/>
            <color indexed="81"/>
            <rFont val="Tahoma"/>
            <family val="2"/>
            <charset val="186"/>
          </rPr>
          <t xml:space="preserve">P-3.2.2.5.
</t>
        </r>
      </text>
    </comment>
    <comment ref="F111" authorId="0"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F113" authorId="5" shapeId="0">
      <text>
        <r>
          <rPr>
            <sz val="9"/>
            <color indexed="81"/>
            <rFont val="Tahoma"/>
            <family val="2"/>
            <charset val="186"/>
          </rPr>
          <t>P-1.2.1.1.</t>
        </r>
      </text>
    </comment>
    <comment ref="M113" authorId="3" shapeId="0">
      <text>
        <r>
          <rPr>
            <sz val="9"/>
            <color indexed="81"/>
            <rFont val="Tahoma"/>
            <family val="2"/>
            <charset val="186"/>
          </rPr>
          <t xml:space="preserve">Remiantis „Miško parko“ koncepcija. Vyksta projektavimo paslaugų pirkimo procedūros. </t>
        </r>
      </text>
    </comment>
    <comment ref="F115" authorId="0" shapeId="0">
      <text>
        <r>
          <rPr>
            <sz val="9"/>
            <color indexed="81"/>
            <rFont val="Tahoma"/>
            <family val="2"/>
            <charset val="186"/>
          </rPr>
          <t xml:space="preserve">P-3.1.1.2
</t>
        </r>
      </text>
    </comment>
    <comment ref="O116" authorId="2" shapeId="0">
      <text>
        <r>
          <rPr>
            <sz val="9"/>
            <color indexed="81"/>
            <rFont val="Tahoma"/>
            <family val="2"/>
            <charset val="186"/>
          </rPr>
          <t xml:space="preserve">Bus vykdomi rangos pirkimai:
Varpų g. atkarpoje nuo Sąjūdžio parko iki Smiltelės g.; Baltijos pr. atkarpoje nuo 8A iki 8C sklypų; Baltijos pr. atkarpoje nuo 45 iki 51A sklypų; Dubysos g. atkarpa nuo 31A iki 37C sklypų; Šilutės pl. atkarpa nuo 26 iki geležinkelio pervažos. 
</t>
        </r>
        <r>
          <rPr>
            <sz val="9"/>
            <color indexed="81"/>
            <rFont val="Tahoma"/>
            <family val="2"/>
            <charset val="186"/>
          </rPr>
          <t xml:space="preserve">
</t>
        </r>
      </text>
    </comment>
    <comment ref="F117" authorId="0" shapeId="0">
      <text>
        <r>
          <rPr>
            <sz val="9"/>
            <color indexed="81"/>
            <rFont val="Tahoma"/>
            <family val="2"/>
            <charset val="186"/>
          </rPr>
          <t xml:space="preserve">P-3.1.1.2
</t>
        </r>
      </text>
    </comment>
    <comment ref="F119" authorId="0" shapeId="0">
      <text>
        <r>
          <rPr>
            <sz val="9"/>
            <color indexed="81"/>
            <rFont val="Tahoma"/>
            <family val="2"/>
            <charset val="186"/>
          </rPr>
          <t xml:space="preserve">P-3.1.1.2
</t>
        </r>
      </text>
    </comment>
    <comment ref="F122" authorId="0" shapeId="0">
      <text>
        <r>
          <rPr>
            <sz val="9"/>
            <color indexed="81"/>
            <rFont val="Tahoma"/>
            <family val="2"/>
            <charset val="186"/>
          </rPr>
          <t xml:space="preserve">P-3.1.1.2
</t>
        </r>
      </text>
    </comment>
    <comment ref="F125" authorId="0" shapeId="0">
      <text>
        <r>
          <rPr>
            <sz val="9"/>
            <color indexed="81"/>
            <rFont val="Tahoma"/>
            <family val="2"/>
            <charset val="186"/>
          </rPr>
          <t xml:space="preserve">P-3.1.1.2
</t>
        </r>
      </text>
    </comment>
    <comment ref="F128" authorId="0" shapeId="0">
      <text>
        <r>
          <rPr>
            <sz val="9"/>
            <color indexed="81"/>
            <rFont val="Tahoma"/>
            <family val="2"/>
            <charset val="186"/>
          </rPr>
          <t xml:space="preserve">P-3.1.1.2
</t>
        </r>
      </text>
    </comment>
    <comment ref="E131" authorId="3"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F131" authorId="3" shapeId="0">
      <text>
        <r>
          <rPr>
            <sz val="9"/>
            <color indexed="81"/>
            <rFont val="Tahoma"/>
            <family val="2"/>
            <charset val="186"/>
          </rPr>
          <t>P-3.1.1.2.</t>
        </r>
      </text>
    </comment>
    <comment ref="M131" authorId="3" shapeId="0">
      <text>
        <r>
          <rPr>
            <sz val="9"/>
            <color indexed="81"/>
            <rFont val="Tahoma"/>
            <family val="2"/>
            <charset val="186"/>
          </rPr>
          <t xml:space="preserve">Lėšos architektūrinio konkurso organizavimui su prizais 2023 m. numatomos pagal analogišką 2021-07-23 pasirašytą paslaugų sutartį Nr. J9-1927 dėl projekto konkurso organizavimo paslaugų, kaina 8420 Eur parengiamiesiems darbams ir 15000 Eur prizams (7+5+3) 1-3 vietų laimėtojams 
</t>
        </r>
      </text>
    </comment>
    <comment ref="F136" authorId="0" shapeId="0">
      <text>
        <r>
          <rPr>
            <sz val="9"/>
            <color indexed="81"/>
            <rFont val="Tahoma"/>
            <family val="2"/>
            <charset val="186"/>
          </rPr>
          <t xml:space="preserve">P-1.2.1.5.
</t>
        </r>
      </text>
    </comment>
    <comment ref="F138" authorId="0" shapeId="0">
      <text>
        <r>
          <rPr>
            <sz val="9"/>
            <color indexed="81"/>
            <rFont val="Tahoma"/>
            <family val="2"/>
            <charset val="186"/>
          </rPr>
          <t xml:space="preserve">P-1.2.1.5.
</t>
        </r>
      </text>
    </comment>
    <comment ref="F146"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M149" authorId="2" shapeId="0">
      <text>
        <r>
          <rPr>
            <sz val="9"/>
            <color indexed="81"/>
            <rFont val="Tahoma"/>
            <family val="2"/>
            <charset val="186"/>
          </rPr>
          <t xml:space="preserve">KMSA projekte dalyvauja kaip partneris. Darbai vykdomi, tačiau kol nepasirašyta ES finansavimo sutartis prisidėti prie apmokėjimo neturime pagrindo. AB „LTGI Infra“ (Lietuvos geležinkeliai) teikti paraišką ES finansavimui planuoja 2022 II ketv. </t>
        </r>
      </text>
    </comment>
    <comment ref="F150"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 ref="F152" authorId="5" shapeId="0">
      <text>
        <r>
          <rPr>
            <sz val="9"/>
            <color indexed="81"/>
            <rFont val="Tahoma"/>
            <family val="2"/>
            <charset val="186"/>
          </rPr>
          <t>P-3.3.5.3.</t>
        </r>
      </text>
    </comment>
    <comment ref="F155" authorId="5" shapeId="0">
      <text>
        <r>
          <rPr>
            <sz val="9"/>
            <color indexed="81"/>
            <rFont val="Tahoma"/>
            <family val="2"/>
            <charset val="186"/>
          </rPr>
          <t>P-3.3.1.4.</t>
        </r>
      </text>
    </comment>
  </commentList>
</comments>
</file>

<file path=xl/sharedStrings.xml><?xml version="1.0" encoding="utf-8"?>
<sst xmlns="http://schemas.openxmlformats.org/spreadsheetml/2006/main" count="898" uniqueCount="224">
  <si>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</si>
  <si>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</si>
  <si>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</si>
  <si>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</si>
  <si>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</si>
  <si>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</si>
  <si>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</si>
  <si>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Finansavimo šaltinis</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</si>
  <si>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</si>
  <si>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</si>
  <si>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</si>
  <si>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</si>
  <si>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</si>
  <si>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</si>
  <si>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05</t>
  </si>
  <si>
    <t>Komunalinių atliekų surinkimas ir tvarkymas</t>
  </si>
  <si>
    <t>SB(VR)</t>
  </si>
  <si>
    <t>SB(VRL)</t>
  </si>
  <si>
    <t>Komunalinių atliekų surinkimas ir tvarkymas Lėbartų kapinėse</t>
  </si>
  <si>
    <t>Iš viso:</t>
  </si>
  <si>
    <t>02</t>
  </si>
  <si>
    <t>Atliekų, kurių turėtojo nustatyti neįmanoma arba kuris nebeegzistuoja, tvarkymas:</t>
  </si>
  <si>
    <t>SB(AA)</t>
  </si>
  <si>
    <t>Savavališkai užterštų teritorijų sutvarkymas</t>
  </si>
  <si>
    <t>Išvežta padangų, t</t>
  </si>
  <si>
    <t>Pavojingų atliekų šalinimas</t>
  </si>
  <si>
    <t>SB(AAL)</t>
  </si>
  <si>
    <t>03</t>
  </si>
  <si>
    <t xml:space="preserve">Visuomenės švietimo atliekų tvarkymo klausimais vykdymas </t>
  </si>
  <si>
    <t>04</t>
  </si>
  <si>
    <t>I</t>
  </si>
  <si>
    <t>SB</t>
  </si>
  <si>
    <t>Iš viso uždaviniui:</t>
  </si>
  <si>
    <t xml:space="preserve">Vykdyti gamtinės aplinkos stebėsenos ir gyventojų ekologinio švietimo priemones </t>
  </si>
  <si>
    <t>Klaipėdos miesto savivaldybės aplinkos monitoringo vykdymas</t>
  </si>
  <si>
    <t>Parengta ataskaitų, vnt.</t>
  </si>
  <si>
    <t>Visuomenės ekologinis švietimas</t>
  </si>
  <si>
    <t xml:space="preserve">Prižiūrėti, saugoti ir gausinti miesto poilsio zonų gamtinę aplinką </t>
  </si>
  <si>
    <t>Sanitarinis vandens telkinių valymas</t>
  </si>
  <si>
    <t>Helofitų (nendrių, švendrių) šalinimas iš vandens telkinių</t>
  </si>
  <si>
    <t>Miesto želdynų ir želdinių tvarkymas ir kūrimas:</t>
  </si>
  <si>
    <t>Naujų ir esamų želdynų tvarkymas ir kūrimas</t>
  </si>
  <si>
    <t>Pajūrio juostos priežiūra ir apsauga:</t>
  </si>
  <si>
    <t>SB(VB)</t>
  </si>
  <si>
    <t>Iš viso tikslui:</t>
  </si>
  <si>
    <t xml:space="preserve">Iš viso  programai: </t>
  </si>
  <si>
    <t>Finansavimo šaltinių suvestinė</t>
  </si>
  <si>
    <t>Finansavimo šaltiniai</t>
  </si>
  <si>
    <t xml:space="preserve">Savivaldybės biudžetas, iš jo: </t>
  </si>
  <si>
    <r>
      <t xml:space="preserve">Savivaldybės biudžeto lėšos </t>
    </r>
    <r>
      <rPr>
        <b/>
        <sz val="10"/>
        <rFont val="Times New Roman"/>
        <family val="1"/>
        <charset val="186"/>
      </rPr>
      <t>SB</t>
    </r>
  </si>
  <si>
    <r>
      <t xml:space="preserve">Vietinių rinkliavų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</si>
  <si>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</si>
  <si>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</si>
  <si>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</si>
  <si>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</si>
  <si>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</si>
  <si>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</si>
  <si>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</si>
  <si>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Miesto vandens telkinių priežiūra:</t>
  </si>
  <si>
    <t>Medinių laiptų ir takų, vedančių per apsauginį kopagūbrį, remontas</t>
  </si>
  <si>
    <t>Gamtinės aplinkos stebėsenos ir ekologinio švietimo vykdymas:</t>
  </si>
  <si>
    <t>Pakeista Bendrojo plano (kraštovaizdžio dalies) sprendinių, proc.</t>
  </si>
  <si>
    <t>Priimta į sąvartyną atliekų, tūkst. t</t>
  </si>
  <si>
    <t>Valoma vandens telkinių, vnt.</t>
  </si>
  <si>
    <t>Kt</t>
  </si>
  <si>
    <t>Mažinti aplinkos taršą vykdant infrastruktūros plėtros priemones</t>
  </si>
  <si>
    <t>Sakurų parko įrengimas teritorijoje tarp Žvejų rūmų, Taikos pr., Naikupės g. ir įvažiuojamojo kelio į Žvejų rūmus</t>
  </si>
  <si>
    <t>SB(L)</t>
  </si>
  <si>
    <t>SB(ES)</t>
  </si>
  <si>
    <t>Detalus (instrumentinis) medžio būklės vertinimas</t>
  </si>
  <si>
    <t>Ištirtų medžių kiekis, vnt.</t>
  </si>
  <si>
    <t>Dviračių ir pėsčiųjų takų  plėtra:</t>
  </si>
  <si>
    <t xml:space="preserve">Oro taršos kietosiomis dalelėmis mažinimas, atnaujinant gatvių priežiūros ir valymo technologijas </t>
  </si>
  <si>
    <t xml:space="preserve">Ąžuolyno giraitės sutvarkymas, gerinant gamtinę aplinką ir skatinant aktyvų laisvalaikį ir lankytojų srautus  </t>
  </si>
  <si>
    <t xml:space="preserve">Atlikta viešosios erdvės (86 027 m²)  sutvarkymo darbų. Užbaigtumas, proc. </t>
  </si>
  <si>
    <t>06</t>
  </si>
  <si>
    <t>Pakeista medinių takų ir laiptų, tūkst. kv. m</t>
  </si>
  <si>
    <t>Įrengta pusiau požeminių konteinerių aikštelių, vnt.</t>
  </si>
  <si>
    <t>Komunalinių atliekų tvarkymo infrastruktūros plėtra Klaipėdos miesto, Skuodo ir Kretingos rajonų bei Neringos savivaldybėse</t>
  </si>
  <si>
    <t>SB(ESL)</t>
  </si>
  <si>
    <t>Įrengta informacinių stendų prie atliekų surinkimo konteinerių aikštelių, vnt.</t>
  </si>
  <si>
    <r>
      <t xml:space="preserve">Savivaldybės biudžeto apyvartos lėšos ES finansinės paramos programų laikinam lėšų stygiui dengti </t>
    </r>
    <r>
      <rPr>
        <b/>
        <sz val="10"/>
        <rFont val="Times New Roman"/>
        <family val="1"/>
        <charset val="186"/>
      </rPr>
      <t>SB(ESA)</t>
    </r>
  </si>
  <si>
    <t>Išvežta statybinių, biologiškai skaidžių šiukšlių, t</t>
  </si>
  <si>
    <t>Surinkta pavojingų atliekų, t</t>
  </si>
  <si>
    <t>Įgyvendinta atliekų tvarkymo švietimo priemonių, vnt.</t>
  </si>
  <si>
    <t>Parengtas aplinkos oro kokybės valdymo priemonių planas, vnt.</t>
  </si>
  <si>
    <t>Klaipėdos miesto bendrojo plano kraštovaizdžio dalies keitimas ir Melnragės parko įrengimas</t>
  </si>
  <si>
    <t>Projekto „Aplinkos pritaikymo ir aplinkosauginių priemonių įgyvendinimas Baltijos jūros paplūdimių zonoje“ įgyvendinimas</t>
  </si>
  <si>
    <t xml:space="preserve">Atlikta rangos darbų. Užbaigtumas, proc. </t>
  </si>
  <si>
    <t>Aplinkos taršos infrastruktūros priemonių įgyvendinimas:</t>
  </si>
  <si>
    <t>P1</t>
  </si>
  <si>
    <t>P6</t>
  </si>
  <si>
    <t xml:space="preserve"> Projektų skyrius</t>
  </si>
  <si>
    <t xml:space="preserve">Miesto tvarkymo skyrius </t>
  </si>
  <si>
    <t xml:space="preserve">Miesto tvarkymo skyrius 
</t>
  </si>
  <si>
    <t>Statybos ir infrastruktūros plėtros skyrius</t>
  </si>
  <si>
    <t>SB(VBL)</t>
  </si>
  <si>
    <r>
      <t xml:space="preserve">Valstybės biudžeto specialiosios tikslinės dotacijos likučių lėšos </t>
    </r>
    <r>
      <rPr>
        <b/>
        <sz val="10"/>
        <rFont val="Times New Roman"/>
        <family val="1"/>
        <charset val="186"/>
      </rPr>
      <t>SB(VBL)</t>
    </r>
  </si>
  <si>
    <t>P</t>
  </si>
  <si>
    <t>Triukšmo mažinimo priemonių geležinkeliuose įrengimas Klaipėdos miesto savivaldybėje (projektą įgyvendina AB „Lietuvos geležinkeliai“)</t>
  </si>
  <si>
    <t>Aplinkosaugos skyrius</t>
  </si>
  <si>
    <t>Miesto tvarkymo skyrius</t>
  </si>
  <si>
    <t>Parengtas planas, vnt.</t>
  </si>
  <si>
    <t>Klaipėdos miesto savivaldybės atliekų prevencijos ir tvarkymo 2021–2027 m. plano parengimas</t>
  </si>
  <si>
    <t>Parengta užterštų teritorijų tvarkymo planų, vnt.</t>
  </si>
  <si>
    <t>Parengta programa, vnt.</t>
  </si>
  <si>
    <t>Smeltalės upės valymo darbai</t>
  </si>
  <si>
    <t xml:space="preserve">Atlikta įrengimo darbų. Užbaigtumas, proc. </t>
  </si>
  <si>
    <t>Projektų skyrius</t>
  </si>
  <si>
    <t>Poveikio aplinkai vertinimas, vnt.</t>
  </si>
  <si>
    <t>Urbanistikos ir architektūros skyrius</t>
  </si>
  <si>
    <t>Danės upės valymo poveikio aplinkai vertinimo atrankos rengimas</t>
  </si>
  <si>
    <t>Lietaus nuotekų tinklų įrengimas Turistų gatvėje</t>
  </si>
  <si>
    <r>
      <t xml:space="preserve">Vietinių rinkliavų likučio lėšos </t>
    </r>
    <r>
      <rPr>
        <b/>
        <sz val="10"/>
        <rFont val="Times New Roman"/>
        <family val="1"/>
        <charset val="186"/>
      </rPr>
      <t>SB(VRL)</t>
    </r>
  </si>
  <si>
    <r>
      <t xml:space="preserve">Programų lėšų likučių lėšos </t>
    </r>
    <r>
      <rPr>
        <b/>
        <sz val="10"/>
        <rFont val="Times New Roman"/>
        <family val="1"/>
        <charset val="186"/>
      </rPr>
      <t>SB(L)</t>
    </r>
  </si>
  <si>
    <r>
      <t xml:space="preserve">Europos Sąjungos finansinės paramos lėšų likučio metų pradžioje lėšos </t>
    </r>
    <r>
      <rPr>
        <b/>
        <sz val="10"/>
        <rFont val="Times New Roman"/>
        <family val="1"/>
        <charset val="186"/>
      </rPr>
      <t>SB(ESL)</t>
    </r>
  </si>
  <si>
    <t>Želdynų projektavimas</t>
  </si>
  <si>
    <t>P4</t>
  </si>
  <si>
    <t>tūkst. Eur</t>
  </si>
  <si>
    <t>Produkto kriterijaus</t>
  </si>
  <si>
    <t xml:space="preserve">Vyr. patarėja                                </t>
  </si>
  <si>
    <t xml:space="preserve"> I. Kubilienė</t>
  </si>
  <si>
    <t xml:space="preserve">Vyr. patarėja             </t>
  </si>
  <si>
    <t>Pasodinta medžių, vnt.</t>
  </si>
  <si>
    <t>Pasodinta krūmų, vnt.</t>
  </si>
  <si>
    <t>planas</t>
  </si>
  <si>
    <t>Užterštų teritorijų ekogeologinių tyrimų atlikimas ir tvarkymo planų įgyvendinimas</t>
  </si>
  <si>
    <t>Statinių administravimo skyrius</t>
  </si>
  <si>
    <t>Sutvarkyta teritorijų, vnt.</t>
  </si>
  <si>
    <t>07</t>
  </si>
  <si>
    <t>Melnragės parko rytinės dalies įrengimas</t>
  </si>
  <si>
    <t xml:space="preserve">2021–2024 M. KLAIPĖDOS MIESTO SAVIVALDYBĖS  </t>
  </si>
  <si>
    <t>Priemonės požymis*</t>
  </si>
  <si>
    <t>Vykdytojas (skyrius/asmuo)</t>
  </si>
  <si>
    <t>Asignavimai 2021-iesiems metams**</t>
  </si>
  <si>
    <t>Lėšų poreikis biudžetiniams 2022-iesiems metams</t>
  </si>
  <si>
    <t>2024-ųjų metų lėšų projektas</t>
  </si>
  <si>
    <t>2021-ieji metai**</t>
  </si>
  <si>
    <t>2022-ieji metai</t>
  </si>
  <si>
    <t>2023-ieji metai</t>
  </si>
  <si>
    <t>2024-ieji metai</t>
  </si>
  <si>
    <r>
      <t xml:space="preserve">Savivaldybės aplinkos apsaugos rėmimo specialiosios programos lėšos </t>
    </r>
    <r>
      <rPr>
        <b/>
        <sz val="10"/>
        <rFont val="Times New Roman"/>
        <family val="1"/>
        <charset val="186"/>
      </rPr>
      <t>SB(AA)</t>
    </r>
  </si>
  <si>
    <t>Asignavimai 2021-iesiems metams</t>
  </si>
  <si>
    <t>Ištirta teritorijų, kur rasta dirvožemio tarša Cr (chromu), vnt.</t>
  </si>
  <si>
    <t>Želdynų ir želdinių inventorizavimas ir  jų geoduomenų bazės tikslinimas ir papildymas</t>
  </si>
  <si>
    <t>Atlikta inventorizacija. Užbaigtumas, proc.</t>
  </si>
  <si>
    <t>08</t>
  </si>
  <si>
    <t>Pėsčiųjų ir dviračių takų ties Minijos g., Pilies g., Baltijos pr., Šilutės pl., Varpų g., Dubysos g., Liubeko g. kapitalinis remontas, siekiant didinti rišlumą</t>
  </si>
  <si>
    <t xml:space="preserve">Dviračių ir pėsčiųjų tako Danės upės slėnio teritorijoje nuo Klaipėdos g. tilto iki miesto ribos įrengimas </t>
  </si>
  <si>
    <t>Dviračių ir pėsčiųjų tilto per Danės upę, jungiančio naująją mokyklą šiaurinėje miesto dalyje su Tauralaukio kvartalu,  statyba</t>
  </si>
  <si>
    <t>Parengtas techninis projektas, vnt.</t>
  </si>
  <si>
    <t>Nutiesta dviračių tako. Užbaigtumas, proc.</t>
  </si>
  <si>
    <t>Parengta krantotvarkos programa, vnt.</t>
  </si>
  <si>
    <t>Techninio projekto atnaujinimas, vnt.</t>
  </si>
  <si>
    <t>T</t>
  </si>
  <si>
    <t>Strateginio triukšmo žemėlapio parengimas (atnaujinimas)</t>
  </si>
  <si>
    <t>N</t>
  </si>
  <si>
    <t>Komisijos narių skaičius</t>
  </si>
  <si>
    <t>Želdynų ir želdinių apsaugos, priežiūros ir tvarkymo komisijos narių veiklos užtikrinimas</t>
  </si>
  <si>
    <t>Parengta strateginių triukšmo žemėlapių, vnt.</t>
  </si>
  <si>
    <t>Suorganizuotas architektūrinis konkursas, vnt.</t>
  </si>
  <si>
    <t>Pakeistas detalusis planas, vnt.</t>
  </si>
  <si>
    <t>Parengta želdynų tvarkymo schema, vnt.</t>
  </si>
  <si>
    <t>Parengtas techninis darbo projektas, vnt.</t>
  </si>
  <si>
    <t xml:space="preserve">Atlikta rangos darbų, proc. </t>
  </si>
  <si>
    <t xml:space="preserve">Atlikta rangos darbų. Užbaigtumas, proc.  </t>
  </si>
  <si>
    <t xml:space="preserve">P   </t>
  </si>
  <si>
    <t>SB(KPP)</t>
  </si>
  <si>
    <t xml:space="preserve">P      </t>
  </si>
  <si>
    <t>Dviračių ir pėsčiųjų tako įrengimas nuo Sausio 15-osios g. ir Tilžės g. sankryžos iki Taikos pr. ir Sausio 15-osios sankryžos</t>
  </si>
  <si>
    <t>Dviračių ir pėsčiųjų tako įrengimas Giruliuose (Stoties g., Turistų g., Šlaito g.)</t>
  </si>
  <si>
    <t xml:space="preserve">Malūno parko teritorijos sutvarkymas, gerinant gamtinę aplinką ir skatinant lankytojų srautus </t>
  </si>
  <si>
    <t>*Nurodoma: 1) ar priemonė nauja (N), ar tęstinė (T); 
                     2) ar projektas investicinis (I);
                     3) KMS 2021–2030 m. Strateginio plėtros plano priemonės, kuri įgyvendinama per šį (n-1)–(n+2) metų SVP, eil. Nr.</t>
  </si>
  <si>
    <t>Atlikta rangos darbų. Užbaigtumas, proc.</t>
  </si>
  <si>
    <r>
      <t>Apsauginės paskirties želdynų ir želdinių įrengimo labiausiai taršos veikiamose teritorijose veiksmų plano</t>
    </r>
    <r>
      <rPr>
        <sz val="10"/>
        <color rgb="FFFF0000"/>
        <rFont val="Times New Roman"/>
        <family val="1"/>
        <charset val="186"/>
      </rPr>
      <t xml:space="preserve"> </t>
    </r>
    <r>
      <rPr>
        <sz val="10"/>
        <rFont val="Times New Roman"/>
        <family val="1"/>
        <charset val="186"/>
      </rPr>
      <t>įgyvendinimas, proc.</t>
    </r>
  </si>
  <si>
    <t>Išvalyti helofitai iš vandens telkinių ploto, ha</t>
  </si>
  <si>
    <t>Apsauginės paskirties želdyno įrengimo teritorijoje tarp geležinkelio ir žemės sklypų Upelio g. 25 ir Nendrių g. 36 įgyvendinimas, proc.</t>
  </si>
  <si>
    <t>Parengti techniniai projektai, vnt.</t>
  </si>
  <si>
    <t xml:space="preserve">Projekto „Miško parkas“ pėsčiųjų ir dviračių takų  įrengimas Smiltynėje </t>
  </si>
  <si>
    <t>N
I</t>
  </si>
  <si>
    <t>Dviračių ir pėsčiųjų takų remontas H. Manto g. ties Dariaus ir Girėno g. viaduku</t>
  </si>
  <si>
    <t>Asbesto turinčių gaminių atliekų surinkimas apvažiavimo būdu, transportavimas ir šalinimas iš gyvenamųjų bei viešosios paskirties pastatų</t>
  </si>
  <si>
    <t>LRVB</t>
  </si>
  <si>
    <t>Sutvarkyta asbestinių atliekų, t</t>
  </si>
  <si>
    <t>Įgyvendinta aplinkosauginių švietimo priemonių siekiant gauti mėlynąją vėliavą paplūdimiams, oro kokybės gerinimo ir kt. klausimais, vnt.</t>
  </si>
  <si>
    <t>Nepertraukiami oro matavimai oro kokybės stotelėse, skaičius (stotelių)</t>
  </si>
  <si>
    <t>Tualeto įrengimas, vnt.</t>
  </si>
  <si>
    <t xml:space="preserve">Atlikta rangos darbų. Užbaigtumas, proc.            (I etapas)  </t>
  </si>
  <si>
    <t xml:space="preserve">Atlikta rangos darbų. Užbaigtumas, proc.           (II etapas) </t>
  </si>
  <si>
    <t>09</t>
  </si>
  <si>
    <t>Girulių miško vertingųjų savybių nustatymo tyrimo atlikimas</t>
  </si>
  <si>
    <t>Parengta ataskaita, vnt.</t>
  </si>
  <si>
    <t>Projektų skyrius Statybos ir infrastruktūros plėtros skyrius vyr. patarėjas R. Zulcas</t>
  </si>
  <si>
    <t xml:space="preserve">Vyr. patarėjas 
G. Dovidaitis </t>
  </si>
  <si>
    <t>2023-iųjų metų lėšų projektas</t>
  </si>
  <si>
    <t>SAVIVALDYBĖS LĖŠOS, IŠ VISO:</t>
  </si>
  <si>
    <t>** Pagal Klaipėdos miesto savivaldybės tarybos sprendimus: 2021-02-25 Nr. T2-24, 2021-04-29 Nr. T2-90; 2021-06-22 Nr. T2-157; 2021-09-30 Nr. T2-192; 2021-11-25 Nr. T2-247.</t>
  </si>
  <si>
    <r>
      <t xml:space="preserve">Europos Sąjungos finansinės paramos lėšos, kurios įtrauktos į savivaldybės biudžetą </t>
    </r>
    <r>
      <rPr>
        <b/>
        <sz val="10"/>
        <rFont val="Times New Roman"/>
        <family val="1"/>
        <charset val="186"/>
      </rPr>
      <t>SB(ES)</t>
    </r>
  </si>
  <si>
    <r>
      <t xml:space="preserve">Kelių priežiūros ir plėtros programos lėšos, įtrauktos į savivaldybės biudžetą </t>
    </r>
    <r>
      <rPr>
        <b/>
        <sz val="10"/>
        <rFont val="Times New Roman"/>
        <family val="1"/>
        <charset val="186"/>
      </rPr>
      <t>SB(KPP)</t>
    </r>
  </si>
  <si>
    <t>Sutvirtinta kopagūbrio, pinant tvoreles iš žabų, m</t>
  </si>
  <si>
    <t>Sutvirtinta kopagūbrio šakų klojiniais, tūkst. kv. m</t>
  </si>
  <si>
    <t>Klaipėdos miesto savivaldybės aplinkos monitoringo 2022–2026 metų programos parengimas</t>
  </si>
  <si>
    <t>Dviračių ir pėsčiųjų takų remontas Prano Lideikio g. nuo Liepojos g. iki Molo g.</t>
  </si>
  <si>
    <t xml:space="preserve">2022–2024 M. KLAIPĖDOS MIESTO SAVIVALDYBĖS  </t>
  </si>
  <si>
    <t xml:space="preserve">Aiškinamojo rašto 3 priedas </t>
  </si>
  <si>
    <t xml:space="preserve">Klaipėdos miesto savivaldybės aplinkos apsaugos programos (Nr. 05) aprašymo     </t>
  </si>
  <si>
    <t>priedas</t>
  </si>
  <si>
    <t>SB(VR)'</t>
  </si>
  <si>
    <t>SB(VRL)'</t>
  </si>
  <si>
    <t>SB(AA)'</t>
  </si>
  <si>
    <t>LRVB'</t>
  </si>
  <si>
    <t>SB(AAL)'</t>
  </si>
  <si>
    <t>SB'</t>
  </si>
  <si>
    <t>SB(L)'</t>
  </si>
  <si>
    <t>Kt'</t>
  </si>
  <si>
    <t>SB(ES)'</t>
  </si>
  <si>
    <t>SB(VB)'</t>
  </si>
  <si>
    <t>SB(ESL)'</t>
  </si>
  <si>
    <t>SB(VBL)'</t>
  </si>
  <si>
    <t>SB(KPP)'</t>
  </si>
  <si>
    <t>T
I</t>
  </si>
  <si>
    <t>T
P1</t>
  </si>
  <si>
    <t>* N – nauja priemonė, T – tęstinė priemonė, I – investicijų projektas.</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</si>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</sst>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General"/>
    <numFmt numFmtId="166" formatCode="0.0"/>
  </numFmts>
  <fonts count="24" x14ac:knownFonts="1">
    <font>
      <sz val="11"/>
      <color theme="1"/>
      <name val="Calibri"/>
      <family val="2"/>
      <charset val="186"/>
      <scheme val="minor"/>
    </font>
    <font>
      <sz val="10"/>
      <name val="Times New Roman"/>
      <family val="1"/>
      <charset val="186"/>
    </font>
    <font>
      <b/>
      <sz val="10"/>
      <name val="Times New Roman"/>
      <family val="1"/>
      <charset val="186"/>
    </font>
    <font>
      <sz val="10"/>
      <name val="Arial"/>
      <family val="2"/>
      <charset val="186"/>
    </font>
    <font>
      <b/>
      <sz val="10"/>
      <name val="Times New Roman"/>
      <family val="1"/>
      <charset val="204"/>
    </font>
    <font>
      <sz val="10"/>
      <name val="Times New Roman"/>
      <family val="1"/>
      <charset val="204"/>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name val="Calibri"/>
      <family val="2"/>
      <charset val="186"/>
      <scheme val="minor"/>
    </font>
    <font>
      <i/>
      <sz val="10"/>
      <name val="Times New Roman"/>
      <family val="1"/>
      <charset val="186"/>
    </font>
    <font>
      <sz val="12"/>
      <name val="Times New Roman"/>
      <family val="1"/>
      <charset val="186"/>
    </font>
    <font>
      <b/>
      <sz val="12"/>
      <name val="Times New Roman"/>
      <family val="1"/>
      <charset val="186"/>
    </font>
    <font>
      <sz val="11"/>
      <color rgb="FF000000"/>
      <name val="Calibri"/>
      <family val="2"/>
      <charset val="186"/>
    </font>
    <font>
      <sz val="11"/>
      <name val="Times New Roman"/>
      <family val="1"/>
      <charset val="186"/>
    </font>
    <font>
      <b/>
      <sz val="9"/>
      <name val="Times New Roman"/>
      <family val="1"/>
      <charset val="186"/>
    </font>
    <font>
      <b/>
      <sz val="10"/>
      <name val="Calibri"/>
      <family val="2"/>
      <charset val="186"/>
      <scheme val="minor"/>
    </font>
    <font>
      <sz val="12"/>
      <name val="Times New Roman"/>
      <family val="1"/>
    </font>
    <font>
      <sz val="9"/>
      <name val="Times New Roman"/>
      <family val="1"/>
    </font>
    <font>
      <strike/>
      <sz val="10"/>
      <name val="Times New Roman"/>
      <family val="1"/>
      <charset val="186"/>
    </font>
    <font>
      <sz val="10"/>
      <color rgb="FFFF0000"/>
      <name val="Times New Roman"/>
      <family val="1"/>
      <charset val="186"/>
    </font>
    <font>
      <sz val="10"/>
      <color theme="0"/>
      <name val="Times New Roman"/>
      <family val="1"/>
      <charset val="186"/>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rgb="FFDBDBDB"/>
      </patternFill>
    </fill>
    <fill>
      <patternFill patternType="solid">
        <fgColor rgb="FFFFFFFF"/>
        <bgColor indexed="64"/>
      </patternFill>
    </fill>
  </fills>
  <borders count="11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s>
  <cellStyleXfs count="3">
    <xf numFmtId="0" fontId="0" fillId="0" borderId="0"/>
    <xf numFmtId="0" fontId="3" fillId="0" borderId="0"/>
    <xf numFmtId="165" fontId="15" fillId="0" borderId="0" applyBorder="0" applyProtection="0"/>
  </cellStyleXfs>
  <cellXfs count="1233">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3" fillId="0" borderId="0" xfId="0" applyNumberFormat="1" applyFont="1" applyBorder="1"/>
    <xf numFmtId="3" fontId="2" fillId="4" borderId="9" xfId="0" applyNumberFormat="1" applyFont="1" applyFill="1" applyBorder="1" applyAlignment="1">
      <alignment vertical="top"/>
    </xf>
    <xf numFmtId="3" fontId="2" fillId="5" borderId="10"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52" xfId="0" applyNumberFormat="1" applyFont="1" applyFill="1" applyBorder="1" applyAlignment="1">
      <alignment horizontal="center" vertical="top"/>
    </xf>
    <xf numFmtId="3" fontId="2" fillId="5" borderId="53" xfId="0" applyNumberFormat="1" applyFont="1" applyFill="1" applyBorder="1" applyAlignment="1">
      <alignment horizontal="center" vertical="top"/>
    </xf>
    <xf numFmtId="0" fontId="1" fillId="0" borderId="0" xfId="0" applyFont="1" applyBorder="1" applyAlignment="1">
      <alignment vertical="top"/>
    </xf>
    <xf numFmtId="3" fontId="2" fillId="4" borderId="57" xfId="0" applyNumberFormat="1" applyFont="1" applyFill="1" applyBorder="1" applyAlignment="1">
      <alignment horizontal="center" vertical="top"/>
    </xf>
    <xf numFmtId="3" fontId="2" fillId="6" borderId="33" xfId="0" applyNumberFormat="1" applyFont="1" applyFill="1" applyBorder="1" applyAlignment="1">
      <alignment horizontal="center" vertical="top"/>
    </xf>
    <xf numFmtId="3" fontId="2" fillId="0" borderId="43" xfId="0" applyNumberFormat="1" applyFont="1" applyBorder="1" applyAlignment="1">
      <alignment horizontal="center" vertical="top"/>
    </xf>
    <xf numFmtId="3" fontId="2" fillId="0" borderId="43"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2" xfId="0" applyNumberFormat="1" applyFont="1" applyFill="1" applyBorder="1" applyAlignment="1">
      <alignment horizontal="center" vertical="top" wrapText="1"/>
    </xf>
    <xf numFmtId="3" fontId="2" fillId="6" borderId="42" xfId="0" applyNumberFormat="1" applyFont="1" applyFill="1" applyBorder="1" applyAlignment="1">
      <alignment horizontal="left" vertical="top" wrapText="1"/>
    </xf>
    <xf numFmtId="3" fontId="2" fillId="3" borderId="52" xfId="0" applyNumberFormat="1" applyFont="1" applyFill="1" applyBorder="1" applyAlignment="1">
      <alignment horizontal="center" vertical="top"/>
    </xf>
    <xf numFmtId="3" fontId="1" fillId="7" borderId="0" xfId="0" applyNumberFormat="1" applyFont="1" applyFill="1" applyBorder="1" applyAlignment="1">
      <alignment vertical="top"/>
    </xf>
    <xf numFmtId="3" fontId="1" fillId="0" borderId="0" xfId="0" applyNumberFormat="1" applyFont="1" applyFill="1" applyAlignment="1">
      <alignment vertical="top"/>
    </xf>
    <xf numFmtId="3" fontId="4" fillId="0" borderId="31" xfId="0" applyNumberFormat="1" applyFont="1" applyBorder="1" applyAlignment="1">
      <alignment vertical="top" wrapText="1"/>
    </xf>
    <xf numFmtId="164" fontId="1" fillId="6" borderId="0" xfId="0" applyNumberFormat="1" applyFont="1" applyFill="1" applyBorder="1" applyAlignment="1">
      <alignment horizontal="center" vertical="top"/>
    </xf>
    <xf numFmtId="164" fontId="2" fillId="3" borderId="29" xfId="0" applyNumberFormat="1" applyFont="1" applyFill="1" applyBorder="1" applyAlignment="1">
      <alignment horizontal="center" vertical="top" wrapText="1"/>
    </xf>
    <xf numFmtId="164" fontId="2" fillId="8" borderId="39" xfId="0" applyNumberFormat="1" applyFont="1" applyFill="1" applyBorder="1" applyAlignment="1">
      <alignment horizontal="center" vertical="top" wrapText="1"/>
    </xf>
    <xf numFmtId="164" fontId="2" fillId="8" borderId="29" xfId="0" applyNumberFormat="1" applyFont="1" applyFill="1" applyBorder="1" applyAlignment="1">
      <alignment horizontal="center" vertical="top" wrapText="1"/>
    </xf>
    <xf numFmtId="164" fontId="1" fillId="0" borderId="29" xfId="0" applyNumberFormat="1" applyFont="1" applyBorder="1" applyAlignment="1">
      <alignment horizontal="center" vertical="top" wrapText="1"/>
    </xf>
    <xf numFmtId="164" fontId="1" fillId="8" borderId="29" xfId="0" applyNumberFormat="1" applyFont="1" applyFill="1" applyBorder="1" applyAlignment="1">
      <alignment horizontal="center" vertical="top" wrapText="1"/>
    </xf>
    <xf numFmtId="3" fontId="1" fillId="6" borderId="11" xfId="0" applyNumberFormat="1" applyFont="1" applyFill="1" applyBorder="1" applyAlignment="1">
      <alignment vertical="top" wrapText="1"/>
    </xf>
    <xf numFmtId="3" fontId="7" fillId="6" borderId="14" xfId="0" applyNumberFormat="1" applyFont="1" applyFill="1" applyBorder="1" applyAlignment="1">
      <alignment horizontal="center" vertical="top"/>
    </xf>
    <xf numFmtId="3" fontId="1" fillId="6" borderId="44" xfId="0" applyNumberFormat="1" applyFont="1" applyFill="1" applyBorder="1" applyAlignment="1">
      <alignment horizontal="center" vertical="top" wrapText="1"/>
    </xf>
    <xf numFmtId="49" fontId="2" fillId="6" borderId="34" xfId="0" applyNumberFormat="1" applyFont="1" applyFill="1" applyBorder="1" applyAlignment="1">
      <alignment horizontal="center" vertical="top"/>
    </xf>
    <xf numFmtId="3" fontId="2" fillId="6" borderId="4" xfId="0" applyNumberFormat="1" applyFont="1" applyFill="1" applyBorder="1" applyAlignment="1">
      <alignment vertical="top" wrapText="1"/>
    </xf>
    <xf numFmtId="49" fontId="2" fillId="4" borderId="19" xfId="0" applyNumberFormat="1" applyFont="1" applyFill="1" applyBorder="1" applyAlignment="1">
      <alignment horizontal="center" vertical="top"/>
    </xf>
    <xf numFmtId="0" fontId="1" fillId="0" borderId="0" xfId="0" applyFont="1" applyFill="1" applyAlignment="1">
      <alignment vertical="top"/>
    </xf>
    <xf numFmtId="3" fontId="1" fillId="0" borderId="0" xfId="0" applyNumberFormat="1" applyFont="1" applyAlignment="1">
      <alignment horizontal="center" vertical="top"/>
    </xf>
    <xf numFmtId="49" fontId="2" fillId="8" borderId="21" xfId="0" applyNumberFormat="1" applyFont="1" applyFill="1" applyBorder="1" applyAlignment="1">
      <alignment horizontal="center" vertical="top"/>
    </xf>
    <xf numFmtId="3" fontId="2" fillId="8" borderId="21" xfId="0" applyNumberFormat="1" applyFont="1" applyFill="1" applyBorder="1" applyAlignment="1">
      <alignment horizontal="center" vertical="top"/>
    </xf>
    <xf numFmtId="3" fontId="2" fillId="8" borderId="10" xfId="0" applyNumberFormat="1" applyFont="1" applyFill="1" applyBorder="1" applyAlignment="1">
      <alignment vertical="top"/>
    </xf>
    <xf numFmtId="3" fontId="2" fillId="8" borderId="3" xfId="0" applyNumberFormat="1" applyFont="1" applyFill="1" applyBorder="1" applyAlignment="1">
      <alignment horizontal="center" vertical="top" wrapText="1"/>
    </xf>
    <xf numFmtId="164" fontId="1" fillId="0" borderId="0" xfId="0" applyNumberFormat="1" applyFont="1" applyBorder="1" applyAlignment="1">
      <alignment vertical="top"/>
    </xf>
    <xf numFmtId="0" fontId="1" fillId="0" borderId="0" xfId="0" applyFont="1" applyAlignment="1">
      <alignment vertical="top"/>
    </xf>
    <xf numFmtId="3" fontId="2" fillId="6" borderId="11" xfId="0" applyNumberFormat="1" applyFont="1" applyFill="1" applyBorder="1" applyAlignment="1">
      <alignment horizontal="center" vertical="top"/>
    </xf>
    <xf numFmtId="3" fontId="1" fillId="0" borderId="0" xfId="0" applyNumberFormat="1" applyFont="1" applyBorder="1" applyAlignment="1">
      <alignment vertical="top"/>
    </xf>
    <xf numFmtId="49" fontId="1" fillId="6" borderId="11" xfId="0" applyNumberFormat="1" applyFont="1" applyFill="1" applyBorder="1" applyAlignment="1">
      <alignment horizontal="center" vertical="top"/>
    </xf>
    <xf numFmtId="3" fontId="2" fillId="8" borderId="24" xfId="0" applyNumberFormat="1" applyFont="1" applyFill="1" applyBorder="1" applyAlignment="1">
      <alignment horizontal="center" vertical="top"/>
    </xf>
    <xf numFmtId="3" fontId="1" fillId="0" borderId="44" xfId="0" applyNumberFormat="1" applyFont="1" applyFill="1" applyBorder="1" applyAlignment="1">
      <alignment horizontal="center" vertical="top"/>
    </xf>
    <xf numFmtId="164" fontId="11" fillId="0" borderId="0" xfId="0" applyNumberFormat="1" applyFont="1"/>
    <xf numFmtId="0" fontId="11" fillId="0" borderId="0" xfId="0" applyFont="1"/>
    <xf numFmtId="49" fontId="2" fillId="6" borderId="11" xfId="0" applyNumberFormat="1" applyFont="1" applyFill="1" applyBorder="1" applyAlignment="1">
      <alignment horizontal="center" vertical="top"/>
    </xf>
    <xf numFmtId="3" fontId="1" fillId="6" borderId="29" xfId="0" applyNumberFormat="1" applyFont="1" applyFill="1" applyBorder="1" applyAlignment="1">
      <alignment horizontal="center" vertical="top"/>
    </xf>
    <xf numFmtId="3" fontId="1" fillId="0" borderId="60" xfId="0" applyNumberFormat="1" applyFont="1" applyFill="1" applyBorder="1" applyAlignment="1">
      <alignment horizontal="center" vertical="top"/>
    </xf>
    <xf numFmtId="3" fontId="1" fillId="0" borderId="44" xfId="0" applyNumberFormat="1" applyFont="1" applyBorder="1" applyAlignment="1">
      <alignment horizontal="center" vertical="top"/>
    </xf>
    <xf numFmtId="3" fontId="1" fillId="0" borderId="41" xfId="0" applyNumberFormat="1" applyFont="1" applyFill="1" applyBorder="1" applyAlignment="1">
      <alignment horizontal="center" vertical="top"/>
    </xf>
    <xf numFmtId="3" fontId="2" fillId="0" borderId="41" xfId="0" applyNumberFormat="1" applyFont="1" applyFill="1" applyBorder="1" applyAlignment="1">
      <alignment horizontal="center" vertical="top"/>
    </xf>
    <xf numFmtId="164" fontId="2" fillId="3" borderId="41" xfId="0" applyNumberFormat="1" applyFont="1" applyFill="1" applyBorder="1" applyAlignment="1">
      <alignment horizontal="center" vertical="top" wrapText="1"/>
    </xf>
    <xf numFmtId="3" fontId="2" fillId="6" borderId="31" xfId="0" applyNumberFormat="1" applyFont="1" applyFill="1" applyBorder="1" applyAlignment="1">
      <alignment horizontal="center" vertical="top"/>
    </xf>
    <xf numFmtId="3" fontId="2" fillId="6" borderId="31" xfId="0" applyNumberFormat="1" applyFont="1" applyFill="1" applyBorder="1" applyAlignment="1">
      <alignment horizontal="center" vertical="top" wrapText="1"/>
    </xf>
    <xf numFmtId="164" fontId="1" fillId="0" borderId="0" xfId="0" applyNumberFormat="1" applyFont="1" applyFill="1" applyAlignment="1">
      <alignment vertical="top"/>
    </xf>
    <xf numFmtId="3" fontId="2" fillId="6" borderId="5"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5" fillId="6" borderId="10" xfId="0" applyNumberFormat="1" applyFont="1" applyFill="1" applyBorder="1" applyAlignment="1">
      <alignment vertical="top" wrapText="1"/>
    </xf>
    <xf numFmtId="3" fontId="2" fillId="6" borderId="3" xfId="0" applyNumberFormat="1" applyFont="1" applyFill="1" applyBorder="1" applyAlignment="1">
      <alignment horizontal="center" vertical="top" wrapText="1"/>
    </xf>
    <xf numFmtId="3" fontId="1" fillId="6" borderId="60" xfId="0" applyNumberFormat="1" applyFont="1" applyFill="1" applyBorder="1" applyAlignment="1">
      <alignment horizontal="center" vertical="top" wrapText="1"/>
    </xf>
    <xf numFmtId="3" fontId="1" fillId="0" borderId="60" xfId="0" applyNumberFormat="1" applyFont="1" applyBorder="1" applyAlignment="1">
      <alignment horizontal="center" vertical="top" wrapText="1"/>
    </xf>
    <xf numFmtId="3" fontId="7" fillId="6" borderId="44" xfId="0" applyNumberFormat="1" applyFont="1" applyFill="1" applyBorder="1" applyAlignment="1">
      <alignment horizontal="center" vertical="top"/>
    </xf>
    <xf numFmtId="3" fontId="2" fillId="6" borderId="44" xfId="0" applyNumberFormat="1" applyFont="1" applyFill="1" applyBorder="1" applyAlignment="1">
      <alignment horizontal="center" vertical="top"/>
    </xf>
    <xf numFmtId="3" fontId="1" fillId="6" borderId="14"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2" fillId="0" borderId="43" xfId="0" applyNumberFormat="1" applyFont="1" applyFill="1" applyBorder="1" applyAlignment="1">
      <alignment horizontal="center" vertical="top" wrapText="1"/>
    </xf>
    <xf numFmtId="3" fontId="1" fillId="6" borderId="40"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xf>
    <xf numFmtId="3" fontId="2" fillId="4" borderId="12" xfId="0" applyNumberFormat="1" applyFont="1" applyFill="1" applyBorder="1" applyAlignment="1">
      <alignment vertical="top"/>
    </xf>
    <xf numFmtId="3" fontId="2" fillId="8" borderId="48" xfId="0" applyNumberFormat="1" applyFont="1" applyFill="1" applyBorder="1" applyAlignment="1">
      <alignment vertical="top"/>
    </xf>
    <xf numFmtId="49" fontId="2" fillId="5" borderId="20" xfId="0" applyNumberFormat="1" applyFont="1" applyFill="1" applyBorder="1" applyAlignment="1">
      <alignment horizontal="center" vertical="top"/>
    </xf>
    <xf numFmtId="3" fontId="2" fillId="4" borderId="9" xfId="0" applyNumberFormat="1" applyFont="1" applyFill="1" applyBorder="1" applyAlignment="1">
      <alignment horizontal="center" vertical="top"/>
    </xf>
    <xf numFmtId="3" fontId="2" fillId="6" borderId="10"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1" fillId="6" borderId="47"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3" fontId="1" fillId="6" borderId="65" xfId="0" applyNumberFormat="1" applyFont="1" applyFill="1" applyBorder="1" applyAlignment="1">
      <alignment horizontal="center" vertical="center" wrapText="1"/>
    </xf>
    <xf numFmtId="3" fontId="1" fillId="6" borderId="18" xfId="0" applyNumberFormat="1" applyFont="1" applyFill="1" applyBorder="1" applyAlignment="1">
      <alignment horizontal="center" vertical="top" wrapText="1"/>
    </xf>
    <xf numFmtId="0" fontId="1" fillId="0" borderId="0" xfId="0" applyNumberFormat="1" applyFont="1" applyAlignment="1">
      <alignment vertical="top"/>
    </xf>
    <xf numFmtId="3" fontId="11" fillId="6" borderId="32" xfId="0" applyNumberFormat="1" applyFont="1" applyFill="1" applyBorder="1" applyAlignment="1">
      <alignment horizontal="center" vertical="top" wrapText="1"/>
    </xf>
    <xf numFmtId="0" fontId="11" fillId="0" borderId="0" xfId="0" applyFont="1" applyAlignment="1">
      <alignment horizontal="center"/>
    </xf>
    <xf numFmtId="3" fontId="2" fillId="6" borderId="11" xfId="0" applyNumberFormat="1" applyFont="1" applyFill="1" applyBorder="1" applyAlignment="1">
      <alignment horizontal="center" vertical="center" wrapText="1"/>
    </xf>
    <xf numFmtId="3" fontId="1" fillId="6" borderId="43" xfId="0" applyNumberFormat="1" applyFont="1" applyFill="1" applyBorder="1" applyAlignment="1">
      <alignment horizontal="center" vertical="center" wrapText="1"/>
    </xf>
    <xf numFmtId="3" fontId="1" fillId="6" borderId="8" xfId="0" applyNumberFormat="1" applyFont="1" applyFill="1" applyBorder="1" applyAlignment="1">
      <alignment horizontal="center" vertical="center"/>
    </xf>
    <xf numFmtId="3" fontId="1" fillId="6" borderId="40"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NumberFormat="1" applyFont="1" applyFill="1" applyAlignment="1">
      <alignment vertical="top"/>
    </xf>
    <xf numFmtId="0" fontId="1" fillId="0" borderId="0" xfId="0" applyFont="1" applyFill="1" applyAlignment="1">
      <alignment horizontal="center" vertical="top"/>
    </xf>
    <xf numFmtId="164" fontId="1" fillId="6" borderId="14" xfId="0" applyNumberFormat="1" applyFont="1" applyFill="1" applyBorder="1" applyAlignment="1">
      <alignment horizontal="center" vertical="top"/>
    </xf>
    <xf numFmtId="3" fontId="2" fillId="4" borderId="19" xfId="0" applyNumberFormat="1" applyFont="1" applyFill="1" applyBorder="1" applyAlignment="1">
      <alignment horizontal="center" vertical="top"/>
    </xf>
    <xf numFmtId="3" fontId="2" fillId="5" borderId="20"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6" borderId="11" xfId="0" applyNumberFormat="1" applyFont="1" applyFill="1" applyBorder="1" applyAlignment="1">
      <alignment vertical="top"/>
    </xf>
    <xf numFmtId="3" fontId="1" fillId="0" borderId="36" xfId="0" applyNumberFormat="1" applyFont="1" applyBorder="1" applyAlignment="1">
      <alignment horizontal="center" wrapText="1"/>
    </xf>
    <xf numFmtId="49" fontId="2" fillId="6" borderId="33" xfId="0" applyNumberFormat="1" applyFont="1" applyFill="1" applyBorder="1" applyAlignment="1">
      <alignment vertical="top"/>
    </xf>
    <xf numFmtId="49" fontId="2" fillId="4" borderId="9" xfId="0" applyNumberFormat="1" applyFont="1" applyFill="1" applyBorder="1" applyAlignment="1">
      <alignment vertical="top"/>
    </xf>
    <xf numFmtId="49" fontId="2" fillId="5" borderId="10" xfId="0" applyNumberFormat="1" applyFont="1" applyFill="1" applyBorder="1" applyAlignment="1">
      <alignment vertical="top"/>
    </xf>
    <xf numFmtId="49" fontId="2" fillId="8" borderId="11" xfId="0" applyNumberFormat="1" applyFont="1" applyFill="1" applyBorder="1" applyAlignment="1">
      <alignment vertical="top"/>
    </xf>
    <xf numFmtId="49" fontId="2" fillId="8" borderId="10" xfId="0" applyNumberFormat="1" applyFont="1" applyFill="1" applyBorder="1" applyAlignment="1">
      <alignment vertical="top"/>
    </xf>
    <xf numFmtId="3" fontId="5" fillId="0" borderId="16" xfId="0" applyNumberFormat="1" applyFont="1" applyBorder="1" applyAlignment="1">
      <alignment horizontal="center" vertical="top" wrapText="1"/>
    </xf>
    <xf numFmtId="3" fontId="1" fillId="6" borderId="66" xfId="0" applyNumberFormat="1" applyFont="1" applyFill="1" applyBorder="1" applyAlignment="1">
      <alignment horizontal="center" vertical="top"/>
    </xf>
    <xf numFmtId="3" fontId="1" fillId="6" borderId="69" xfId="0" applyNumberFormat="1" applyFont="1" applyFill="1" applyBorder="1" applyAlignment="1">
      <alignment horizontal="center" vertical="top"/>
    </xf>
    <xf numFmtId="3" fontId="5" fillId="6" borderId="31" xfId="0" applyNumberFormat="1" applyFont="1" applyFill="1" applyBorder="1" applyAlignment="1">
      <alignment vertical="top" wrapText="1"/>
    </xf>
    <xf numFmtId="164" fontId="1" fillId="0" borderId="33"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6" borderId="67"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164" fontId="2" fillId="8" borderId="70" xfId="0" applyNumberFormat="1" applyFont="1" applyFill="1" applyBorder="1" applyAlignment="1">
      <alignment horizontal="center" vertical="top"/>
    </xf>
    <xf numFmtId="3" fontId="2" fillId="4" borderId="28"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1" fillId="6" borderId="28" xfId="0" applyNumberFormat="1" applyFont="1" applyFill="1" applyBorder="1" applyAlignment="1">
      <alignment horizontal="center" vertical="top"/>
    </xf>
    <xf numFmtId="164" fontId="2" fillId="8" borderId="73" xfId="0" applyNumberFormat="1" applyFont="1" applyFill="1" applyBorder="1" applyAlignment="1">
      <alignment horizontal="center" vertical="top"/>
    </xf>
    <xf numFmtId="164" fontId="2" fillId="5" borderId="58" xfId="0" applyNumberFormat="1" applyFont="1" applyFill="1" applyBorder="1" applyAlignment="1">
      <alignment horizontal="center" vertical="center"/>
    </xf>
    <xf numFmtId="49" fontId="1" fillId="6" borderId="46" xfId="0" applyNumberFormat="1" applyFont="1" applyFill="1" applyBorder="1" applyAlignment="1">
      <alignment horizontal="center" vertical="top" textRotation="91" wrapText="1"/>
    </xf>
    <xf numFmtId="164" fontId="2" fillId="8" borderId="64" xfId="0" applyNumberFormat="1" applyFont="1" applyFill="1" applyBorder="1" applyAlignment="1">
      <alignment horizontal="center" vertical="top"/>
    </xf>
    <xf numFmtId="3" fontId="2" fillId="6" borderId="73" xfId="0" applyNumberFormat="1" applyFont="1" applyFill="1" applyBorder="1" applyAlignment="1">
      <alignment horizontal="center" vertical="top"/>
    </xf>
    <xf numFmtId="0" fontId="11" fillId="6" borderId="73" xfId="0" applyFont="1" applyFill="1" applyBorder="1" applyAlignment="1"/>
    <xf numFmtId="0" fontId="11" fillId="6" borderId="73" xfId="0" applyFont="1" applyFill="1" applyBorder="1" applyAlignment="1">
      <alignment horizontal="center"/>
    </xf>
    <xf numFmtId="3" fontId="2" fillId="6" borderId="25" xfId="0" applyNumberFormat="1" applyFont="1" applyFill="1" applyBorder="1" applyAlignment="1">
      <alignment horizontal="right" vertical="top"/>
    </xf>
    <xf numFmtId="3" fontId="12" fillId="6" borderId="73" xfId="0" applyNumberFormat="1" applyFont="1" applyFill="1" applyBorder="1" applyAlignment="1">
      <alignment vertical="top" wrapText="1"/>
    </xf>
    <xf numFmtId="3" fontId="11" fillId="6" borderId="25" xfId="0" applyNumberFormat="1" applyFont="1" applyFill="1" applyBorder="1" applyAlignment="1">
      <alignment horizontal="center" vertical="top" wrapText="1"/>
    </xf>
    <xf numFmtId="3" fontId="1" fillId="6" borderId="64" xfId="0" applyNumberFormat="1" applyFont="1" applyFill="1" applyBorder="1" applyAlignment="1">
      <alignment horizontal="center" vertical="top" textRotation="90" wrapText="1"/>
    </xf>
    <xf numFmtId="3" fontId="2" fillId="6" borderId="64" xfId="0" applyNumberFormat="1" applyFont="1" applyFill="1" applyBorder="1" applyAlignment="1">
      <alignment horizontal="center" vertical="top"/>
    </xf>
    <xf numFmtId="3" fontId="7" fillId="6" borderId="73" xfId="0" applyNumberFormat="1" applyFont="1" applyFill="1" applyBorder="1" applyAlignment="1">
      <alignment horizontal="left" vertical="top" wrapText="1"/>
    </xf>
    <xf numFmtId="3" fontId="1" fillId="6" borderId="73" xfId="0" applyNumberFormat="1" applyFont="1" applyFill="1" applyBorder="1" applyAlignment="1">
      <alignment horizontal="center" vertical="center" textRotation="90" wrapText="1"/>
    </xf>
    <xf numFmtId="3" fontId="3" fillId="6" borderId="25" xfId="0" applyNumberFormat="1" applyFont="1" applyFill="1" applyBorder="1" applyAlignment="1">
      <alignment horizontal="center" vertical="top" wrapText="1"/>
    </xf>
    <xf numFmtId="164" fontId="2" fillId="6" borderId="3" xfId="0" applyNumberFormat="1" applyFont="1" applyFill="1" applyBorder="1" applyAlignment="1">
      <alignment horizontal="center" vertical="top"/>
    </xf>
    <xf numFmtId="164" fontId="2" fillId="6" borderId="31" xfId="0" applyNumberFormat="1" applyFont="1" applyFill="1" applyBorder="1" applyAlignment="1">
      <alignment horizontal="center" vertical="top"/>
    </xf>
    <xf numFmtId="3" fontId="1" fillId="0" borderId="14" xfId="0" applyNumberFormat="1" applyFont="1" applyBorder="1" applyAlignment="1">
      <alignment vertical="top"/>
    </xf>
    <xf numFmtId="164" fontId="2" fillId="6" borderId="72" xfId="0" applyNumberFormat="1" applyFont="1" applyFill="1" applyBorder="1" applyAlignment="1">
      <alignment horizontal="center" vertical="top"/>
    </xf>
    <xf numFmtId="3" fontId="2" fillId="8" borderId="11"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3" fontId="1" fillId="6" borderId="28" xfId="0" applyNumberFormat="1" applyFont="1" applyFill="1" applyBorder="1" applyAlignment="1">
      <alignment horizontal="left" vertical="top" wrapText="1"/>
    </xf>
    <xf numFmtId="164" fontId="1" fillId="6" borderId="15" xfId="0" applyNumberFormat="1" applyFont="1" applyFill="1" applyBorder="1" applyAlignment="1">
      <alignment horizontal="center" vertical="top"/>
    </xf>
    <xf numFmtId="3" fontId="1" fillId="6" borderId="29" xfId="0" applyNumberFormat="1" applyFont="1" applyFill="1" applyBorder="1" applyAlignment="1">
      <alignment horizontal="center" vertical="top" wrapText="1"/>
    </xf>
    <xf numFmtId="3" fontId="2" fillId="8" borderId="11" xfId="0" applyNumberFormat="1" applyFont="1" applyFill="1" applyBorder="1" applyAlignment="1">
      <alignment horizontal="center" vertical="top" wrapText="1"/>
    </xf>
    <xf numFmtId="49" fontId="2" fillId="6" borderId="28" xfId="0" applyNumberFormat="1" applyFont="1" applyFill="1" applyBorder="1" applyAlignment="1">
      <alignment horizontal="center" vertical="top"/>
    </xf>
    <xf numFmtId="164" fontId="1" fillId="6" borderId="71" xfId="0" applyNumberFormat="1" applyFont="1" applyFill="1" applyBorder="1" applyAlignment="1">
      <alignment horizontal="center" vertical="top"/>
    </xf>
    <xf numFmtId="3" fontId="11" fillId="6" borderId="63" xfId="0" applyNumberFormat="1" applyFont="1" applyFill="1" applyBorder="1" applyAlignment="1">
      <alignment horizontal="center" vertical="top" wrapText="1"/>
    </xf>
    <xf numFmtId="49" fontId="2" fillId="6" borderId="10" xfId="0" applyNumberFormat="1" applyFont="1" applyFill="1" applyBorder="1" applyAlignment="1">
      <alignment horizontal="center" vertical="top" wrapText="1"/>
    </xf>
    <xf numFmtId="3" fontId="2" fillId="8" borderId="39"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0" fontId="2" fillId="6" borderId="33" xfId="0" applyFont="1" applyFill="1" applyBorder="1" applyAlignment="1">
      <alignment vertical="center" wrapText="1"/>
    </xf>
    <xf numFmtId="0" fontId="2" fillId="6" borderId="34"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11" fillId="6" borderId="64" xfId="0" applyFont="1" applyFill="1" applyBorder="1" applyAlignment="1">
      <alignment horizontal="center"/>
    </xf>
    <xf numFmtId="0" fontId="11" fillId="6" borderId="20" xfId="0" applyFont="1" applyFill="1" applyBorder="1" applyAlignment="1">
      <alignment vertical="top"/>
    </xf>
    <xf numFmtId="0" fontId="11" fillId="6" borderId="64" xfId="0" applyFont="1" applyFill="1" applyBorder="1" applyAlignment="1"/>
    <xf numFmtId="0" fontId="11" fillId="6" borderId="40" xfId="0" applyFont="1" applyFill="1" applyBorder="1" applyAlignment="1">
      <alignment horizontal="center" vertical="top" wrapText="1"/>
    </xf>
    <xf numFmtId="0" fontId="11" fillId="6" borderId="73" xfId="0" applyFont="1" applyFill="1" applyBorder="1" applyAlignment="1">
      <alignment vertical="top"/>
    </xf>
    <xf numFmtId="0" fontId="11" fillId="6" borderId="1" xfId="0" applyFont="1" applyFill="1" applyBorder="1" applyAlignment="1">
      <alignment horizontal="center"/>
    </xf>
    <xf numFmtId="0" fontId="11" fillId="6" borderId="25" xfId="0" applyFont="1" applyFill="1" applyBorder="1" applyAlignment="1">
      <alignment vertical="top"/>
    </xf>
    <xf numFmtId="0" fontId="11" fillId="0" borderId="0" xfId="0" applyFont="1" applyAlignment="1">
      <alignment horizontal="left" vertical="top" wrapText="1"/>
    </xf>
    <xf numFmtId="0" fontId="11" fillId="0" borderId="0" xfId="0" applyFont="1" applyAlignment="1">
      <alignment horizontal="center" vertical="top" wrapText="1"/>
    </xf>
    <xf numFmtId="4" fontId="11" fillId="0" borderId="0" xfId="0" applyNumberFormat="1" applyFont="1" applyAlignment="1">
      <alignment horizontal="left" vertical="top" wrapText="1"/>
    </xf>
    <xf numFmtId="164" fontId="11" fillId="0" borderId="0" xfId="0" applyNumberFormat="1" applyFont="1" applyAlignment="1">
      <alignment horizontal="left" vertical="top" wrapText="1"/>
    </xf>
    <xf numFmtId="0" fontId="1" fillId="6" borderId="33" xfId="0" applyFont="1" applyFill="1" applyBorder="1" applyAlignment="1">
      <alignment vertical="top" wrapText="1"/>
    </xf>
    <xf numFmtId="0" fontId="11" fillId="6" borderId="16" xfId="0" applyFont="1" applyFill="1" applyBorder="1" applyAlignment="1">
      <alignment vertical="top"/>
    </xf>
    <xf numFmtId="3" fontId="2" fillId="8" borderId="60"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164" fontId="1" fillId="6" borderId="29" xfId="0" applyNumberFormat="1" applyFont="1" applyFill="1" applyBorder="1" applyAlignment="1">
      <alignment horizontal="center" vertical="top" wrapText="1"/>
    </xf>
    <xf numFmtId="49" fontId="2" fillId="5" borderId="3" xfId="0" applyNumberFormat="1" applyFont="1" applyFill="1" applyBorder="1" applyAlignment="1">
      <alignment horizontal="center" vertical="top" wrapText="1"/>
    </xf>
    <xf numFmtId="49" fontId="2" fillId="8" borderId="75" xfId="0" applyNumberFormat="1" applyFont="1" applyFill="1" applyBorder="1" applyAlignment="1">
      <alignment horizontal="center" vertical="top" wrapText="1"/>
    </xf>
    <xf numFmtId="49" fontId="2" fillId="8" borderId="33" xfId="0" applyNumberFormat="1" applyFont="1" applyFill="1" applyBorder="1" applyAlignment="1">
      <alignment horizontal="center" vertical="top"/>
    </xf>
    <xf numFmtId="164" fontId="1" fillId="6" borderId="48" xfId="1" applyNumberFormat="1" applyFont="1" applyFill="1" applyBorder="1" applyAlignment="1">
      <alignment horizontal="center" vertical="top"/>
    </xf>
    <xf numFmtId="3" fontId="1" fillId="6" borderId="32" xfId="0" applyNumberFormat="1" applyFont="1" applyFill="1" applyBorder="1" applyAlignment="1">
      <alignment vertical="top" wrapText="1"/>
    </xf>
    <xf numFmtId="3" fontId="1" fillId="6" borderId="44" xfId="0" applyNumberFormat="1" applyFont="1" applyFill="1" applyBorder="1" applyAlignment="1">
      <alignment vertical="top"/>
    </xf>
    <xf numFmtId="0" fontId="16" fillId="0" borderId="0" xfId="0" applyFont="1" applyFill="1" applyBorder="1" applyAlignment="1">
      <alignment horizontal="left" vertical="top" wrapText="1"/>
    </xf>
    <xf numFmtId="49" fontId="2" fillId="4" borderId="9"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10" xfId="0" applyNumberFormat="1" applyFont="1" applyFill="1" applyBorder="1" applyAlignment="1">
      <alignment vertical="top" wrapText="1"/>
    </xf>
    <xf numFmtId="3" fontId="1" fillId="6" borderId="33" xfId="0" applyNumberFormat="1" applyFont="1" applyFill="1" applyBorder="1" applyAlignment="1">
      <alignment vertical="top" wrapText="1"/>
    </xf>
    <xf numFmtId="3" fontId="2" fillId="5" borderId="3"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49" fontId="2" fillId="6" borderId="33" xfId="0" applyNumberFormat="1" applyFont="1" applyFill="1" applyBorder="1" applyAlignment="1">
      <alignment horizontal="center" vertical="top"/>
    </xf>
    <xf numFmtId="49" fontId="2" fillId="6" borderId="31" xfId="0" applyNumberFormat="1" applyFont="1" applyFill="1" applyBorder="1" applyAlignment="1">
      <alignment horizontal="center" vertical="top"/>
    </xf>
    <xf numFmtId="3" fontId="1" fillId="6" borderId="32"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3" fontId="2" fillId="4" borderId="9"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wrapText="1"/>
    </xf>
    <xf numFmtId="3" fontId="2" fillId="8" borderId="10"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wrapText="1"/>
    </xf>
    <xf numFmtId="3" fontId="2" fillId="6" borderId="11"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10" xfId="0" applyNumberFormat="1" applyFont="1" applyFill="1" applyBorder="1" applyAlignment="1">
      <alignment horizontal="center" vertical="top" wrapText="1"/>
    </xf>
    <xf numFmtId="164" fontId="1" fillId="6" borderId="33"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3" fontId="1" fillId="6" borderId="60"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164" fontId="1" fillId="6" borderId="61" xfId="0" applyNumberFormat="1" applyFont="1" applyFill="1" applyBorder="1" applyAlignment="1">
      <alignment horizontal="center" vertical="top"/>
    </xf>
    <xf numFmtId="164" fontId="1" fillId="6" borderId="45" xfId="0" applyNumberFormat="1" applyFont="1" applyFill="1" applyBorder="1" applyAlignment="1">
      <alignment horizontal="center" vertical="top"/>
    </xf>
    <xf numFmtId="3" fontId="1" fillId="6" borderId="11" xfId="0" applyNumberFormat="1" applyFont="1" applyFill="1" applyBorder="1" applyAlignment="1">
      <alignment horizontal="center" vertical="top" wrapText="1"/>
    </xf>
    <xf numFmtId="3" fontId="4" fillId="6" borderId="11" xfId="0" applyNumberFormat="1" applyFont="1" applyFill="1" applyBorder="1" applyAlignment="1">
      <alignment horizontal="center" vertical="top" wrapText="1"/>
    </xf>
    <xf numFmtId="164" fontId="2" fillId="5" borderId="56" xfId="0" applyNumberFormat="1" applyFont="1" applyFill="1" applyBorder="1" applyAlignment="1">
      <alignment horizontal="center" vertical="center"/>
    </xf>
    <xf numFmtId="3" fontId="1" fillId="6" borderId="14" xfId="1" applyNumberFormat="1" applyFont="1" applyFill="1" applyBorder="1" applyAlignment="1">
      <alignment horizontal="center" vertical="top"/>
    </xf>
    <xf numFmtId="164" fontId="2" fillId="5" borderId="24" xfId="0" applyNumberFormat="1" applyFont="1" applyFill="1" applyBorder="1" applyAlignment="1">
      <alignment horizontal="center" vertical="top"/>
    </xf>
    <xf numFmtId="164" fontId="2" fillId="4" borderId="56" xfId="0" applyNumberFormat="1" applyFont="1" applyFill="1" applyBorder="1" applyAlignment="1">
      <alignment horizontal="center" vertical="top"/>
    </xf>
    <xf numFmtId="164" fontId="2" fillId="3" borderId="56" xfId="0" applyNumberFormat="1" applyFont="1" applyFill="1" applyBorder="1" applyAlignment="1">
      <alignment horizontal="center" vertical="top"/>
    </xf>
    <xf numFmtId="164" fontId="1" fillId="6" borderId="60"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164" fontId="2" fillId="8" borderId="39" xfId="0" applyNumberFormat="1" applyFont="1" applyFill="1" applyBorder="1" applyAlignment="1">
      <alignment horizontal="center" vertical="top"/>
    </xf>
    <xf numFmtId="49" fontId="2" fillId="6" borderId="73" xfId="0" applyNumberFormat="1" applyFont="1" applyFill="1" applyBorder="1" applyAlignment="1">
      <alignment horizontal="left" vertical="top" wrapText="1"/>
    </xf>
    <xf numFmtId="3" fontId="2" fillId="5" borderId="58" xfId="0" applyNumberFormat="1" applyFont="1" applyFill="1" applyBorder="1" applyAlignment="1">
      <alignment horizontal="center" vertical="top"/>
    </xf>
    <xf numFmtId="49" fontId="2" fillId="6" borderId="49" xfId="0" applyNumberFormat="1" applyFont="1" applyFill="1" applyBorder="1" applyAlignment="1">
      <alignment horizontal="center" vertical="top"/>
    </xf>
    <xf numFmtId="3" fontId="2" fillId="6" borderId="31" xfId="0" applyNumberFormat="1" applyFont="1" applyFill="1" applyBorder="1" applyAlignment="1">
      <alignment vertical="top" wrapText="1"/>
    </xf>
    <xf numFmtId="3" fontId="1" fillId="0" borderId="49" xfId="0" applyNumberFormat="1" applyFont="1" applyFill="1" applyBorder="1" applyAlignment="1">
      <alignment horizontal="center" vertical="top" textRotation="90" wrapText="1"/>
    </xf>
    <xf numFmtId="164" fontId="2" fillId="5" borderId="5" xfId="0" applyNumberFormat="1" applyFont="1" applyFill="1" applyBorder="1" applyAlignment="1">
      <alignment horizontal="center" vertical="center"/>
    </xf>
    <xf numFmtId="3" fontId="2" fillId="0" borderId="7" xfId="0" applyNumberFormat="1" applyFont="1" applyBorder="1" applyAlignment="1">
      <alignment vertical="top"/>
    </xf>
    <xf numFmtId="3" fontId="1" fillId="0" borderId="7"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3" fontId="1" fillId="6" borderId="74" xfId="0" applyNumberFormat="1" applyFont="1" applyFill="1" applyBorder="1" applyAlignment="1">
      <alignment horizontal="center" vertical="top"/>
    </xf>
    <xf numFmtId="49" fontId="1" fillId="6" borderId="50" xfId="0" applyNumberFormat="1" applyFont="1" applyFill="1" applyBorder="1" applyAlignment="1">
      <alignment horizontal="center" vertical="top"/>
    </xf>
    <xf numFmtId="3" fontId="1" fillId="0" borderId="50"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xf>
    <xf numFmtId="49" fontId="1" fillId="7" borderId="50" xfId="0" applyNumberFormat="1" applyFont="1" applyFill="1" applyBorder="1" applyAlignment="1">
      <alignment horizontal="center" vertical="top"/>
    </xf>
    <xf numFmtId="3" fontId="1" fillId="6" borderId="80"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center" wrapText="1"/>
    </xf>
    <xf numFmtId="3" fontId="1" fillId="6" borderId="65"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0" fontId="1" fillId="6" borderId="81" xfId="0" applyFont="1" applyFill="1" applyBorder="1" applyAlignment="1">
      <alignment horizontal="center" vertical="top"/>
    </xf>
    <xf numFmtId="0" fontId="1" fillId="6" borderId="80" xfId="0" applyFont="1" applyFill="1" applyBorder="1" applyAlignment="1">
      <alignment horizontal="center" vertical="top"/>
    </xf>
    <xf numFmtId="0" fontId="1" fillId="6" borderId="13" xfId="0" applyFont="1" applyFill="1" applyBorder="1" applyAlignment="1">
      <alignment horizontal="center" vertical="top"/>
    </xf>
    <xf numFmtId="3" fontId="1" fillId="6" borderId="65" xfId="0" applyNumberFormat="1" applyFont="1" applyFill="1" applyBorder="1" applyAlignment="1">
      <alignment horizontal="center" vertical="top"/>
    </xf>
    <xf numFmtId="3" fontId="1" fillId="0" borderId="13" xfId="0" applyNumberFormat="1" applyFont="1" applyBorder="1" applyAlignment="1">
      <alignment horizontal="center" vertical="top"/>
    </xf>
    <xf numFmtId="49" fontId="1" fillId="6" borderId="50" xfId="0" applyNumberFormat="1" applyFont="1" applyFill="1" applyBorder="1" applyAlignment="1">
      <alignment horizontal="center" vertical="top" wrapText="1"/>
    </xf>
    <xf numFmtId="49" fontId="1" fillId="6" borderId="18"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xf>
    <xf numFmtId="3" fontId="1" fillId="0" borderId="8" xfId="0" applyNumberFormat="1" applyFont="1" applyFill="1" applyBorder="1" applyAlignment="1">
      <alignment vertical="top" wrapText="1"/>
    </xf>
    <xf numFmtId="3" fontId="1" fillId="0" borderId="88" xfId="0" applyNumberFormat="1" applyFont="1" applyFill="1" applyBorder="1" applyAlignment="1">
      <alignment vertical="top" wrapText="1"/>
    </xf>
    <xf numFmtId="0" fontId="1" fillId="6" borderId="13" xfId="0" applyFont="1" applyFill="1" applyBorder="1" applyAlignment="1">
      <alignment horizontal="center" vertical="top" wrapText="1"/>
    </xf>
    <xf numFmtId="3" fontId="1" fillId="6" borderId="74" xfId="0" applyNumberFormat="1" applyFont="1" applyFill="1" applyBorder="1" applyAlignment="1">
      <alignment horizontal="center" vertical="top" wrapText="1"/>
    </xf>
    <xf numFmtId="0" fontId="1" fillId="6" borderId="65" xfId="0" applyFont="1" applyFill="1" applyBorder="1" applyAlignment="1">
      <alignment horizontal="center" vertical="top" wrapText="1"/>
    </xf>
    <xf numFmtId="3" fontId="1" fillId="6" borderId="77" xfId="0" applyNumberFormat="1" applyFont="1" applyFill="1" applyBorder="1" applyAlignment="1">
      <alignment horizontal="left" vertical="top" wrapText="1"/>
    </xf>
    <xf numFmtId="3" fontId="1" fillId="6" borderId="50" xfId="0" applyNumberFormat="1" applyFont="1" applyFill="1" applyBorder="1" applyAlignment="1">
      <alignment horizontal="left" vertical="top" wrapText="1"/>
    </xf>
    <xf numFmtId="49" fontId="1" fillId="6" borderId="23" xfId="0" applyNumberFormat="1" applyFont="1" applyFill="1" applyBorder="1" applyAlignment="1">
      <alignment horizontal="center" vertical="top" textRotation="91" wrapText="1"/>
    </xf>
    <xf numFmtId="3" fontId="1" fillId="0" borderId="8" xfId="0" applyNumberFormat="1" applyFont="1" applyFill="1" applyBorder="1" applyAlignment="1">
      <alignment horizontal="left" vertical="top" wrapText="1"/>
    </xf>
    <xf numFmtId="3" fontId="1" fillId="6" borderId="2" xfId="0" applyNumberFormat="1" applyFont="1" applyFill="1" applyBorder="1" applyAlignment="1">
      <alignment horizontal="left" vertical="top" wrapText="1"/>
    </xf>
    <xf numFmtId="3" fontId="1" fillId="0" borderId="88" xfId="0" applyNumberFormat="1" applyFont="1" applyFill="1" applyBorder="1" applyAlignment="1">
      <alignment horizontal="left" vertical="top" wrapText="1"/>
    </xf>
    <xf numFmtId="0" fontId="1" fillId="6" borderId="50" xfId="0" applyFont="1" applyFill="1" applyBorder="1" applyAlignment="1">
      <alignment horizontal="center" vertical="top" wrapText="1"/>
    </xf>
    <xf numFmtId="0" fontId="1" fillId="6" borderId="74" xfId="0" applyFont="1" applyFill="1" applyBorder="1" applyAlignment="1">
      <alignment horizontal="center" vertical="top" wrapText="1"/>
    </xf>
    <xf numFmtId="164" fontId="1" fillId="6" borderId="13"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xf>
    <xf numFmtId="0" fontId="1" fillId="0" borderId="0" xfId="0" applyFont="1" applyFill="1" applyBorder="1" applyAlignment="1">
      <alignment vertical="top"/>
    </xf>
    <xf numFmtId="3" fontId="1" fillId="6" borderId="10"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0" borderId="44" xfId="0" applyNumberFormat="1" applyFont="1" applyBorder="1" applyAlignment="1">
      <alignment horizontal="center" vertical="top"/>
    </xf>
    <xf numFmtId="164" fontId="1" fillId="0" borderId="60" xfId="0" applyNumberFormat="1" applyFont="1" applyFill="1" applyBorder="1" applyAlignment="1">
      <alignment horizontal="center" vertical="top"/>
    </xf>
    <xf numFmtId="3" fontId="1" fillId="0" borderId="66" xfId="0" applyNumberFormat="1" applyFont="1" applyFill="1" applyBorder="1" applyAlignment="1">
      <alignment horizontal="center" vertical="top"/>
    </xf>
    <xf numFmtId="3" fontId="1" fillId="0" borderId="89" xfId="0" applyNumberFormat="1" applyFont="1" applyFill="1" applyBorder="1" applyAlignment="1">
      <alignment horizontal="center" vertical="top"/>
    </xf>
    <xf numFmtId="3" fontId="1" fillId="6" borderId="90" xfId="0" applyNumberFormat="1" applyFont="1" applyFill="1" applyBorder="1" applyAlignment="1">
      <alignment horizontal="center" vertical="top"/>
    </xf>
    <xf numFmtId="3" fontId="2" fillId="6" borderId="11" xfId="0" applyNumberFormat="1" applyFont="1" applyFill="1" applyBorder="1" applyAlignment="1">
      <alignment vertical="top" wrapText="1"/>
    </xf>
    <xf numFmtId="3" fontId="2" fillId="6" borderId="10" xfId="0" applyNumberFormat="1" applyFont="1" applyFill="1" applyBorder="1" applyAlignment="1">
      <alignment vertical="top" wrapText="1"/>
    </xf>
    <xf numFmtId="164" fontId="1" fillId="6" borderId="66"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3" fontId="1" fillId="0" borderId="92" xfId="0" applyNumberFormat="1" applyFont="1" applyBorder="1" applyAlignment="1">
      <alignment horizontal="center" vertical="top"/>
    </xf>
    <xf numFmtId="164" fontId="1" fillId="0" borderId="90" xfId="0" applyNumberFormat="1" applyFont="1" applyFill="1" applyBorder="1" applyAlignment="1">
      <alignment horizontal="center" vertical="top"/>
    </xf>
    <xf numFmtId="164" fontId="1" fillId="6" borderId="89" xfId="0" applyNumberFormat="1" applyFont="1" applyFill="1" applyBorder="1" applyAlignment="1">
      <alignment horizontal="center" vertical="top"/>
    </xf>
    <xf numFmtId="3" fontId="1" fillId="0" borderId="0" xfId="0" applyNumberFormat="1" applyFont="1" applyBorder="1" applyAlignment="1">
      <alignment horizontal="center" vertical="top"/>
    </xf>
    <xf numFmtId="3" fontId="1" fillId="0" borderId="0" xfId="0" applyNumberFormat="1" applyFont="1" applyBorder="1" applyAlignment="1">
      <alignment horizontal="right" vertical="top"/>
    </xf>
    <xf numFmtId="49" fontId="2" fillId="4" borderId="9" xfId="0" applyNumberFormat="1" applyFont="1" applyFill="1" applyBorder="1" applyAlignment="1">
      <alignment horizontal="center" vertical="top"/>
    </xf>
    <xf numFmtId="3" fontId="1" fillId="6" borderId="30" xfId="0" applyNumberFormat="1" applyFont="1" applyFill="1" applyBorder="1" applyAlignment="1">
      <alignment horizontal="left" vertical="top" wrapText="1"/>
    </xf>
    <xf numFmtId="3" fontId="11" fillId="6" borderId="36"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xf>
    <xf numFmtId="3" fontId="1" fillId="6" borderId="31" xfId="0" applyNumberFormat="1" applyFont="1" applyFill="1" applyBorder="1" applyAlignment="1">
      <alignment horizontal="left" vertical="top" wrapText="1"/>
    </xf>
    <xf numFmtId="3" fontId="1" fillId="6" borderId="10" xfId="0" applyNumberFormat="1" applyFont="1" applyFill="1" applyBorder="1" applyAlignment="1">
      <alignment vertical="top" wrapText="1"/>
    </xf>
    <xf numFmtId="3" fontId="2" fillId="6" borderId="34" xfId="0" applyNumberFormat="1" applyFont="1" applyFill="1" applyBorder="1" applyAlignment="1">
      <alignment horizontal="center" vertical="top" wrapText="1"/>
    </xf>
    <xf numFmtId="0" fontId="1" fillId="0" borderId="0" xfId="0" applyFont="1" applyAlignment="1">
      <alignment horizontal="center" vertical="top"/>
    </xf>
    <xf numFmtId="0" fontId="1" fillId="0" borderId="78" xfId="0" applyFont="1" applyBorder="1" applyAlignment="1">
      <alignment horizontal="center" vertical="center" textRotation="90"/>
    </xf>
    <xf numFmtId="0" fontId="1" fillId="0" borderId="93" xfId="0" applyFont="1" applyBorder="1" applyAlignment="1">
      <alignment horizontal="center" vertical="center" textRotation="90"/>
    </xf>
    <xf numFmtId="0" fontId="1" fillId="0" borderId="25" xfId="0" applyFont="1" applyBorder="1" applyAlignment="1">
      <alignment horizontal="center" vertical="center" textRotation="90"/>
    </xf>
    <xf numFmtId="3" fontId="1" fillId="6" borderId="60" xfId="0" applyNumberFormat="1" applyFont="1" applyFill="1" applyBorder="1" applyAlignment="1">
      <alignment vertical="top" wrapText="1"/>
    </xf>
    <xf numFmtId="3" fontId="1" fillId="6" borderId="89" xfId="0" applyNumberFormat="1" applyFont="1" applyFill="1" applyBorder="1" applyAlignment="1">
      <alignment horizontal="left" vertical="top" wrapText="1"/>
    </xf>
    <xf numFmtId="3" fontId="1" fillId="6" borderId="89" xfId="0" applyNumberFormat="1" applyFont="1" applyFill="1" applyBorder="1" applyAlignment="1">
      <alignment vertical="top" wrapText="1"/>
    </xf>
    <xf numFmtId="3" fontId="1" fillId="6" borderId="14" xfId="0" applyNumberFormat="1" applyFont="1" applyFill="1" applyBorder="1" applyAlignment="1">
      <alignment horizontal="left" vertical="top" wrapText="1"/>
    </xf>
    <xf numFmtId="3" fontId="1" fillId="6" borderId="44" xfId="0" applyNumberFormat="1" applyFont="1" applyFill="1" applyBorder="1" applyAlignment="1">
      <alignment horizontal="left" vertical="top" wrapText="1"/>
    </xf>
    <xf numFmtId="3" fontId="1" fillId="6" borderId="66" xfId="0" applyNumberFormat="1" applyFont="1" applyFill="1" applyBorder="1" applyAlignment="1">
      <alignment horizontal="left" vertical="top" wrapText="1"/>
    </xf>
    <xf numFmtId="3" fontId="1" fillId="6" borderId="14" xfId="0" applyNumberFormat="1" applyFont="1" applyFill="1" applyBorder="1" applyAlignment="1">
      <alignment vertical="top" wrapText="1"/>
    </xf>
    <xf numFmtId="0" fontId="1" fillId="6" borderId="44" xfId="0" applyFont="1" applyFill="1" applyBorder="1" applyAlignment="1">
      <alignment horizontal="left" vertical="top" wrapText="1"/>
    </xf>
    <xf numFmtId="3" fontId="11" fillId="6" borderId="39" xfId="0" applyNumberFormat="1" applyFont="1" applyFill="1" applyBorder="1" applyAlignment="1">
      <alignment vertical="top" wrapText="1"/>
    </xf>
    <xf numFmtId="3" fontId="1" fillId="6" borderId="29" xfId="0" applyNumberFormat="1" applyFont="1" applyFill="1" applyBorder="1" applyAlignment="1">
      <alignment vertical="top" wrapText="1"/>
    </xf>
    <xf numFmtId="164" fontId="1" fillId="0" borderId="65" xfId="0" applyNumberFormat="1" applyFont="1" applyFill="1" applyBorder="1" applyAlignment="1">
      <alignment horizontal="center" vertical="top"/>
    </xf>
    <xf numFmtId="164" fontId="1" fillId="0" borderId="96" xfId="0" applyNumberFormat="1" applyFont="1" applyFill="1" applyBorder="1" applyAlignment="1">
      <alignment horizontal="center" vertical="top"/>
    </xf>
    <xf numFmtId="164" fontId="1" fillId="0" borderId="98" xfId="0" applyNumberFormat="1" applyFont="1" applyFill="1" applyBorder="1" applyAlignment="1">
      <alignment horizontal="center" vertical="top"/>
    </xf>
    <xf numFmtId="164" fontId="1" fillId="0" borderId="97" xfId="0" applyNumberFormat="1" applyFont="1" applyFill="1" applyBorder="1" applyAlignment="1">
      <alignment horizontal="center" vertical="top"/>
    </xf>
    <xf numFmtId="49" fontId="1" fillId="7" borderId="30" xfId="0" applyNumberFormat="1" applyFont="1" applyFill="1" applyBorder="1" applyAlignment="1">
      <alignment horizontal="center" vertical="top"/>
    </xf>
    <xf numFmtId="3" fontId="1" fillId="6" borderId="9" xfId="0" applyNumberFormat="1" applyFont="1" applyFill="1" applyBorder="1" applyAlignment="1">
      <alignment horizontal="center" vertical="top"/>
    </xf>
    <xf numFmtId="49" fontId="1" fillId="6" borderId="30" xfId="0" applyNumberFormat="1" applyFont="1" applyFill="1" applyBorder="1" applyAlignment="1">
      <alignment horizontal="center" vertical="top"/>
    </xf>
    <xf numFmtId="3" fontId="1" fillId="0" borderId="30" xfId="0" applyNumberFormat="1" applyFont="1" applyFill="1" applyBorder="1" applyAlignment="1">
      <alignment horizontal="center" vertical="top" wrapText="1"/>
    </xf>
    <xf numFmtId="3" fontId="1" fillId="6" borderId="9" xfId="0" applyNumberFormat="1" applyFont="1" applyFill="1" applyBorder="1" applyAlignment="1">
      <alignment horizontal="center" vertical="top" wrapText="1"/>
    </xf>
    <xf numFmtId="3" fontId="1" fillId="6" borderId="30" xfId="0" applyNumberFormat="1" applyFont="1" applyFill="1" applyBorder="1" applyAlignment="1">
      <alignment horizontal="center" vertical="top"/>
    </xf>
    <xf numFmtId="49" fontId="1" fillId="6" borderId="78" xfId="0" applyNumberFormat="1" applyFont="1" applyFill="1" applyBorder="1" applyAlignment="1">
      <alignment horizontal="center" vertical="top" textRotation="91" wrapText="1"/>
    </xf>
    <xf numFmtId="49" fontId="1" fillId="7" borderId="31" xfId="0" applyNumberFormat="1" applyFont="1" applyFill="1" applyBorder="1" applyAlignment="1">
      <alignment horizontal="center" vertical="top"/>
    </xf>
    <xf numFmtId="3" fontId="1" fillId="6" borderId="10" xfId="0" applyNumberFormat="1" applyFont="1" applyFill="1" applyBorder="1" applyAlignment="1">
      <alignment horizontal="center" vertical="top"/>
    </xf>
    <xf numFmtId="49" fontId="1" fillId="6" borderId="31" xfId="0" applyNumberFormat="1" applyFont="1" applyFill="1" applyBorder="1" applyAlignment="1">
      <alignment horizontal="center" vertical="top"/>
    </xf>
    <xf numFmtId="3" fontId="1" fillId="0" borderId="31"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xf>
    <xf numFmtId="49" fontId="1" fillId="6" borderId="64" xfId="0" applyNumberFormat="1" applyFont="1" applyFill="1" applyBorder="1" applyAlignment="1">
      <alignment horizontal="center" vertical="top" textRotation="91" wrapText="1"/>
    </xf>
    <xf numFmtId="164" fontId="1" fillId="0" borderId="101" xfId="0" applyNumberFormat="1" applyFont="1" applyFill="1" applyBorder="1" applyAlignment="1">
      <alignment horizontal="center" vertical="top"/>
    </xf>
    <xf numFmtId="164" fontId="1" fillId="0" borderId="102" xfId="0" applyNumberFormat="1" applyFont="1" applyFill="1" applyBorder="1" applyAlignment="1">
      <alignment horizontal="center" vertical="top"/>
    </xf>
    <xf numFmtId="164" fontId="1" fillId="0" borderId="61" xfId="0" applyNumberFormat="1" applyFont="1" applyFill="1" applyBorder="1" applyAlignment="1">
      <alignment horizontal="center" vertical="top"/>
    </xf>
    <xf numFmtId="164" fontId="1" fillId="6" borderId="103" xfId="0" applyNumberFormat="1" applyFont="1" applyFill="1" applyBorder="1" applyAlignment="1">
      <alignment horizontal="center" vertical="top"/>
    </xf>
    <xf numFmtId="164" fontId="1" fillId="6" borderId="104" xfId="0" applyNumberFormat="1" applyFont="1" applyFill="1" applyBorder="1" applyAlignment="1">
      <alignment horizontal="center" vertical="top"/>
    </xf>
    <xf numFmtId="164" fontId="2" fillId="8" borderId="105" xfId="0" applyNumberFormat="1" applyFont="1" applyFill="1" applyBorder="1" applyAlignment="1">
      <alignment horizontal="center" vertical="top"/>
    </xf>
    <xf numFmtId="3" fontId="2" fillId="4" borderId="78" xfId="0" applyNumberFormat="1" applyFont="1" applyFill="1" applyBorder="1" applyAlignment="1">
      <alignment horizontal="center" vertical="top"/>
    </xf>
    <xf numFmtId="3" fontId="1" fillId="6" borderId="45" xfId="0" applyNumberFormat="1" applyFont="1" applyFill="1" applyBorder="1" applyAlignment="1">
      <alignment horizontal="center" vertical="top"/>
    </xf>
    <xf numFmtId="3" fontId="1" fillId="6" borderId="44" xfId="0" applyNumberFormat="1" applyFont="1" applyFill="1" applyBorder="1" applyAlignment="1">
      <alignment vertical="top" wrapText="1"/>
    </xf>
    <xf numFmtId="3" fontId="1" fillId="7" borderId="50" xfId="0" applyNumberFormat="1" applyFont="1" applyFill="1" applyBorder="1" applyAlignment="1">
      <alignment horizontal="center" vertical="top"/>
    </xf>
    <xf numFmtId="3" fontId="1" fillId="7" borderId="30"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164" fontId="2" fillId="5" borderId="76" xfId="0" applyNumberFormat="1" applyFont="1" applyFill="1" applyBorder="1" applyAlignment="1">
      <alignment horizontal="center" vertical="center"/>
    </xf>
    <xf numFmtId="164" fontId="2" fillId="5" borderId="106" xfId="0" applyNumberFormat="1" applyFont="1" applyFill="1" applyBorder="1" applyAlignment="1">
      <alignment horizontal="center" vertical="center"/>
    </xf>
    <xf numFmtId="164" fontId="1" fillId="6" borderId="65" xfId="0" applyNumberFormat="1" applyFont="1" applyFill="1" applyBorder="1" applyAlignment="1">
      <alignment horizontal="center" vertical="top"/>
    </xf>
    <xf numFmtId="164" fontId="1" fillId="6" borderId="79" xfId="0" applyNumberFormat="1" applyFont="1" applyFill="1" applyBorder="1" applyAlignment="1">
      <alignment horizontal="center" vertical="top"/>
    </xf>
    <xf numFmtId="164" fontId="1" fillId="6" borderId="74" xfId="0" applyNumberFormat="1" applyFont="1" applyFill="1" applyBorder="1" applyAlignment="1">
      <alignment horizontal="center" vertical="top"/>
    </xf>
    <xf numFmtId="164" fontId="1" fillId="6" borderId="107" xfId="0" applyNumberFormat="1" applyFont="1" applyFill="1" applyBorder="1" applyAlignment="1">
      <alignment horizontal="center" vertical="top"/>
    </xf>
    <xf numFmtId="164" fontId="1" fillId="6" borderId="87" xfId="0" applyNumberFormat="1" applyFont="1" applyFill="1" applyBorder="1" applyAlignment="1">
      <alignment horizontal="center" vertical="top"/>
    </xf>
    <xf numFmtId="3" fontId="1" fillId="6" borderId="107" xfId="0" applyNumberFormat="1" applyFont="1" applyFill="1" applyBorder="1" applyAlignment="1">
      <alignment horizontal="center" vertical="top" wrapText="1"/>
    </xf>
    <xf numFmtId="3" fontId="1" fillId="0" borderId="88" xfId="0" applyNumberFormat="1" applyFont="1" applyFill="1" applyBorder="1" applyAlignment="1">
      <alignment horizontal="center" vertical="top" wrapText="1"/>
    </xf>
    <xf numFmtId="3" fontId="1" fillId="6" borderId="79" xfId="0" applyNumberFormat="1" applyFont="1" applyFill="1" applyBorder="1" applyAlignment="1">
      <alignment horizontal="center" vertical="top" wrapText="1"/>
    </xf>
    <xf numFmtId="3" fontId="1" fillId="6" borderId="30" xfId="0" applyNumberFormat="1" applyFont="1" applyFill="1" applyBorder="1" applyAlignment="1">
      <alignment horizontal="center" vertical="top" wrapText="1"/>
    </xf>
    <xf numFmtId="3" fontId="1" fillId="6" borderId="79" xfId="0" applyNumberFormat="1" applyFont="1" applyFill="1" applyBorder="1" applyAlignment="1">
      <alignment horizontal="center" vertical="center" wrapText="1"/>
    </xf>
    <xf numFmtId="3" fontId="1" fillId="6" borderId="9" xfId="0" applyNumberFormat="1" applyFont="1" applyFill="1" applyBorder="1" applyAlignment="1">
      <alignment horizontal="center" vertical="center" wrapText="1"/>
    </xf>
    <xf numFmtId="3" fontId="1" fillId="6" borderId="27" xfId="0" applyNumberFormat="1" applyFont="1" applyFill="1" applyBorder="1" applyAlignment="1">
      <alignment horizontal="center" vertical="top" wrapText="1"/>
    </xf>
    <xf numFmtId="3" fontId="1" fillId="6" borderId="85" xfId="0" applyNumberFormat="1" applyFont="1" applyFill="1" applyBorder="1" applyAlignment="1">
      <alignment horizontal="center" vertical="top" wrapText="1"/>
    </xf>
    <xf numFmtId="3" fontId="1" fillId="6" borderId="87" xfId="0" applyNumberFormat="1" applyFont="1" applyFill="1" applyBorder="1" applyAlignment="1">
      <alignment horizontal="center" vertical="top" wrapText="1"/>
    </xf>
    <xf numFmtId="3" fontId="1" fillId="0" borderId="42"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center" wrapText="1"/>
    </xf>
    <xf numFmtId="3" fontId="1" fillId="6" borderId="10" xfId="0" applyNumberFormat="1" applyFont="1" applyFill="1" applyBorder="1" applyAlignment="1">
      <alignment horizontal="center" vertical="center" wrapText="1"/>
    </xf>
    <xf numFmtId="3" fontId="1" fillId="6" borderId="28" xfId="0" applyNumberFormat="1" applyFont="1" applyFill="1" applyBorder="1" applyAlignment="1">
      <alignment horizontal="center" vertical="top" wrapText="1"/>
    </xf>
    <xf numFmtId="3" fontId="1" fillId="6" borderId="71" xfId="0" applyNumberFormat="1" applyFont="1" applyFill="1" applyBorder="1" applyAlignment="1">
      <alignment horizontal="center" vertical="top" wrapText="1"/>
    </xf>
    <xf numFmtId="3" fontId="1" fillId="6" borderId="67" xfId="0" applyNumberFormat="1" applyFont="1" applyFill="1" applyBorder="1" applyAlignment="1">
      <alignment horizontal="center" vertical="top" wrapText="1"/>
    </xf>
    <xf numFmtId="3" fontId="1" fillId="6" borderId="68" xfId="0" applyNumberFormat="1" applyFont="1" applyFill="1" applyBorder="1" applyAlignment="1">
      <alignment horizontal="center" vertical="top" wrapText="1"/>
    </xf>
    <xf numFmtId="164" fontId="1" fillId="6" borderId="100" xfId="0" applyNumberFormat="1" applyFont="1" applyFill="1" applyBorder="1" applyAlignment="1">
      <alignment horizontal="center" vertical="top"/>
    </xf>
    <xf numFmtId="164" fontId="1" fillId="6" borderId="108" xfId="0" applyNumberFormat="1" applyFont="1" applyFill="1" applyBorder="1" applyAlignment="1">
      <alignment horizontal="center" vertical="top"/>
    </xf>
    <xf numFmtId="164" fontId="2" fillId="8" borderId="94" xfId="0" applyNumberFormat="1" applyFont="1" applyFill="1" applyBorder="1" applyAlignment="1">
      <alignment horizontal="center" vertical="top"/>
    </xf>
    <xf numFmtId="164" fontId="2" fillId="5" borderId="54" xfId="0" applyNumberFormat="1" applyFont="1" applyFill="1" applyBorder="1" applyAlignment="1">
      <alignment horizontal="center" vertical="center"/>
    </xf>
    <xf numFmtId="164" fontId="1" fillId="6" borderId="41" xfId="0" applyNumberFormat="1" applyFont="1" applyFill="1" applyBorder="1" applyAlignment="1">
      <alignment horizontal="center" vertical="top"/>
    </xf>
    <xf numFmtId="164" fontId="1" fillId="6" borderId="29" xfId="0" applyNumberFormat="1" applyFont="1" applyFill="1" applyBorder="1" applyAlignment="1">
      <alignment horizontal="center" vertical="top"/>
    </xf>
    <xf numFmtId="0" fontId="1" fillId="6" borderId="29" xfId="0" applyFont="1" applyFill="1" applyBorder="1" applyAlignment="1">
      <alignment vertical="top" wrapText="1"/>
    </xf>
    <xf numFmtId="3" fontId="1" fillId="6" borderId="92" xfId="0" applyNumberFormat="1" applyFont="1" applyFill="1" applyBorder="1" applyAlignment="1">
      <alignment vertical="top" wrapText="1"/>
    </xf>
    <xf numFmtId="3" fontId="1" fillId="6" borderId="66" xfId="0" applyNumberFormat="1" applyFont="1" applyFill="1" applyBorder="1" applyAlignment="1">
      <alignment vertical="top" wrapText="1"/>
    </xf>
    <xf numFmtId="3" fontId="12" fillId="6" borderId="39" xfId="0" applyNumberFormat="1" applyFont="1" applyFill="1" applyBorder="1" applyAlignment="1">
      <alignment horizontal="left" wrapText="1"/>
    </xf>
    <xf numFmtId="49" fontId="1" fillId="6" borderId="30" xfId="0" applyNumberFormat="1" applyFont="1" applyFill="1" applyBorder="1" applyAlignment="1">
      <alignment horizontal="center" vertical="top" wrapText="1"/>
    </xf>
    <xf numFmtId="3" fontId="1" fillId="0" borderId="88" xfId="0" applyNumberFormat="1" applyFont="1" applyFill="1" applyBorder="1" applyAlignment="1">
      <alignment horizontal="center" vertical="top"/>
    </xf>
    <xf numFmtId="3" fontId="1" fillId="6" borderId="79" xfId="0" applyNumberFormat="1" applyFont="1" applyFill="1" applyBorder="1" applyAlignment="1">
      <alignment horizontal="center" vertical="top"/>
    </xf>
    <xf numFmtId="3" fontId="1" fillId="0" borderId="42" xfId="0" applyNumberFormat="1" applyFont="1" applyFill="1" applyBorder="1" applyAlignment="1">
      <alignment vertical="top" wrapText="1"/>
    </xf>
    <xf numFmtId="49" fontId="1" fillId="6" borderId="31" xfId="0" applyNumberFormat="1" applyFont="1" applyFill="1" applyBorder="1" applyAlignment="1">
      <alignment horizontal="center" vertical="top" wrapText="1"/>
    </xf>
    <xf numFmtId="49" fontId="1" fillId="6" borderId="28" xfId="0" applyNumberFormat="1" applyFont="1" applyFill="1" applyBorder="1" applyAlignment="1">
      <alignment horizontal="center" vertical="top" wrapText="1"/>
    </xf>
    <xf numFmtId="3" fontId="1" fillId="0" borderId="42" xfId="0" applyNumberFormat="1" applyFont="1" applyFill="1" applyBorder="1" applyAlignment="1">
      <alignment horizontal="center" vertical="top"/>
    </xf>
    <xf numFmtId="3" fontId="1" fillId="6" borderId="33" xfId="0" applyNumberFormat="1" applyFont="1" applyFill="1" applyBorder="1" applyAlignment="1">
      <alignment horizontal="center" vertical="top"/>
    </xf>
    <xf numFmtId="0" fontId="1" fillId="6" borderId="96" xfId="0" applyFont="1" applyFill="1" applyBorder="1" applyAlignment="1">
      <alignment horizontal="center" vertical="top"/>
    </xf>
    <xf numFmtId="0" fontId="1" fillId="6" borderId="71" xfId="0" applyFont="1" applyFill="1" applyBorder="1" applyAlignment="1">
      <alignment horizontal="center" vertical="top"/>
    </xf>
    <xf numFmtId="164" fontId="1" fillId="6" borderId="32" xfId="0" applyNumberFormat="1" applyFont="1" applyFill="1" applyBorder="1" applyAlignment="1">
      <alignment horizontal="center" vertical="top"/>
    </xf>
    <xf numFmtId="164" fontId="1" fillId="6" borderId="30" xfId="0" applyNumberFormat="1" applyFont="1" applyFill="1" applyBorder="1" applyAlignment="1">
      <alignment horizontal="center" vertical="top"/>
    </xf>
    <xf numFmtId="164" fontId="2" fillId="8" borderId="46" xfId="0" applyNumberFormat="1" applyFont="1" applyFill="1" applyBorder="1" applyAlignment="1">
      <alignment horizontal="center" vertical="top"/>
    </xf>
    <xf numFmtId="3" fontId="1" fillId="6" borderId="84" xfId="0" applyNumberFormat="1" applyFont="1" applyFill="1" applyBorder="1" applyAlignment="1">
      <alignment horizontal="center" vertical="top" wrapText="1"/>
    </xf>
    <xf numFmtId="0" fontId="1" fillId="6" borderId="79" xfId="0" applyFont="1" applyFill="1" applyBorder="1" applyAlignment="1">
      <alignment horizontal="center" vertical="top" wrapText="1"/>
    </xf>
    <xf numFmtId="3" fontId="1" fillId="6" borderId="96" xfId="0" applyNumberFormat="1" applyFont="1" applyFill="1" applyBorder="1" applyAlignment="1">
      <alignment horizontal="center" vertical="top" wrapText="1"/>
    </xf>
    <xf numFmtId="0" fontId="1" fillId="6" borderId="33" xfId="0" applyFont="1" applyFill="1" applyBorder="1" applyAlignment="1">
      <alignment horizontal="center" vertical="top" wrapText="1"/>
    </xf>
    <xf numFmtId="0" fontId="1" fillId="6" borderId="10" xfId="0" applyFont="1" applyFill="1" applyBorder="1" applyAlignment="1">
      <alignment horizontal="center" vertical="top" wrapText="1"/>
    </xf>
    <xf numFmtId="164" fontId="1" fillId="6" borderId="93"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49" fontId="1" fillId="6" borderId="19" xfId="0" applyNumberFormat="1" applyFont="1" applyFill="1" applyBorder="1" applyAlignment="1">
      <alignment horizontal="center" vertical="top" textRotation="91" wrapText="1"/>
    </xf>
    <xf numFmtId="3" fontId="1" fillId="6" borderId="3" xfId="0" applyNumberFormat="1" applyFont="1" applyFill="1" applyBorder="1" applyAlignment="1">
      <alignment horizontal="left" vertical="top" wrapText="1"/>
    </xf>
    <xf numFmtId="49" fontId="1" fillId="6" borderId="20" xfId="0" applyNumberFormat="1" applyFont="1" applyFill="1" applyBorder="1" applyAlignment="1">
      <alignment horizontal="center" vertical="top" textRotation="91" wrapText="1"/>
    </xf>
    <xf numFmtId="164" fontId="1" fillId="6" borderId="72" xfId="0" applyNumberFormat="1" applyFont="1" applyFill="1" applyBorder="1" applyAlignment="1">
      <alignment horizontal="center" vertical="top"/>
    </xf>
    <xf numFmtId="164" fontId="2" fillId="6" borderId="75" xfId="0" applyNumberFormat="1" applyFont="1" applyFill="1" applyBorder="1" applyAlignment="1">
      <alignment horizontal="center" vertical="top"/>
    </xf>
    <xf numFmtId="164" fontId="2" fillId="6" borderId="45" xfId="0" applyNumberFormat="1" applyFont="1" applyFill="1" applyBorder="1" applyAlignment="1">
      <alignment horizontal="center" vertical="top"/>
    </xf>
    <xf numFmtId="164" fontId="2" fillId="6" borderId="5" xfId="0" applyNumberFormat="1" applyFont="1" applyFill="1" applyBorder="1" applyAlignment="1">
      <alignment horizontal="center" vertical="top"/>
    </xf>
    <xf numFmtId="164" fontId="2" fillId="6" borderId="44" xfId="0" applyNumberFormat="1" applyFont="1" applyFill="1" applyBorder="1" applyAlignment="1">
      <alignment horizontal="center" vertical="top"/>
    </xf>
    <xf numFmtId="0" fontId="11" fillId="6" borderId="39" xfId="0" applyFont="1" applyFill="1" applyBorder="1" applyAlignment="1">
      <alignment vertical="top"/>
    </xf>
    <xf numFmtId="3" fontId="1" fillId="6" borderId="5" xfId="0" applyNumberFormat="1" applyFont="1" applyFill="1" applyBorder="1" applyAlignment="1">
      <alignment horizontal="left" vertical="top" wrapText="1"/>
    </xf>
    <xf numFmtId="0" fontId="11" fillId="6" borderId="39" xfId="0" applyFont="1" applyFill="1" applyBorder="1" applyAlignment="1"/>
    <xf numFmtId="0" fontId="1" fillId="6" borderId="69" xfId="0" applyFont="1" applyFill="1" applyBorder="1" applyAlignment="1">
      <alignment horizontal="left" vertical="top" wrapText="1"/>
    </xf>
    <xf numFmtId="0" fontId="1" fillId="6" borderId="89" xfId="0" applyFont="1" applyFill="1" applyBorder="1" applyAlignment="1">
      <alignment horizontal="left" vertical="top" wrapText="1"/>
    </xf>
    <xf numFmtId="3" fontId="1" fillId="0" borderId="41" xfId="0" applyNumberFormat="1" applyFont="1" applyFill="1" applyBorder="1" applyAlignment="1">
      <alignment horizontal="left" wrapText="1"/>
    </xf>
    <xf numFmtId="3" fontId="1" fillId="0" borderId="41" xfId="0" applyNumberFormat="1" applyFont="1" applyFill="1" applyBorder="1" applyAlignment="1">
      <alignment vertical="top" wrapText="1"/>
    </xf>
    <xf numFmtId="164" fontId="2" fillId="4" borderId="55" xfId="0" applyNumberFormat="1" applyFont="1" applyFill="1" applyBorder="1" applyAlignment="1">
      <alignment horizontal="center" vertical="top"/>
    </xf>
    <xf numFmtId="164" fontId="2" fillId="3" borderId="55" xfId="0" applyNumberFormat="1" applyFont="1" applyFill="1" applyBorder="1" applyAlignment="1">
      <alignment horizontal="center" vertical="top"/>
    </xf>
    <xf numFmtId="164" fontId="2" fillId="6" borderId="41" xfId="0" applyNumberFormat="1" applyFont="1" applyFill="1" applyBorder="1" applyAlignment="1">
      <alignment horizontal="center" vertical="top"/>
    </xf>
    <xf numFmtId="164" fontId="2" fillId="8" borderId="24" xfId="0" applyNumberFormat="1" applyFont="1" applyFill="1" applyBorder="1" applyAlignment="1">
      <alignment horizontal="center" vertical="top"/>
    </xf>
    <xf numFmtId="0" fontId="11" fillId="6" borderId="24" xfId="0" applyFont="1" applyFill="1" applyBorder="1" applyAlignment="1"/>
    <xf numFmtId="0" fontId="1" fillId="6" borderId="60" xfId="0" applyFont="1" applyFill="1" applyBorder="1" applyAlignment="1">
      <alignment vertical="top" wrapText="1"/>
    </xf>
    <xf numFmtId="3" fontId="1" fillId="0" borderId="41" xfId="0" applyNumberFormat="1" applyFont="1" applyFill="1" applyBorder="1" applyAlignment="1">
      <alignment horizontal="left" vertical="top" wrapText="1"/>
    </xf>
    <xf numFmtId="164" fontId="2" fillId="5" borderId="57" xfId="0" applyNumberFormat="1" applyFont="1" applyFill="1" applyBorder="1" applyAlignment="1">
      <alignment horizontal="center" vertical="center"/>
    </xf>
    <xf numFmtId="164" fontId="2" fillId="5" borderId="23" xfId="0" applyNumberFormat="1" applyFont="1" applyFill="1" applyBorder="1" applyAlignment="1">
      <alignment horizontal="center" vertical="top"/>
    </xf>
    <xf numFmtId="164" fontId="2" fillId="8" borderId="78" xfId="0" applyNumberFormat="1" applyFont="1" applyFill="1" applyBorder="1" applyAlignment="1">
      <alignment horizontal="center" vertical="top"/>
    </xf>
    <xf numFmtId="164" fontId="2" fillId="5" borderId="19" xfId="0" applyNumberFormat="1" applyFont="1" applyFill="1" applyBorder="1" applyAlignment="1">
      <alignment horizontal="center" vertical="top"/>
    </xf>
    <xf numFmtId="164" fontId="2" fillId="4" borderId="52" xfId="0" applyNumberFormat="1" applyFont="1" applyFill="1" applyBorder="1" applyAlignment="1">
      <alignment horizontal="center" vertical="top"/>
    </xf>
    <xf numFmtId="164" fontId="2" fillId="3" borderId="52" xfId="0" applyNumberFormat="1" applyFont="1" applyFill="1" applyBorder="1" applyAlignment="1">
      <alignment horizontal="center" vertical="top"/>
    </xf>
    <xf numFmtId="164" fontId="2" fillId="5" borderId="20" xfId="0" applyNumberFormat="1" applyFont="1" applyFill="1" applyBorder="1" applyAlignment="1">
      <alignment horizontal="center" vertical="top"/>
    </xf>
    <xf numFmtId="164" fontId="2" fillId="4" borderId="53" xfId="0" applyNumberFormat="1" applyFont="1" applyFill="1" applyBorder="1" applyAlignment="1">
      <alignment horizontal="center" vertical="top"/>
    </xf>
    <xf numFmtId="164" fontId="2" fillId="3" borderId="53" xfId="0" applyNumberFormat="1" applyFont="1" applyFill="1" applyBorder="1" applyAlignment="1">
      <alignment horizontal="center" vertical="top"/>
    </xf>
    <xf numFmtId="164" fontId="1" fillId="6" borderId="9" xfId="0" applyNumberFormat="1" applyFont="1" applyFill="1" applyBorder="1" applyAlignment="1">
      <alignment horizontal="center" vertical="top" wrapText="1"/>
    </xf>
    <xf numFmtId="0" fontId="1" fillId="6" borderId="30" xfId="0" applyFont="1" applyFill="1" applyBorder="1" applyAlignment="1">
      <alignment horizontal="center" vertical="top" wrapText="1"/>
    </xf>
    <xf numFmtId="3" fontId="1" fillId="0" borderId="42" xfId="0" applyNumberFormat="1" applyFont="1" applyFill="1" applyBorder="1" applyAlignment="1">
      <alignment horizontal="left" vertical="top" wrapText="1"/>
    </xf>
    <xf numFmtId="164" fontId="1" fillId="6" borderId="10" xfId="0" applyNumberFormat="1" applyFont="1" applyFill="1" applyBorder="1" applyAlignment="1">
      <alignment horizontal="center" vertical="top" wrapText="1"/>
    </xf>
    <xf numFmtId="0" fontId="20" fillId="0" borderId="0" xfId="0" applyFont="1" applyFill="1" applyAlignment="1">
      <alignment vertical="top"/>
    </xf>
    <xf numFmtId="0" fontId="20" fillId="7" borderId="0" xfId="0" applyFont="1" applyFill="1" applyAlignment="1">
      <alignment vertical="top"/>
    </xf>
    <xf numFmtId="0" fontId="17" fillId="0" borderId="57" xfId="0" applyFont="1" applyBorder="1" applyAlignment="1">
      <alignment horizontal="center" vertical="center" textRotation="90" wrapText="1"/>
    </xf>
    <xf numFmtId="0" fontId="17" fillId="0" borderId="52" xfId="0" applyFont="1" applyBorder="1" applyAlignment="1">
      <alignment horizontal="center" vertical="center" textRotation="90" wrapText="1"/>
    </xf>
    <xf numFmtId="0" fontId="17" fillId="0" borderId="53" xfId="0" applyFont="1" applyBorder="1" applyAlignment="1">
      <alignment horizontal="center" vertical="center" textRotation="90" wrapText="1"/>
    </xf>
    <xf numFmtId="0" fontId="17" fillId="0" borderId="55" xfId="0" applyFont="1" applyBorder="1" applyAlignment="1">
      <alignment horizontal="center" vertical="center" textRotation="90" wrapText="1"/>
    </xf>
    <xf numFmtId="164" fontId="2" fillId="3" borderId="8" xfId="0" applyNumberFormat="1" applyFont="1" applyFill="1" applyBorder="1" applyAlignment="1">
      <alignment horizontal="center" vertical="top" wrapText="1"/>
    </xf>
    <xf numFmtId="164" fontId="2" fillId="8" borderId="18" xfId="0" applyNumberFormat="1" applyFont="1" applyFill="1" applyBorder="1" applyAlignment="1">
      <alignment horizontal="center" vertical="top" wrapText="1"/>
    </xf>
    <xf numFmtId="164" fontId="1" fillId="0" borderId="18" xfId="0" applyNumberFormat="1" applyFont="1" applyBorder="1" applyAlignment="1">
      <alignment horizontal="center" vertical="top" wrapText="1"/>
    </xf>
    <xf numFmtId="164" fontId="1" fillId="6" borderId="18" xfId="0" applyNumberFormat="1" applyFont="1" applyFill="1" applyBorder="1" applyAlignment="1">
      <alignment horizontal="center" vertical="top" wrapText="1"/>
    </xf>
    <xf numFmtId="164" fontId="1" fillId="8" borderId="18" xfId="0" applyNumberFormat="1" applyFont="1" applyFill="1" applyBorder="1" applyAlignment="1">
      <alignment horizontal="center" vertical="top" wrapText="1"/>
    </xf>
    <xf numFmtId="164" fontId="2" fillId="3" borderId="18" xfId="0" applyNumberFormat="1" applyFont="1" applyFill="1" applyBorder="1" applyAlignment="1">
      <alignment horizontal="center" vertical="top" wrapText="1"/>
    </xf>
    <xf numFmtId="164" fontId="2" fillId="3" borderId="88" xfId="0" applyNumberFormat="1" applyFont="1" applyFill="1" applyBorder="1" applyAlignment="1">
      <alignment horizontal="center" vertical="top" wrapText="1"/>
    </xf>
    <xf numFmtId="164" fontId="2" fillId="8" borderId="27" xfId="0" applyNumberFormat="1" applyFont="1" applyFill="1" applyBorder="1" applyAlignment="1">
      <alignment horizontal="center" vertical="top" wrapText="1"/>
    </xf>
    <xf numFmtId="164" fontId="1" fillId="0" borderId="27" xfId="0" applyNumberFormat="1" applyFont="1" applyBorder="1" applyAlignment="1">
      <alignment horizontal="center" vertical="top" wrapText="1"/>
    </xf>
    <xf numFmtId="164" fontId="1" fillId="6" borderId="27" xfId="0" applyNumberFormat="1" applyFont="1" applyFill="1" applyBorder="1" applyAlignment="1">
      <alignment horizontal="center" vertical="top" wrapText="1"/>
    </xf>
    <xf numFmtId="164" fontId="1" fillId="8" borderId="27" xfId="0" applyNumberFormat="1" applyFont="1" applyFill="1" applyBorder="1" applyAlignment="1">
      <alignment horizontal="center" vertical="top" wrapText="1"/>
    </xf>
    <xf numFmtId="164" fontId="2" fillId="3" borderId="27" xfId="0" applyNumberFormat="1" applyFont="1" applyFill="1" applyBorder="1" applyAlignment="1">
      <alignment horizontal="center" vertical="top" wrapText="1"/>
    </xf>
    <xf numFmtId="164" fontId="2" fillId="8" borderId="46" xfId="0" applyNumberFormat="1" applyFont="1" applyFill="1" applyBorder="1" applyAlignment="1">
      <alignment horizontal="center" vertical="top" wrapText="1"/>
    </xf>
    <xf numFmtId="164" fontId="2" fillId="3" borderId="72" xfId="0" applyNumberFormat="1" applyFont="1" applyFill="1" applyBorder="1" applyAlignment="1">
      <alignment horizontal="center" vertical="top" wrapText="1"/>
    </xf>
    <xf numFmtId="164" fontId="2" fillId="8" borderId="100" xfId="0" applyNumberFormat="1" applyFont="1" applyFill="1" applyBorder="1" applyAlignment="1">
      <alignment horizontal="center" vertical="top" wrapText="1"/>
    </xf>
    <xf numFmtId="164" fontId="1" fillId="0" borderId="100" xfId="0" applyNumberFormat="1" applyFont="1" applyBorder="1" applyAlignment="1">
      <alignment horizontal="center" vertical="top" wrapText="1"/>
    </xf>
    <xf numFmtId="164" fontId="1" fillId="6" borderId="100" xfId="0" applyNumberFormat="1" applyFont="1" applyFill="1" applyBorder="1" applyAlignment="1">
      <alignment horizontal="center" vertical="top" wrapText="1"/>
    </xf>
    <xf numFmtId="164" fontId="1" fillId="8" borderId="100" xfId="0" applyNumberFormat="1" applyFont="1" applyFill="1" applyBorder="1" applyAlignment="1">
      <alignment horizontal="center" vertical="top" wrapText="1"/>
    </xf>
    <xf numFmtId="164" fontId="2" fillId="3" borderId="100" xfId="0" applyNumberFormat="1" applyFont="1" applyFill="1" applyBorder="1" applyAlignment="1">
      <alignment horizontal="center" vertical="top" wrapText="1"/>
    </xf>
    <xf numFmtId="164" fontId="2" fillId="8" borderId="78" xfId="0" applyNumberFormat="1" applyFont="1" applyFill="1" applyBorder="1" applyAlignment="1">
      <alignment horizontal="center" vertical="top" wrapText="1"/>
    </xf>
    <xf numFmtId="164" fontId="2" fillId="8" borderId="105" xfId="0" applyNumberFormat="1" applyFont="1" applyFill="1" applyBorder="1" applyAlignment="1">
      <alignment horizontal="center" vertical="top" wrapText="1"/>
    </xf>
    <xf numFmtId="164" fontId="1" fillId="6" borderId="63" xfId="0" applyNumberFormat="1" applyFont="1" applyFill="1" applyBorder="1" applyAlignment="1">
      <alignment horizontal="center" vertical="top"/>
    </xf>
    <xf numFmtId="3" fontId="1" fillId="6" borderId="109" xfId="0" applyNumberFormat="1" applyFont="1" applyFill="1" applyBorder="1" applyAlignment="1">
      <alignment vertical="top" wrapText="1"/>
    </xf>
    <xf numFmtId="3" fontId="1" fillId="6" borderId="89" xfId="0" applyNumberFormat="1" applyFont="1" applyFill="1" applyBorder="1" applyAlignment="1">
      <alignment horizontal="center" vertical="top" wrapText="1"/>
    </xf>
    <xf numFmtId="3" fontId="1" fillId="6" borderId="48" xfId="0" applyNumberFormat="1" applyFont="1" applyFill="1" applyBorder="1" applyAlignment="1">
      <alignment horizontal="center" vertical="top" wrapText="1"/>
    </xf>
    <xf numFmtId="3" fontId="1" fillId="6" borderId="110" xfId="0" applyNumberFormat="1" applyFont="1" applyFill="1" applyBorder="1" applyAlignment="1">
      <alignment horizontal="center" vertical="top" wrapText="1"/>
    </xf>
    <xf numFmtId="49" fontId="1" fillId="6" borderId="105" xfId="0" applyNumberFormat="1" applyFont="1" applyFill="1" applyBorder="1" applyAlignment="1">
      <alignment horizontal="center" vertical="top" textRotation="91" wrapText="1"/>
    </xf>
    <xf numFmtId="3" fontId="1" fillId="6" borderId="92" xfId="0" applyNumberFormat="1" applyFont="1" applyFill="1" applyBorder="1" applyAlignment="1">
      <alignment horizontal="center" vertical="top" wrapText="1"/>
    </xf>
    <xf numFmtId="49" fontId="1" fillId="6" borderId="39" xfId="0" applyNumberFormat="1" applyFont="1" applyFill="1" applyBorder="1" applyAlignment="1">
      <alignment horizontal="center" vertical="top" textRotation="91" wrapText="1"/>
    </xf>
    <xf numFmtId="0" fontId="1" fillId="6" borderId="28" xfId="0" applyFont="1" applyFill="1" applyBorder="1" applyAlignment="1">
      <alignment horizontal="left" vertical="top" wrapText="1"/>
    </xf>
    <xf numFmtId="164" fontId="1" fillId="6" borderId="36" xfId="0" applyNumberFormat="1" applyFont="1" applyFill="1" applyBorder="1" applyAlignment="1">
      <alignment horizontal="center" vertical="top"/>
    </xf>
    <xf numFmtId="49" fontId="1" fillId="6" borderId="91" xfId="0" applyNumberFormat="1" applyFont="1" applyFill="1" applyBorder="1" applyAlignment="1">
      <alignment horizontal="center" vertical="top" wrapText="1"/>
    </xf>
    <xf numFmtId="0" fontId="1" fillId="6" borderId="87" xfId="0" applyFont="1" applyFill="1" applyBorder="1" applyAlignment="1">
      <alignment horizontal="center" vertical="top" wrapText="1"/>
    </xf>
    <xf numFmtId="0" fontId="1" fillId="6" borderId="63" xfId="0" applyFont="1" applyFill="1" applyBorder="1" applyAlignment="1">
      <alignment horizontal="center" vertical="top" wrapText="1"/>
    </xf>
    <xf numFmtId="3" fontId="1" fillId="6" borderId="90" xfId="0" applyNumberFormat="1" applyFont="1" applyFill="1" applyBorder="1" applyAlignment="1">
      <alignment horizontal="center" vertical="top" wrapText="1"/>
    </xf>
    <xf numFmtId="49" fontId="1" fillId="6" borderId="25" xfId="0" applyNumberFormat="1" applyFont="1" applyFill="1" applyBorder="1" applyAlignment="1">
      <alignment horizontal="center" vertical="top" textRotation="91" wrapText="1"/>
    </xf>
    <xf numFmtId="0" fontId="11" fillId="6" borderId="20" xfId="0" applyFont="1" applyFill="1" applyBorder="1" applyAlignment="1"/>
    <xf numFmtId="166" fontId="1" fillId="6" borderId="85" xfId="0" applyNumberFormat="1" applyFont="1" applyFill="1" applyBorder="1" applyAlignment="1">
      <alignment horizontal="center" vertical="top" wrapText="1"/>
    </xf>
    <xf numFmtId="166" fontId="1" fillId="6" borderId="67" xfId="0" applyNumberFormat="1" applyFont="1" applyFill="1" applyBorder="1" applyAlignment="1">
      <alignment horizontal="center" vertical="top" wrapText="1"/>
    </xf>
    <xf numFmtId="0" fontId="1" fillId="0" borderId="90" xfId="0" applyFont="1" applyBorder="1" applyAlignment="1">
      <alignment vertical="top" wrapText="1"/>
    </xf>
    <xf numFmtId="0" fontId="1" fillId="6" borderId="90" xfId="0" applyFont="1" applyFill="1" applyBorder="1" applyAlignment="1">
      <alignment horizontal="center" vertical="top" wrapText="1"/>
    </xf>
    <xf numFmtId="0" fontId="1" fillId="6" borderId="99" xfId="0" applyFont="1" applyFill="1" applyBorder="1" applyAlignment="1">
      <alignment horizontal="center" vertical="top" wrapText="1"/>
    </xf>
    <xf numFmtId="3" fontId="2" fillId="6" borderId="11"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14" xfId="0" applyNumberFormat="1" applyFont="1" applyFill="1" applyBorder="1" applyAlignment="1">
      <alignment horizontal="left" vertical="top" wrapText="1"/>
    </xf>
    <xf numFmtId="3" fontId="2" fillId="6" borderId="33" xfId="0" applyNumberFormat="1" applyFont="1" applyFill="1" applyBorder="1" applyAlignment="1">
      <alignment horizontal="center" vertical="top" wrapText="1"/>
    </xf>
    <xf numFmtId="3" fontId="1" fillId="6" borderId="33"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3" fontId="1" fillId="6" borderId="31" xfId="0" applyNumberFormat="1" applyFont="1" applyFill="1" applyBorder="1" applyAlignment="1">
      <alignment vertical="top" wrapText="1"/>
    </xf>
    <xf numFmtId="3" fontId="1" fillId="0" borderId="60" xfId="0" applyNumberFormat="1" applyFont="1" applyBorder="1" applyAlignment="1">
      <alignment horizontal="center" vertical="top"/>
    </xf>
    <xf numFmtId="3" fontId="1" fillId="0" borderId="90" xfId="0" applyNumberFormat="1" applyFont="1" applyBorder="1" applyAlignment="1">
      <alignment horizontal="center" vertical="top"/>
    </xf>
    <xf numFmtId="164" fontId="1" fillId="0" borderId="92" xfId="0" applyNumberFormat="1" applyFont="1" applyFill="1" applyBorder="1" applyAlignment="1">
      <alignment horizontal="center" vertical="top"/>
    </xf>
    <xf numFmtId="164" fontId="1" fillId="6" borderId="84" xfId="0" applyNumberFormat="1" applyFont="1" applyFill="1" applyBorder="1" applyAlignment="1">
      <alignment horizontal="center" vertical="top"/>
    </xf>
    <xf numFmtId="164" fontId="1" fillId="6" borderId="96" xfId="0" applyNumberFormat="1" applyFont="1" applyFill="1" applyBorder="1" applyAlignment="1">
      <alignment horizontal="center" vertical="top"/>
    </xf>
    <xf numFmtId="164" fontId="1" fillId="6" borderId="97" xfId="0" applyNumberFormat="1" applyFont="1" applyFill="1" applyBorder="1" applyAlignment="1">
      <alignment horizontal="center" vertical="top"/>
    </xf>
    <xf numFmtId="3" fontId="1" fillId="0" borderId="110" xfId="0" applyNumberFormat="1" applyFont="1" applyFill="1" applyBorder="1" applyAlignment="1">
      <alignment horizontal="center" vertical="top" wrapText="1"/>
    </xf>
    <xf numFmtId="3" fontId="1" fillId="0" borderId="34" xfId="0" applyNumberFormat="1" applyFont="1" applyBorder="1" applyAlignment="1">
      <alignment vertical="top"/>
    </xf>
    <xf numFmtId="3" fontId="1" fillId="0" borderId="84" xfId="0" applyNumberFormat="1" applyFont="1" applyBorder="1" applyAlignment="1">
      <alignment vertical="top"/>
    </xf>
    <xf numFmtId="3" fontId="1" fillId="0" borderId="59" xfId="0" applyNumberFormat="1" applyFont="1" applyBorder="1" applyAlignment="1">
      <alignment vertical="top"/>
    </xf>
    <xf numFmtId="3" fontId="1" fillId="6" borderId="69" xfId="0" applyNumberFormat="1" applyFont="1" applyFill="1" applyBorder="1" applyAlignment="1">
      <alignment horizontal="left" vertical="top" wrapText="1"/>
    </xf>
    <xf numFmtId="3" fontId="1" fillId="0" borderId="92" xfId="0" applyNumberFormat="1" applyFont="1" applyBorder="1" applyAlignment="1">
      <alignment vertical="top"/>
    </xf>
    <xf numFmtId="3" fontId="1" fillId="6" borderId="69" xfId="0" applyNumberFormat="1" applyFont="1" applyFill="1" applyBorder="1" applyAlignment="1">
      <alignment horizontal="center" vertical="top" wrapText="1"/>
    </xf>
    <xf numFmtId="164" fontId="1" fillId="6" borderId="90" xfId="0" applyNumberFormat="1" applyFont="1" applyFill="1" applyBorder="1" applyAlignment="1">
      <alignment horizontal="center" vertical="top"/>
    </xf>
    <xf numFmtId="164" fontId="1" fillId="6" borderId="86" xfId="0" applyNumberFormat="1" applyFont="1" applyFill="1" applyBorder="1" applyAlignment="1">
      <alignment horizontal="center" vertical="top"/>
    </xf>
    <xf numFmtId="164" fontId="1" fillId="6" borderId="99" xfId="0" applyNumberFormat="1" applyFont="1" applyFill="1" applyBorder="1" applyAlignment="1">
      <alignment horizontal="center" vertical="top"/>
    </xf>
    <xf numFmtId="3" fontId="1" fillId="0" borderId="97" xfId="0" applyNumberFormat="1" applyFont="1" applyBorder="1" applyAlignment="1">
      <alignment vertical="top"/>
    </xf>
    <xf numFmtId="164" fontId="1" fillId="6" borderId="111" xfId="0" applyNumberFormat="1" applyFont="1" applyFill="1" applyBorder="1" applyAlignment="1">
      <alignment horizontal="center" vertical="top"/>
    </xf>
    <xf numFmtId="164" fontId="1" fillId="6" borderId="92" xfId="0" applyNumberFormat="1" applyFont="1" applyFill="1" applyBorder="1" applyAlignment="1">
      <alignment horizontal="center" vertical="top"/>
    </xf>
    <xf numFmtId="164" fontId="1" fillId="6" borderId="110" xfId="0" applyNumberFormat="1" applyFont="1" applyFill="1" applyBorder="1" applyAlignment="1">
      <alignment horizontal="center" vertical="top"/>
    </xf>
    <xf numFmtId="164" fontId="1" fillId="0" borderId="93" xfId="0" applyNumberFormat="1" applyFont="1" applyFill="1" applyBorder="1" applyAlignment="1">
      <alignment horizontal="center" vertical="top"/>
    </xf>
    <xf numFmtId="164" fontId="1" fillId="0" borderId="34" xfId="0" applyNumberFormat="1" applyFont="1" applyFill="1" applyBorder="1" applyAlignment="1">
      <alignment horizontal="center" vertical="top"/>
    </xf>
    <xf numFmtId="3" fontId="7" fillId="6" borderId="92" xfId="0" applyNumberFormat="1" applyFont="1" applyFill="1" applyBorder="1" applyAlignment="1">
      <alignment horizontal="center" vertical="top"/>
    </xf>
    <xf numFmtId="164" fontId="1" fillId="6" borderId="91" xfId="0" applyNumberFormat="1" applyFont="1" applyFill="1" applyBorder="1" applyAlignment="1">
      <alignment horizontal="center" vertical="top"/>
    </xf>
    <xf numFmtId="3" fontId="1" fillId="6" borderId="0" xfId="1" applyNumberFormat="1" applyFont="1" applyFill="1" applyBorder="1" applyAlignment="1">
      <alignment horizontal="center" vertical="top"/>
    </xf>
    <xf numFmtId="164" fontId="1" fillId="6" borderId="10" xfId="1" applyNumberFormat="1" applyFont="1" applyFill="1" applyBorder="1" applyAlignment="1">
      <alignment horizontal="center" vertical="top"/>
    </xf>
    <xf numFmtId="3" fontId="1" fillId="6" borderId="100" xfId="0" applyNumberFormat="1" applyFont="1" applyFill="1" applyBorder="1" applyAlignment="1">
      <alignment horizontal="center" vertical="top" wrapText="1"/>
    </xf>
    <xf numFmtId="3" fontId="1" fillId="6" borderId="10" xfId="0" applyNumberFormat="1" applyFont="1" applyFill="1" applyBorder="1" applyAlignment="1">
      <alignment vertical="top" wrapText="1"/>
    </xf>
    <xf numFmtId="3" fontId="1" fillId="6" borderId="31" xfId="0" applyNumberFormat="1" applyFont="1" applyFill="1" applyBorder="1" applyAlignment="1">
      <alignment vertical="top" wrapText="1"/>
    </xf>
    <xf numFmtId="3" fontId="2" fillId="6" borderId="49" xfId="0" applyNumberFormat="1" applyFont="1" applyFill="1" applyBorder="1" applyAlignment="1">
      <alignment horizontal="center" vertical="top" wrapText="1"/>
    </xf>
    <xf numFmtId="3" fontId="1" fillId="6" borderId="92" xfId="1" applyNumberFormat="1" applyFont="1" applyFill="1" applyBorder="1" applyAlignment="1">
      <alignment horizontal="center" vertical="top"/>
    </xf>
    <xf numFmtId="164" fontId="1" fillId="6" borderId="92" xfId="1" applyNumberFormat="1" applyFont="1" applyFill="1" applyBorder="1" applyAlignment="1">
      <alignment horizontal="center" vertical="top"/>
    </xf>
    <xf numFmtId="164" fontId="1" fillId="6" borderId="85" xfId="0" applyNumberFormat="1" applyFont="1" applyFill="1" applyBorder="1" applyAlignment="1">
      <alignment horizontal="center" vertical="top"/>
    </xf>
    <xf numFmtId="164" fontId="1" fillId="6" borderId="110" xfId="1" applyNumberFormat="1" applyFont="1" applyFill="1" applyBorder="1" applyAlignment="1">
      <alignment horizontal="center" vertical="top"/>
    </xf>
    <xf numFmtId="3" fontId="1" fillId="6" borderId="60" xfId="0" applyNumberFormat="1" applyFont="1" applyFill="1" applyBorder="1" applyAlignment="1">
      <alignment horizontal="left" vertical="top" wrapText="1"/>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91" xfId="0" applyNumberFormat="1" applyFont="1" applyFill="1" applyBorder="1" applyAlignment="1">
      <alignment horizontal="center" vertical="top" wrapText="1"/>
    </xf>
    <xf numFmtId="3" fontId="1" fillId="6" borderId="63" xfId="0" applyNumberFormat="1" applyFont="1" applyFill="1" applyBorder="1" applyAlignment="1">
      <alignment horizontal="center" vertical="top" wrapText="1"/>
    </xf>
    <xf numFmtId="0" fontId="1" fillId="6" borderId="14" xfId="0" applyFont="1" applyFill="1" applyBorder="1" applyAlignment="1">
      <alignment vertical="top" wrapText="1"/>
    </xf>
    <xf numFmtId="0" fontId="1" fillId="6" borderId="44" xfId="0" applyFont="1" applyFill="1" applyBorder="1" applyAlignment="1">
      <alignment vertical="top" wrapText="1"/>
    </xf>
    <xf numFmtId="49" fontId="2" fillId="6" borderId="33" xfId="0" applyNumberFormat="1" applyFont="1" applyFill="1" applyBorder="1" applyAlignment="1">
      <alignment horizontal="center" vertical="top"/>
    </xf>
    <xf numFmtId="49" fontId="2" fillId="6" borderId="31" xfId="0" applyNumberFormat="1" applyFont="1" applyFill="1" applyBorder="1" applyAlignment="1">
      <alignment horizontal="center" vertical="top"/>
    </xf>
    <xf numFmtId="3" fontId="1" fillId="6" borderId="32" xfId="0" applyNumberFormat="1" applyFont="1" applyFill="1" applyBorder="1" applyAlignment="1">
      <alignment horizontal="center" vertical="top" wrapText="1"/>
    </xf>
    <xf numFmtId="3" fontId="2" fillId="6" borderId="3" xfId="0" applyNumberFormat="1" applyFont="1" applyFill="1" applyBorder="1" applyAlignment="1">
      <alignment horizontal="left" vertical="top" wrapText="1"/>
    </xf>
    <xf numFmtId="0" fontId="1" fillId="6" borderId="66" xfId="0" applyFont="1" applyFill="1" applyBorder="1" applyAlignment="1">
      <alignment vertical="top" wrapText="1"/>
    </xf>
    <xf numFmtId="49" fontId="2" fillId="6" borderId="48" xfId="0" applyNumberFormat="1" applyFont="1" applyFill="1" applyBorder="1" applyAlignment="1">
      <alignment horizontal="left" vertical="top" wrapText="1"/>
    </xf>
    <xf numFmtId="0" fontId="1" fillId="6" borderId="92" xfId="0" applyFont="1" applyFill="1" applyBorder="1" applyAlignment="1">
      <alignment horizontal="center" vertical="top" wrapText="1"/>
    </xf>
    <xf numFmtId="164" fontId="1" fillId="6" borderId="69" xfId="0" applyNumberFormat="1" applyFont="1" applyFill="1" applyBorder="1" applyAlignment="1">
      <alignment horizontal="left" vertical="top" wrapText="1"/>
    </xf>
    <xf numFmtId="3" fontId="1" fillId="6" borderId="81" xfId="0" applyNumberFormat="1" applyFont="1" applyFill="1" applyBorder="1" applyAlignment="1">
      <alignment horizontal="center" vertical="top" wrapText="1"/>
    </xf>
    <xf numFmtId="0" fontId="1" fillId="6" borderId="14" xfId="0" applyFont="1" applyFill="1" applyBorder="1" applyAlignment="1">
      <alignment horizontal="center" vertical="top" wrapText="1"/>
    </xf>
    <xf numFmtId="164" fontId="1" fillId="6" borderId="89" xfId="0" applyNumberFormat="1" applyFont="1" applyFill="1" applyBorder="1" applyAlignment="1">
      <alignment horizontal="left" vertical="top" wrapText="1"/>
    </xf>
    <xf numFmtId="3" fontId="1" fillId="6" borderId="0" xfId="0" applyNumberFormat="1" applyFont="1" applyFill="1" applyBorder="1" applyAlignment="1">
      <alignment vertical="top"/>
    </xf>
    <xf numFmtId="3" fontId="1" fillId="6" borderId="12" xfId="0" applyNumberFormat="1" applyFont="1" applyFill="1" applyBorder="1" applyAlignment="1">
      <alignment vertical="top"/>
    </xf>
    <xf numFmtId="3" fontId="1" fillId="6" borderId="11" xfId="0" applyNumberFormat="1" applyFont="1" applyFill="1" applyBorder="1" applyAlignment="1">
      <alignment vertical="top"/>
    </xf>
    <xf numFmtId="3" fontId="1" fillId="6" borderId="36" xfId="0" applyNumberFormat="1" applyFont="1" applyFill="1" applyBorder="1" applyAlignment="1">
      <alignment vertical="top"/>
    </xf>
    <xf numFmtId="164" fontId="1" fillId="6" borderId="66" xfId="0" applyNumberFormat="1" applyFont="1" applyFill="1" applyBorder="1" applyAlignment="1">
      <alignment horizontal="left" vertical="top" wrapText="1"/>
    </xf>
    <xf numFmtId="164" fontId="1" fillId="6" borderId="12" xfId="0" applyNumberFormat="1" applyFont="1" applyFill="1" applyBorder="1" applyAlignment="1">
      <alignment horizontal="center" vertical="top"/>
    </xf>
    <xf numFmtId="164" fontId="1" fillId="6" borderId="90" xfId="0" applyNumberFormat="1" applyFont="1" applyFill="1" applyBorder="1" applyAlignment="1">
      <alignment horizontal="left" vertical="top" wrapText="1"/>
    </xf>
    <xf numFmtId="3" fontId="1" fillId="6" borderId="82" xfId="0" applyNumberFormat="1" applyFont="1" applyFill="1" applyBorder="1" applyAlignment="1">
      <alignment horizontal="center" vertical="top" wrapText="1"/>
    </xf>
    <xf numFmtId="3" fontId="1" fillId="6" borderId="86" xfId="0" applyNumberFormat="1" applyFont="1" applyFill="1" applyBorder="1" applyAlignment="1">
      <alignment horizontal="center" vertical="top" wrapText="1"/>
    </xf>
    <xf numFmtId="3" fontId="1" fillId="6" borderId="99"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xf>
    <xf numFmtId="164" fontId="7" fillId="6" borderId="60" xfId="0" applyNumberFormat="1" applyFont="1" applyFill="1" applyBorder="1" applyAlignment="1">
      <alignment horizontal="center" vertical="top"/>
    </xf>
    <xf numFmtId="164" fontId="7" fillId="6" borderId="59" xfId="0" applyNumberFormat="1" applyFont="1" applyFill="1" applyBorder="1" applyAlignment="1">
      <alignment horizontal="center" vertical="top"/>
    </xf>
    <xf numFmtId="3" fontId="1" fillId="6" borderId="33" xfId="0" applyNumberFormat="1" applyFont="1" applyFill="1" applyBorder="1" applyAlignment="1">
      <alignment vertical="top"/>
    </xf>
    <xf numFmtId="164" fontId="7" fillId="6" borderId="44" xfId="0" applyNumberFormat="1" applyFont="1" applyFill="1" applyBorder="1" applyAlignment="1">
      <alignment horizontal="center" vertical="top"/>
    </xf>
    <xf numFmtId="164" fontId="7" fillId="6" borderId="45" xfId="0" applyNumberFormat="1" applyFont="1" applyFill="1" applyBorder="1" applyAlignment="1">
      <alignment horizontal="center" vertical="top"/>
    </xf>
    <xf numFmtId="164" fontId="7" fillId="6" borderId="31" xfId="0" applyNumberFormat="1" applyFont="1" applyFill="1" applyBorder="1" applyAlignment="1">
      <alignment horizontal="center" vertical="top"/>
    </xf>
    <xf numFmtId="49" fontId="1" fillId="6" borderId="74" xfId="0" applyNumberFormat="1" applyFont="1" applyFill="1" applyBorder="1" applyAlignment="1">
      <alignment horizontal="center" vertical="top" wrapText="1"/>
    </xf>
    <xf numFmtId="49" fontId="1" fillId="6" borderId="85" xfId="0" applyNumberFormat="1" applyFont="1" applyFill="1" applyBorder="1" applyAlignment="1">
      <alignment horizontal="center" vertical="top" wrapText="1"/>
    </xf>
    <xf numFmtId="49" fontId="1" fillId="6" borderId="67" xfId="0" applyNumberFormat="1" applyFont="1" applyFill="1" applyBorder="1" applyAlignment="1">
      <alignment horizontal="center" vertical="top" wrapText="1"/>
    </xf>
    <xf numFmtId="49" fontId="1" fillId="6" borderId="13" xfId="0" applyNumberFormat="1" applyFont="1" applyFill="1" applyBorder="1" applyAlignment="1">
      <alignment horizontal="center" vertical="top" wrapText="1"/>
    </xf>
    <xf numFmtId="49" fontId="1" fillId="6" borderId="9" xfId="0" applyNumberFormat="1" applyFont="1" applyFill="1" applyBorder="1" applyAlignment="1">
      <alignment horizontal="center" vertical="top" wrapText="1"/>
    </xf>
    <xf numFmtId="49" fontId="1" fillId="6" borderId="10" xfId="0" applyNumberFormat="1" applyFont="1" applyFill="1" applyBorder="1" applyAlignment="1">
      <alignment horizontal="center" vertical="top" wrapText="1"/>
    </xf>
    <xf numFmtId="49" fontId="2" fillId="6" borderId="33" xfId="0" applyNumberFormat="1" applyFont="1" applyFill="1" applyBorder="1" applyAlignment="1">
      <alignment horizontal="center" vertical="top" wrapText="1"/>
    </xf>
    <xf numFmtId="49" fontId="2" fillId="6" borderId="31" xfId="0" applyNumberFormat="1" applyFont="1" applyFill="1" applyBorder="1" applyAlignment="1">
      <alignment horizontal="center" vertical="top" wrapText="1"/>
    </xf>
    <xf numFmtId="3" fontId="7" fillId="6" borderId="60" xfId="0" applyNumberFormat="1" applyFont="1" applyFill="1" applyBorder="1" applyAlignment="1">
      <alignment horizontal="center" vertical="top"/>
    </xf>
    <xf numFmtId="3" fontId="1" fillId="6" borderId="14" xfId="0" applyNumberFormat="1" applyFont="1" applyFill="1" applyBorder="1" applyAlignment="1">
      <alignment vertical="top"/>
    </xf>
    <xf numFmtId="3" fontId="1" fillId="6" borderId="48" xfId="0" applyNumberFormat="1" applyFont="1" applyFill="1" applyBorder="1" applyAlignment="1">
      <alignment vertical="top"/>
    </xf>
    <xf numFmtId="3" fontId="1" fillId="6" borderId="10" xfId="0" applyNumberFormat="1" applyFont="1" applyFill="1" applyBorder="1" applyAlignment="1">
      <alignment vertical="top"/>
    </xf>
    <xf numFmtId="0" fontId="1" fillId="6" borderId="66" xfId="0" applyFont="1" applyFill="1" applyBorder="1" applyAlignment="1">
      <alignment horizontal="center" vertical="top" wrapText="1"/>
    </xf>
    <xf numFmtId="0" fontId="1" fillId="6" borderId="9" xfId="0" applyFont="1" applyFill="1" applyBorder="1" applyAlignment="1">
      <alignment horizontal="center" vertical="top" wrapText="1"/>
    </xf>
    <xf numFmtId="164" fontId="1" fillId="6" borderId="50" xfId="0" applyNumberFormat="1" applyFont="1" applyFill="1" applyBorder="1" applyAlignment="1">
      <alignment horizontal="center" vertical="top"/>
    </xf>
    <xf numFmtId="3" fontId="7" fillId="6" borderId="66" xfId="0" applyNumberFormat="1" applyFont="1" applyFill="1" applyBorder="1" applyAlignment="1">
      <alignment horizontal="center" vertical="top"/>
    </xf>
    <xf numFmtId="0" fontId="11" fillId="6" borderId="14" xfId="0" applyFont="1" applyFill="1" applyBorder="1" applyAlignment="1">
      <alignment vertical="top" wrapText="1"/>
    </xf>
    <xf numFmtId="0" fontId="1" fillId="0" borderId="12" xfId="0" applyFont="1" applyBorder="1" applyAlignment="1">
      <alignment vertical="top"/>
    </xf>
    <xf numFmtId="0" fontId="1" fillId="6" borderId="92" xfId="0" applyFont="1" applyFill="1" applyBorder="1" applyAlignment="1">
      <alignment vertical="top" wrapText="1"/>
    </xf>
    <xf numFmtId="3" fontId="1" fillId="6" borderId="66" xfId="0" applyNumberFormat="1" applyFont="1" applyFill="1" applyBorder="1" applyAlignment="1">
      <alignment horizontal="center" vertical="top" wrapText="1"/>
    </xf>
    <xf numFmtId="3" fontId="1" fillId="6" borderId="92" xfId="0" applyNumberFormat="1" applyFont="1" applyFill="1" applyBorder="1" applyAlignment="1">
      <alignment vertical="top"/>
    </xf>
    <xf numFmtId="3" fontId="1" fillId="6" borderId="49" xfId="0" applyNumberFormat="1" applyFont="1" applyFill="1" applyBorder="1" applyAlignment="1">
      <alignment horizontal="center" vertical="top" wrapText="1"/>
    </xf>
    <xf numFmtId="3" fontId="1" fillId="6" borderId="60" xfId="0" applyNumberFormat="1" applyFont="1" applyFill="1" applyBorder="1" applyAlignment="1">
      <alignment vertical="top"/>
    </xf>
    <xf numFmtId="3" fontId="1" fillId="6" borderId="61" xfId="0" applyNumberFormat="1" applyFont="1" applyFill="1" applyBorder="1" applyAlignment="1">
      <alignment horizontal="center" vertical="top" wrapText="1"/>
    </xf>
    <xf numFmtId="3" fontId="1" fillId="6" borderId="34" xfId="0" applyNumberFormat="1" applyFont="1" applyFill="1" applyBorder="1" applyAlignment="1">
      <alignment horizontal="center" vertical="top" wrapText="1"/>
    </xf>
    <xf numFmtId="164" fontId="1" fillId="0" borderId="0" xfId="0" applyNumberFormat="1" applyFont="1" applyAlignment="1">
      <alignment vertical="top"/>
    </xf>
    <xf numFmtId="164" fontId="1" fillId="0" borderId="26" xfId="0" applyNumberFormat="1" applyFont="1" applyBorder="1" applyAlignment="1">
      <alignment horizontal="center" vertical="top" wrapText="1"/>
    </xf>
    <xf numFmtId="164" fontId="1" fillId="0" borderId="37" xfId="0" applyNumberFormat="1" applyFont="1" applyBorder="1" applyAlignment="1">
      <alignment horizontal="center" vertical="top" wrapText="1"/>
    </xf>
    <xf numFmtId="164" fontId="1" fillId="0" borderId="15" xfId="0" applyNumberFormat="1" applyFont="1" applyBorder="1" applyAlignment="1">
      <alignment horizontal="center" vertical="top" wrapText="1"/>
    </xf>
    <xf numFmtId="164" fontId="18" fillId="0" borderId="0" xfId="0" applyNumberFormat="1" applyFont="1"/>
    <xf numFmtId="0" fontId="2" fillId="6" borderId="10" xfId="0" applyFont="1" applyFill="1" applyBorder="1" applyAlignment="1">
      <alignment horizontal="center" vertical="top" wrapText="1"/>
    </xf>
    <xf numFmtId="0" fontId="1" fillId="6" borderId="89" xfId="0" applyFont="1" applyFill="1" applyBorder="1" applyAlignment="1">
      <alignment vertical="top" wrapText="1"/>
    </xf>
    <xf numFmtId="49" fontId="1" fillId="6" borderId="66" xfId="0" applyNumberFormat="1" applyFont="1" applyFill="1" applyBorder="1" applyAlignment="1">
      <alignment horizontal="center" vertical="top" wrapText="1"/>
    </xf>
    <xf numFmtId="3" fontId="1" fillId="6" borderId="31" xfId="0" applyNumberFormat="1" applyFont="1" applyFill="1" applyBorder="1" applyAlignment="1">
      <alignment vertical="top"/>
    </xf>
    <xf numFmtId="49" fontId="1" fillId="6" borderId="90" xfId="0" applyNumberFormat="1" applyFont="1" applyFill="1" applyBorder="1" applyAlignment="1">
      <alignment horizontal="center" vertical="top" wrapText="1"/>
    </xf>
    <xf numFmtId="49" fontId="1" fillId="6" borderId="86" xfId="0" applyNumberFormat="1" applyFont="1" applyFill="1" applyBorder="1" applyAlignment="1">
      <alignment horizontal="center" vertical="top" wrapText="1"/>
    </xf>
    <xf numFmtId="49" fontId="1" fillId="6" borderId="97" xfId="0" applyNumberFormat="1" applyFont="1" applyFill="1" applyBorder="1" applyAlignment="1">
      <alignment horizontal="center" vertical="top" wrapText="1"/>
    </xf>
    <xf numFmtId="164" fontId="1" fillId="6" borderId="83" xfId="0" applyNumberFormat="1" applyFont="1" applyFill="1" applyBorder="1" applyAlignment="1">
      <alignment horizontal="center" vertical="top"/>
    </xf>
    <xf numFmtId="0" fontId="1" fillId="6" borderId="36" xfId="0" applyFont="1" applyFill="1" applyBorder="1" applyAlignment="1">
      <alignment horizontal="center" vertical="top" wrapText="1"/>
    </xf>
    <xf numFmtId="49" fontId="2" fillId="6" borderId="48" xfId="0" applyNumberFormat="1" applyFont="1" applyFill="1" applyBorder="1" applyAlignment="1">
      <alignment horizontal="center" vertical="top"/>
    </xf>
    <xf numFmtId="164" fontId="1" fillId="6" borderId="66" xfId="0" applyNumberFormat="1" applyFont="1" applyFill="1" applyBorder="1" applyAlignment="1">
      <alignment horizontal="center" vertical="top" wrapText="1"/>
    </xf>
    <xf numFmtId="0" fontId="1" fillId="6" borderId="14" xfId="0" applyFont="1" applyFill="1" applyBorder="1" applyAlignment="1">
      <alignment vertical="top"/>
    </xf>
    <xf numFmtId="0" fontId="1" fillId="6" borderId="32" xfId="0" applyFont="1" applyFill="1" applyBorder="1" applyAlignment="1">
      <alignment vertical="top" wrapText="1"/>
    </xf>
    <xf numFmtId="0" fontId="1" fillId="6" borderId="90" xfId="0" applyFont="1" applyFill="1" applyBorder="1" applyAlignment="1">
      <alignment horizontal="center" vertical="top"/>
    </xf>
    <xf numFmtId="0" fontId="1" fillId="6" borderId="99" xfId="0" applyFont="1" applyFill="1" applyBorder="1" applyAlignment="1">
      <alignment horizontal="center" vertical="top"/>
    </xf>
    <xf numFmtId="0" fontId="1" fillId="6" borderId="97" xfId="0" applyFont="1" applyFill="1" applyBorder="1" applyAlignment="1">
      <alignment horizontal="center" vertical="top"/>
    </xf>
    <xf numFmtId="0" fontId="1" fillId="6" borderId="0" xfId="0" applyFont="1" applyFill="1" applyBorder="1" applyAlignment="1">
      <alignment vertical="top"/>
    </xf>
    <xf numFmtId="0" fontId="1" fillId="6" borderId="36" xfId="0" applyFont="1" applyFill="1" applyBorder="1" applyAlignment="1">
      <alignment vertical="top"/>
    </xf>
    <xf numFmtId="0" fontId="1" fillId="6" borderId="9" xfId="0" applyFont="1" applyFill="1" applyBorder="1" applyAlignment="1">
      <alignment vertical="top"/>
    </xf>
    <xf numFmtId="0" fontId="1" fillId="6" borderId="48" xfId="0" applyFont="1" applyFill="1" applyBorder="1" applyAlignment="1">
      <alignment horizontal="center" vertical="top"/>
    </xf>
    <xf numFmtId="0" fontId="1" fillId="6" borderId="10" xfId="0" applyFont="1" applyFill="1" applyBorder="1" applyAlignment="1">
      <alignment horizontal="center" vertical="top"/>
    </xf>
    <xf numFmtId="0" fontId="1" fillId="6" borderId="14" xfId="0" applyFont="1" applyFill="1" applyBorder="1" applyAlignment="1">
      <alignment horizontal="left" vertical="top" wrapText="1"/>
    </xf>
    <xf numFmtId="49" fontId="2" fillId="6" borderId="0" xfId="0" applyNumberFormat="1" applyFont="1" applyFill="1" applyBorder="1" applyAlignment="1">
      <alignment horizontal="center" vertical="top"/>
    </xf>
    <xf numFmtId="0" fontId="1" fillId="6" borderId="14" xfId="0" applyFont="1" applyFill="1" applyBorder="1" applyAlignment="1">
      <alignment horizontal="center" vertical="top"/>
    </xf>
    <xf numFmtId="3" fontId="1" fillId="6" borderId="92" xfId="0" applyNumberFormat="1" applyFont="1" applyFill="1" applyBorder="1" applyAlignment="1">
      <alignment horizontal="center" vertical="top"/>
    </xf>
    <xf numFmtId="0" fontId="11" fillId="6" borderId="47" xfId="0" applyFont="1" applyFill="1" applyBorder="1" applyAlignment="1">
      <alignment horizontal="center" vertical="top" wrapText="1"/>
    </xf>
    <xf numFmtId="164" fontId="2" fillId="6" borderId="42" xfId="0" applyNumberFormat="1" applyFont="1" applyFill="1" applyBorder="1" applyAlignment="1">
      <alignment horizontal="center" vertical="top"/>
    </xf>
    <xf numFmtId="3" fontId="1" fillId="6" borderId="41" xfId="0" applyNumberFormat="1" applyFont="1" applyFill="1" applyBorder="1" applyAlignment="1">
      <alignment horizontal="left" vertical="top" wrapText="1"/>
    </xf>
    <xf numFmtId="3" fontId="1" fillId="6" borderId="8" xfId="0" applyNumberFormat="1" applyFont="1" applyFill="1" applyBorder="1" applyAlignment="1">
      <alignment horizontal="left" vertical="top" wrapText="1"/>
    </xf>
    <xf numFmtId="3" fontId="1" fillId="6" borderId="88"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165" fontId="1" fillId="9" borderId="44" xfId="2" applyFont="1" applyFill="1" applyBorder="1" applyAlignment="1">
      <alignment horizontal="left" vertical="top" wrapText="1"/>
    </xf>
    <xf numFmtId="164" fontId="1" fillId="6" borderId="13" xfId="0" applyNumberFormat="1" applyFont="1" applyFill="1" applyBorder="1" applyAlignment="1">
      <alignment horizontal="center" vertical="top"/>
    </xf>
    <xf numFmtId="0" fontId="1" fillId="6" borderId="13" xfId="0" applyFont="1" applyFill="1" applyBorder="1" applyAlignment="1">
      <alignment vertical="top"/>
    </xf>
    <xf numFmtId="0" fontId="1" fillId="6" borderId="10" xfId="0" applyFont="1" applyFill="1" applyBorder="1" applyAlignment="1">
      <alignment vertical="top"/>
    </xf>
    <xf numFmtId="0" fontId="11" fillId="6" borderId="44" xfId="0" applyFont="1" applyFill="1" applyBorder="1" applyAlignment="1">
      <alignment vertical="top" wrapText="1"/>
    </xf>
    <xf numFmtId="164" fontId="1" fillId="6" borderId="44" xfId="0" applyNumberFormat="1" applyFont="1" applyFill="1" applyBorder="1" applyAlignment="1">
      <alignment horizontal="left" vertical="top" wrapText="1"/>
    </xf>
    <xf numFmtId="3" fontId="2" fillId="6" borderId="4"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0" fontId="16" fillId="6" borderId="36" xfId="0" applyFont="1" applyFill="1" applyBorder="1" applyAlignment="1">
      <alignment horizontal="center" vertical="top" wrapText="1"/>
    </xf>
    <xf numFmtId="49" fontId="2" fillId="6" borderId="33" xfId="0" applyNumberFormat="1" applyFont="1" applyFill="1" applyBorder="1" applyAlignment="1">
      <alignment horizontal="center" vertical="top"/>
    </xf>
    <xf numFmtId="3" fontId="1" fillId="6" borderId="60" xfId="0" applyNumberFormat="1" applyFont="1" applyFill="1" applyBorder="1" applyAlignment="1">
      <alignment horizontal="left" vertical="top" wrapText="1"/>
    </xf>
    <xf numFmtId="3" fontId="1" fillId="6" borderId="44" xfId="0" applyNumberFormat="1" applyFont="1" applyFill="1" applyBorder="1" applyAlignment="1">
      <alignment horizontal="lef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0" fontId="1" fillId="7" borderId="13" xfId="0" applyNumberFormat="1" applyFont="1" applyFill="1" applyBorder="1" applyAlignment="1">
      <alignment horizontal="center" vertical="top"/>
    </xf>
    <xf numFmtId="0" fontId="1" fillId="7" borderId="65" xfId="0" applyNumberFormat="1" applyFont="1" applyFill="1" applyBorder="1" applyAlignment="1">
      <alignment horizontal="center" vertical="top"/>
    </xf>
    <xf numFmtId="0" fontId="1" fillId="7" borderId="79" xfId="0" applyNumberFormat="1" applyFont="1" applyFill="1" applyBorder="1" applyAlignment="1">
      <alignment horizontal="center" vertical="top"/>
    </xf>
    <xf numFmtId="0" fontId="1" fillId="7" borderId="33" xfId="0" applyNumberFormat="1" applyFont="1" applyFill="1" applyBorder="1" applyAlignment="1">
      <alignment horizontal="center" vertical="top"/>
    </xf>
    <xf numFmtId="0" fontId="1" fillId="6" borderId="80" xfId="0" applyNumberFormat="1" applyFont="1" applyFill="1" applyBorder="1" applyAlignment="1">
      <alignment horizontal="center" vertical="top" wrapText="1"/>
    </xf>
    <xf numFmtId="0" fontId="1" fillId="6" borderId="83" xfId="0" applyNumberFormat="1" applyFont="1" applyFill="1" applyBorder="1" applyAlignment="1">
      <alignment horizontal="center" vertical="top" wrapText="1"/>
    </xf>
    <xf numFmtId="0" fontId="1" fillId="6" borderId="71" xfId="0" applyNumberFormat="1" applyFont="1" applyFill="1" applyBorder="1" applyAlignment="1">
      <alignment horizontal="center" vertical="top" wrapText="1"/>
    </xf>
    <xf numFmtId="0" fontId="1" fillId="6" borderId="74" xfId="0" applyNumberFormat="1" applyFont="1" applyFill="1" applyBorder="1" applyAlignment="1">
      <alignment horizontal="center" vertical="top"/>
    </xf>
    <xf numFmtId="0" fontId="1" fillId="6" borderId="65" xfId="0" applyNumberFormat="1" applyFont="1" applyFill="1" applyBorder="1" applyAlignment="1">
      <alignment horizontal="center" vertical="top" wrapText="1"/>
    </xf>
    <xf numFmtId="0" fontId="1" fillId="6" borderId="79" xfId="0" applyNumberFormat="1" applyFont="1" applyFill="1" applyBorder="1" applyAlignment="1">
      <alignment horizontal="center" vertical="top" wrapText="1"/>
    </xf>
    <xf numFmtId="0" fontId="1" fillId="6" borderId="33" xfId="0" applyNumberFormat="1" applyFont="1" applyFill="1" applyBorder="1" applyAlignment="1">
      <alignment horizontal="center" vertical="top" wrapText="1"/>
    </xf>
    <xf numFmtId="0" fontId="1" fillId="6" borderId="74" xfId="0" applyNumberFormat="1" applyFont="1" applyFill="1" applyBorder="1" applyAlignment="1">
      <alignment horizontal="center" vertical="top" wrapText="1"/>
    </xf>
    <xf numFmtId="0" fontId="1" fillId="6" borderId="99" xfId="0" applyNumberFormat="1" applyFont="1" applyFill="1" applyBorder="1" applyAlignment="1">
      <alignment horizontal="center" vertical="top" wrapText="1"/>
    </xf>
    <xf numFmtId="0" fontId="1" fillId="6" borderId="18" xfId="0" applyNumberFormat="1" applyFont="1" applyFill="1" applyBorder="1" applyAlignment="1">
      <alignment horizontal="center" vertical="top" wrapText="1"/>
    </xf>
    <xf numFmtId="0" fontId="1" fillId="6" borderId="9" xfId="0" applyFont="1" applyFill="1" applyBorder="1" applyAlignment="1">
      <alignment horizontal="center" vertical="top"/>
    </xf>
    <xf numFmtId="0" fontId="1" fillId="6" borderId="13" xfId="0" applyNumberFormat="1" applyFont="1" applyFill="1" applyBorder="1" applyAlignment="1">
      <alignment horizontal="center" vertical="top" wrapText="1"/>
    </xf>
    <xf numFmtId="0" fontId="1" fillId="0" borderId="44" xfId="0" applyFont="1" applyBorder="1" applyAlignment="1">
      <alignment vertical="top"/>
    </xf>
    <xf numFmtId="3" fontId="1" fillId="6" borderId="37" xfId="0" applyNumberFormat="1" applyFont="1" applyFill="1" applyBorder="1" applyAlignment="1">
      <alignment horizontal="center" vertical="top" wrapText="1"/>
    </xf>
    <xf numFmtId="3" fontId="1" fillId="6" borderId="36" xfId="0" applyNumberFormat="1" applyFont="1" applyFill="1" applyBorder="1" applyAlignment="1">
      <alignment vertical="top" wrapText="1"/>
    </xf>
    <xf numFmtId="3" fontId="2" fillId="6" borderId="33" xfId="0" applyNumberFormat="1" applyFont="1" applyFill="1" applyBorder="1" applyAlignment="1">
      <alignment horizontal="center" vertical="top" wrapText="1"/>
    </xf>
    <xf numFmtId="3" fontId="2" fillId="6" borderId="11" xfId="0" applyNumberFormat="1" applyFont="1" applyFill="1" applyBorder="1" applyAlignment="1">
      <alignment horizontal="center" vertical="top" wrapText="1"/>
    </xf>
    <xf numFmtId="3" fontId="2" fillId="6" borderId="49" xfId="0" applyNumberFormat="1" applyFont="1" applyFill="1" applyBorder="1" applyAlignment="1">
      <alignment horizontal="center" vertical="top" wrapText="1"/>
    </xf>
    <xf numFmtId="0" fontId="1" fillId="6" borderId="89" xfId="0" applyFont="1" applyFill="1" applyBorder="1" applyAlignment="1">
      <alignment horizontal="center" vertical="top"/>
    </xf>
    <xf numFmtId="0" fontId="1" fillId="6" borderId="86" xfId="0" applyFont="1" applyFill="1" applyBorder="1" applyAlignment="1">
      <alignment horizontal="center" vertical="top"/>
    </xf>
    <xf numFmtId="3" fontId="17" fillId="6" borderId="34"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0" fontId="2" fillId="6" borderId="49" xfId="0" applyFont="1" applyFill="1" applyBorder="1" applyAlignment="1">
      <alignment horizontal="center" vertical="top" wrapText="1"/>
    </xf>
    <xf numFmtId="3" fontId="2" fillId="6" borderId="0" xfId="0" applyNumberFormat="1" applyFont="1" applyFill="1" applyBorder="1" applyAlignment="1">
      <alignment horizontal="center" vertical="top"/>
    </xf>
    <xf numFmtId="3" fontId="2" fillId="6" borderId="10" xfId="0" applyNumberFormat="1" applyFont="1" applyFill="1" applyBorder="1" applyAlignment="1">
      <alignment horizontal="center" vertical="top" wrapText="1"/>
    </xf>
    <xf numFmtId="0" fontId="2" fillId="6" borderId="11" xfId="0" applyFont="1" applyFill="1" applyBorder="1" applyAlignment="1">
      <alignment horizontal="center" vertical="top" wrapText="1"/>
    </xf>
    <xf numFmtId="164" fontId="2" fillId="6" borderId="10" xfId="0" applyNumberFormat="1" applyFont="1" applyFill="1" applyBorder="1" applyAlignment="1">
      <alignment horizontal="center" vertical="top" wrapText="1"/>
    </xf>
    <xf numFmtId="0" fontId="2" fillId="6" borderId="33" xfId="0" applyFont="1" applyFill="1" applyBorder="1" applyAlignment="1">
      <alignment horizontal="center" vertical="top" wrapText="1"/>
    </xf>
    <xf numFmtId="0" fontId="2" fillId="6" borderId="10" xfId="0" applyFont="1" applyFill="1" applyBorder="1" applyAlignment="1">
      <alignment horizontal="center" vertical="center" wrapText="1"/>
    </xf>
    <xf numFmtId="0" fontId="11" fillId="6" borderId="31" xfId="0" applyFont="1" applyFill="1" applyBorder="1" applyAlignment="1">
      <alignment vertical="center" textRotation="90" wrapText="1"/>
    </xf>
    <xf numFmtId="164" fontId="2" fillId="6" borderId="3" xfId="0" applyNumberFormat="1" applyFont="1" applyFill="1" applyBorder="1" applyAlignment="1">
      <alignment horizontal="center" vertical="top" wrapText="1"/>
    </xf>
    <xf numFmtId="164" fontId="2" fillId="6" borderId="11" xfId="0" applyNumberFormat="1" applyFont="1" applyFill="1" applyBorder="1" applyAlignment="1">
      <alignment horizontal="center" vertical="top" wrapText="1"/>
    </xf>
    <xf numFmtId="0" fontId="2" fillId="6" borderId="31" xfId="0" applyFont="1" applyFill="1" applyBorder="1" applyAlignment="1">
      <alignment horizontal="center" vertical="center" wrapText="1"/>
    </xf>
    <xf numFmtId="166" fontId="1" fillId="7" borderId="9" xfId="0" applyNumberFormat="1" applyFont="1" applyFill="1" applyBorder="1" applyAlignment="1">
      <alignment horizontal="center" vertical="top"/>
    </xf>
    <xf numFmtId="166" fontId="1" fillId="7" borderId="10" xfId="0" applyNumberFormat="1" applyFont="1" applyFill="1" applyBorder="1" applyAlignment="1">
      <alignment horizontal="center" vertical="top"/>
    </xf>
    <xf numFmtId="166" fontId="1" fillId="7" borderId="13"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166" fontId="1" fillId="6" borderId="85" xfId="0" applyNumberFormat="1" applyFont="1" applyFill="1" applyBorder="1" applyAlignment="1">
      <alignment horizontal="center" vertical="top"/>
    </xf>
    <xf numFmtId="166" fontId="1" fillId="6" borderId="67" xfId="0" applyNumberFormat="1" applyFont="1" applyFill="1" applyBorder="1" applyAlignment="1">
      <alignment horizontal="center" vertical="top"/>
    </xf>
    <xf numFmtId="166" fontId="1" fillId="6" borderId="74" xfId="0" applyNumberFormat="1" applyFont="1" applyFill="1" applyBorder="1" applyAlignment="1">
      <alignment horizontal="center" vertical="top"/>
    </xf>
    <xf numFmtId="3" fontId="1" fillId="6" borderId="85"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3" fontId="1" fillId="6" borderId="111" xfId="0" applyNumberFormat="1" applyFont="1" applyFill="1" applyBorder="1" applyAlignment="1">
      <alignment horizontal="center" vertical="top" wrapText="1"/>
    </xf>
    <xf numFmtId="164" fontId="1" fillId="6" borderId="92" xfId="0" applyNumberFormat="1" applyFont="1" applyFill="1" applyBorder="1" applyAlignment="1">
      <alignment vertical="top" wrapText="1"/>
    </xf>
    <xf numFmtId="0" fontId="1" fillId="6" borderId="85"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0" fontId="1" fillId="6" borderId="36" xfId="0" applyFont="1" applyFill="1" applyBorder="1" applyAlignment="1">
      <alignment horizontal="center" vertical="top" wrapText="1"/>
    </xf>
    <xf numFmtId="3" fontId="2" fillId="5" borderId="10"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166" fontId="1" fillId="6" borderId="92" xfId="0" applyNumberFormat="1" applyFont="1" applyFill="1" applyBorder="1" applyAlignment="1">
      <alignment horizontal="center" vertical="top"/>
    </xf>
    <xf numFmtId="3" fontId="1" fillId="6" borderId="91" xfId="0" applyNumberFormat="1" applyFont="1" applyFill="1" applyBorder="1" applyAlignment="1">
      <alignment horizontal="center" vertical="top" wrapText="1"/>
    </xf>
    <xf numFmtId="3" fontId="1" fillId="6" borderId="91" xfId="0" applyNumberFormat="1" applyFont="1" applyFill="1" applyBorder="1" applyAlignment="1">
      <alignment horizontal="center" vertical="top" wrapText="1"/>
    </xf>
    <xf numFmtId="164" fontId="1" fillId="6" borderId="80"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49" fontId="2" fillId="6" borderId="33"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6" borderId="31" xfId="0" applyNumberFormat="1" applyFont="1" applyFill="1" applyBorder="1" applyAlignment="1">
      <alignment horizontal="center" vertical="top"/>
    </xf>
    <xf numFmtId="3" fontId="2" fillId="6" borderId="33" xfId="0" applyNumberFormat="1" applyFont="1" applyFill="1" applyBorder="1" applyAlignment="1">
      <alignment horizontal="center" vertical="top" wrapText="1"/>
    </xf>
    <xf numFmtId="3" fontId="1" fillId="6" borderId="31" xfId="0" applyNumberFormat="1" applyFont="1" applyFill="1" applyBorder="1" applyAlignment="1">
      <alignment horizontal="left" vertical="top" wrapText="1"/>
    </xf>
    <xf numFmtId="3" fontId="21" fillId="6" borderId="9"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49" fontId="2" fillId="6" borderId="28"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textRotation="255" wrapText="1"/>
    </xf>
    <xf numFmtId="3" fontId="2" fillId="6" borderId="31" xfId="0" applyNumberFormat="1" applyFont="1" applyFill="1" applyBorder="1" applyAlignment="1">
      <alignment horizontal="center" vertical="top" textRotation="255" wrapText="1"/>
    </xf>
    <xf numFmtId="3" fontId="1" fillId="6" borderId="34" xfId="0" applyNumberFormat="1" applyFont="1" applyFill="1" applyBorder="1" applyAlignment="1">
      <alignment horizontal="left" vertical="top" wrapText="1"/>
    </xf>
    <xf numFmtId="3" fontId="1" fillId="6" borderId="36"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49" fontId="2" fillId="6" borderId="33" xfId="0" applyNumberFormat="1" applyFont="1" applyFill="1" applyBorder="1" applyAlignment="1">
      <alignment horizontal="center" vertical="top"/>
    </xf>
    <xf numFmtId="49" fontId="2" fillId="4" borderId="9"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0" fontId="1" fillId="10" borderId="13" xfId="0" applyFont="1" applyFill="1" applyBorder="1" applyAlignment="1">
      <alignment horizontal="center" vertical="center" wrapText="1"/>
    </xf>
    <xf numFmtId="0" fontId="1" fillId="10" borderId="13" xfId="0" applyFont="1" applyFill="1" applyBorder="1" applyAlignment="1">
      <alignment horizontal="center" vertical="center"/>
    </xf>
    <xf numFmtId="0" fontId="1" fillId="10" borderId="59" xfId="0" applyFont="1" applyFill="1" applyBorder="1" applyAlignment="1">
      <alignment horizontal="center" vertical="center"/>
    </xf>
    <xf numFmtId="0" fontId="1" fillId="10" borderId="33" xfId="0" applyFont="1" applyFill="1" applyBorder="1" applyAlignment="1">
      <alignment horizontal="center" vertical="center"/>
    </xf>
    <xf numFmtId="0" fontId="1" fillId="10" borderId="13" xfId="0" applyFont="1" applyFill="1" applyBorder="1" applyAlignment="1">
      <alignment vertical="center" wrapText="1"/>
    </xf>
    <xf numFmtId="0" fontId="1" fillId="10" borderId="79" xfId="0" applyFont="1" applyFill="1" applyBorder="1" applyAlignment="1">
      <alignment horizontal="center" vertical="center" wrapText="1"/>
    </xf>
    <xf numFmtId="0" fontId="1" fillId="10" borderId="0" xfId="0" applyFont="1" applyFill="1" applyBorder="1" applyAlignment="1">
      <alignment horizontal="center" vertical="center" wrapText="1"/>
    </xf>
    <xf numFmtId="3" fontId="1" fillId="6" borderId="16"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3" fontId="1" fillId="6" borderId="14" xfId="0" applyNumberFormat="1" applyFont="1" applyFill="1" applyBorder="1" applyAlignment="1">
      <alignment horizontal="left" vertical="top" wrapText="1"/>
    </xf>
    <xf numFmtId="0" fontId="1" fillId="6" borderId="36" xfId="0"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xf>
    <xf numFmtId="0" fontId="1" fillId="6" borderId="32" xfId="0" applyFont="1" applyFill="1" applyBorder="1" applyAlignment="1">
      <alignment vertical="top"/>
    </xf>
    <xf numFmtId="3" fontId="1" fillId="0" borderId="12" xfId="0" applyNumberFormat="1" applyFont="1" applyBorder="1" applyAlignment="1">
      <alignment vertical="top" wrapText="1"/>
    </xf>
    <xf numFmtId="3" fontId="1" fillId="0" borderId="0" xfId="0" applyNumberFormat="1" applyFont="1" applyBorder="1" applyAlignment="1">
      <alignment vertical="top" wrapText="1"/>
    </xf>
    <xf numFmtId="3" fontId="1" fillId="6" borderId="10"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6" borderId="32" xfId="0" applyNumberFormat="1" applyFont="1" applyFill="1" applyBorder="1" applyAlignment="1">
      <alignment horizontal="center" vertical="top" wrapText="1"/>
    </xf>
    <xf numFmtId="164" fontId="1" fillId="6" borderId="112" xfId="0" applyNumberFormat="1" applyFont="1" applyFill="1" applyBorder="1" applyAlignment="1">
      <alignment horizontal="center" vertical="top"/>
    </xf>
    <xf numFmtId="164" fontId="1" fillId="6" borderId="113" xfId="0" applyNumberFormat="1" applyFont="1" applyFill="1" applyBorder="1" applyAlignment="1">
      <alignment horizontal="center" vertical="top"/>
    </xf>
    <xf numFmtId="3" fontId="1" fillId="0" borderId="66" xfId="0" applyNumberFormat="1" applyFont="1" applyBorder="1" applyAlignment="1">
      <alignment horizontal="center" vertical="top"/>
    </xf>
    <xf numFmtId="3" fontId="1" fillId="0" borderId="44" xfId="0" applyNumberFormat="1" applyFont="1" applyBorder="1" applyAlignment="1">
      <alignment vertical="top"/>
    </xf>
    <xf numFmtId="164" fontId="1" fillId="6" borderId="61" xfId="1" applyNumberFormat="1" applyFont="1" applyFill="1" applyBorder="1" applyAlignment="1">
      <alignment horizontal="center" vertical="top"/>
    </xf>
    <xf numFmtId="164" fontId="1" fillId="6" borderId="96" xfId="1" applyNumberFormat="1" applyFont="1" applyFill="1" applyBorder="1" applyAlignment="1">
      <alignment horizontal="center" vertical="top"/>
    </xf>
    <xf numFmtId="3" fontId="1" fillId="6" borderId="9" xfId="0" applyNumberFormat="1" applyFont="1" applyFill="1" applyBorder="1" applyAlignment="1">
      <alignment vertical="top"/>
    </xf>
    <xf numFmtId="0" fontId="1" fillId="6" borderId="84" xfId="0" applyFont="1" applyFill="1" applyBorder="1" applyAlignment="1">
      <alignment horizontal="center" vertical="top"/>
    </xf>
    <xf numFmtId="0" fontId="1" fillId="6" borderId="83" xfId="0" applyFont="1" applyFill="1" applyBorder="1" applyAlignment="1">
      <alignment horizontal="center" vertical="top"/>
    </xf>
    <xf numFmtId="3" fontId="1" fillId="6" borderId="10"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6" borderId="89" xfId="1" applyNumberFormat="1" applyFont="1" applyFill="1" applyBorder="1" applyAlignment="1">
      <alignment horizontal="center" vertical="top"/>
    </xf>
    <xf numFmtId="164" fontId="1" fillId="6" borderId="71" xfId="1" applyNumberFormat="1" applyFont="1" applyFill="1" applyBorder="1" applyAlignment="1">
      <alignment horizontal="center" vertical="top"/>
    </xf>
    <xf numFmtId="164" fontId="1" fillId="6" borderId="111" xfId="1" applyNumberFormat="1" applyFont="1" applyFill="1" applyBorder="1" applyAlignment="1">
      <alignment horizontal="center" vertical="top"/>
    </xf>
    <xf numFmtId="3" fontId="1" fillId="6" borderId="114" xfId="0" applyNumberFormat="1"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6" borderId="89" xfId="0" applyFont="1" applyFill="1" applyBorder="1" applyAlignment="1">
      <alignment horizontal="center" vertical="top" wrapText="1"/>
    </xf>
    <xf numFmtId="166" fontId="1" fillId="6" borderId="48" xfId="0" applyNumberFormat="1" applyFont="1" applyFill="1" applyBorder="1" applyAlignment="1">
      <alignment horizontal="center" vertical="top"/>
    </xf>
    <xf numFmtId="3" fontId="1" fillId="6" borderId="34" xfId="0" applyNumberFormat="1" applyFont="1" applyFill="1" applyBorder="1" applyAlignment="1">
      <alignment horizontal="left"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3" fontId="2" fillId="6" borderId="28"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49" fontId="2" fillId="6" borderId="31" xfId="0" applyNumberFormat="1" applyFont="1" applyFill="1" applyBorder="1" applyAlignment="1">
      <alignment horizontal="center" vertical="top"/>
    </xf>
    <xf numFmtId="0" fontId="1" fillId="6" borderId="60" xfId="0" applyFont="1" applyFill="1" applyBorder="1" applyAlignment="1">
      <alignment vertical="top" wrapText="1"/>
    </xf>
    <xf numFmtId="0" fontId="1" fillId="6" borderId="44" xfId="0"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97" xfId="0" applyNumberFormat="1" applyFont="1" applyFill="1" applyBorder="1" applyAlignment="1">
      <alignment horizontal="center" vertical="top" wrapText="1"/>
    </xf>
    <xf numFmtId="164" fontId="1" fillId="0" borderId="48"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84" xfId="0" applyNumberFormat="1" applyFont="1" applyFill="1" applyBorder="1" applyAlignment="1">
      <alignment horizontal="center" vertical="top"/>
    </xf>
    <xf numFmtId="164" fontId="1" fillId="0" borderId="110" xfId="0" applyNumberFormat="1" applyFont="1" applyFill="1" applyBorder="1" applyAlignment="1">
      <alignment horizontal="center" vertical="top"/>
    </xf>
    <xf numFmtId="3" fontId="1" fillId="0" borderId="90" xfId="0" applyNumberFormat="1" applyFont="1" applyFill="1" applyBorder="1" applyAlignment="1">
      <alignment horizontal="center" vertical="top"/>
    </xf>
    <xf numFmtId="164" fontId="1" fillId="0" borderId="79" xfId="0" applyNumberFormat="1" applyFont="1" applyFill="1" applyBorder="1" applyAlignment="1">
      <alignment horizontal="center" vertical="top"/>
    </xf>
    <xf numFmtId="164" fontId="1" fillId="6" borderId="34" xfId="0" applyNumberFormat="1" applyFont="1" applyFill="1" applyBorder="1" applyAlignment="1">
      <alignment horizontal="center" vertical="top"/>
    </xf>
    <xf numFmtId="0" fontId="1" fillId="6" borderId="85" xfId="0" applyFont="1" applyFill="1" applyBorder="1" applyAlignment="1">
      <alignment horizontal="center" vertical="top"/>
    </xf>
    <xf numFmtId="0" fontId="1" fillId="6" borderId="31" xfId="0" applyFont="1" applyFill="1" applyBorder="1" applyAlignment="1">
      <alignment horizontal="center" vertical="top"/>
    </xf>
    <xf numFmtId="0" fontId="1" fillId="6" borderId="91" xfId="0" applyFont="1" applyFill="1" applyBorder="1" applyAlignment="1">
      <alignment horizontal="center" vertical="top"/>
    </xf>
    <xf numFmtId="0" fontId="1" fillId="6" borderId="32" xfId="0" applyFont="1" applyFill="1" applyBorder="1" applyAlignment="1">
      <alignment horizontal="center" vertical="top"/>
    </xf>
    <xf numFmtId="0" fontId="1" fillId="6" borderId="16" xfId="0" applyFont="1" applyFill="1" applyBorder="1" applyAlignment="1">
      <alignment horizontal="center" vertical="top" wrapText="1"/>
    </xf>
    <xf numFmtId="0" fontId="1" fillId="6" borderId="32" xfId="0" applyFont="1" applyFill="1" applyBorder="1" applyAlignment="1">
      <alignment horizontal="center" vertical="top" wrapText="1"/>
    </xf>
    <xf numFmtId="3" fontId="1" fillId="6" borderId="60" xfId="0" applyNumberFormat="1" applyFont="1" applyFill="1" applyBorder="1" applyAlignment="1">
      <alignment horizontal="left" vertical="top" wrapText="1"/>
    </xf>
    <xf numFmtId="0" fontId="1" fillId="6" borderId="27" xfId="0" applyNumberFormat="1" applyFont="1" applyFill="1" applyBorder="1" applyAlignment="1">
      <alignment horizontal="center" vertical="top" wrapText="1"/>
    </xf>
    <xf numFmtId="164" fontId="1" fillId="0" borderId="9" xfId="0" applyNumberFormat="1" applyFont="1" applyBorder="1" applyAlignment="1">
      <alignment horizontal="center" vertical="top"/>
    </xf>
    <xf numFmtId="164" fontId="1" fillId="0" borderId="0" xfId="0" applyNumberFormat="1" applyFont="1" applyBorder="1" applyAlignment="1">
      <alignment horizontal="center" vertical="top"/>
    </xf>
    <xf numFmtId="3" fontId="1" fillId="0" borderId="66" xfId="0" applyNumberFormat="1" applyFont="1" applyBorder="1" applyAlignment="1">
      <alignment vertical="top"/>
    </xf>
    <xf numFmtId="164" fontId="1" fillId="0" borderId="91" xfId="0" applyNumberFormat="1" applyFont="1" applyBorder="1" applyAlignment="1">
      <alignment horizontal="center" vertical="top"/>
    </xf>
    <xf numFmtId="3" fontId="1" fillId="6" borderId="32" xfId="0" applyNumberFormat="1" applyFont="1" applyFill="1" applyBorder="1" applyAlignment="1">
      <alignment horizontal="center" vertical="top" wrapText="1"/>
    </xf>
    <xf numFmtId="3" fontId="1" fillId="6" borderId="14" xfId="0" applyNumberFormat="1" applyFont="1" applyFill="1" applyBorder="1" applyAlignment="1">
      <alignment horizontal="left" vertical="top" wrapText="1"/>
    </xf>
    <xf numFmtId="3" fontId="1" fillId="6" borderId="103" xfId="0" applyNumberFormat="1" applyFont="1" applyFill="1" applyBorder="1" applyAlignment="1">
      <alignment horizontal="center" vertical="top" wrapText="1"/>
    </xf>
    <xf numFmtId="164" fontId="2" fillId="4" borderId="55" xfId="0" applyNumberFormat="1" applyFont="1" applyFill="1" applyBorder="1" applyAlignment="1">
      <alignment horizontal="center" vertical="top"/>
    </xf>
    <xf numFmtId="164" fontId="2" fillId="3" borderId="55"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3" fontId="1" fillId="6" borderId="31"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3" fontId="1" fillId="6" borderId="34"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60"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0" fontId="1" fillId="6" borderId="36" xfId="0" applyFont="1" applyFill="1" applyBorder="1" applyAlignment="1">
      <alignment horizontal="center" vertical="top" wrapText="1"/>
    </xf>
    <xf numFmtId="0" fontId="1" fillId="6" borderId="33" xfId="0" applyFont="1" applyFill="1" applyBorder="1" applyAlignment="1">
      <alignment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3" fontId="2" fillId="4" borderId="9"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wrapText="1"/>
    </xf>
    <xf numFmtId="3" fontId="2" fillId="8" borderId="10" xfId="0" applyNumberFormat="1" applyFont="1" applyFill="1" applyBorder="1" applyAlignment="1">
      <alignment horizontal="center" vertical="top" wrapText="1"/>
    </xf>
    <xf numFmtId="3" fontId="2" fillId="6" borderId="28"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0" fontId="1" fillId="6" borderId="66" xfId="0" applyFont="1" applyFill="1" applyBorder="1" applyAlignment="1">
      <alignment vertical="top" wrapText="1"/>
    </xf>
    <xf numFmtId="3" fontId="2" fillId="6" borderId="3" xfId="0" applyNumberFormat="1" applyFont="1" applyFill="1" applyBorder="1" applyAlignment="1">
      <alignment horizontal="left" vertical="top" wrapText="1"/>
    </xf>
    <xf numFmtId="164" fontId="1" fillId="6" borderId="66" xfId="0" applyNumberFormat="1" applyFont="1" applyFill="1" applyBorder="1" applyAlignment="1">
      <alignment horizontal="left" vertical="top" wrapText="1"/>
    </xf>
    <xf numFmtId="164" fontId="1" fillId="6" borderId="44" xfId="0" applyNumberFormat="1" applyFont="1" applyFill="1" applyBorder="1" applyAlignment="1">
      <alignment horizontal="left" vertical="top" wrapText="1"/>
    </xf>
    <xf numFmtId="0" fontId="1" fillId="6" borderId="14" xfId="0" applyFont="1" applyFill="1" applyBorder="1" applyAlignment="1">
      <alignment vertical="top" wrapText="1"/>
    </xf>
    <xf numFmtId="0" fontId="1" fillId="6" borderId="14" xfId="0" applyFont="1" applyFill="1" applyBorder="1" applyAlignment="1">
      <alignment horizontal="left" vertical="top" wrapText="1"/>
    </xf>
    <xf numFmtId="0" fontId="1" fillId="6" borderId="44" xfId="0" applyFont="1" applyFill="1" applyBorder="1" applyAlignment="1">
      <alignment horizontal="left" vertical="top" wrapText="1"/>
    </xf>
    <xf numFmtId="3" fontId="1" fillId="6" borderId="44" xfId="0" applyNumberFormat="1" applyFont="1" applyFill="1" applyBorder="1" applyAlignment="1">
      <alignment horizontal="left" vertical="top" wrapText="1"/>
    </xf>
    <xf numFmtId="3" fontId="1" fillId="6" borderId="91" xfId="0" applyNumberFormat="1" applyFont="1" applyFill="1" applyBorder="1" applyAlignment="1">
      <alignment horizontal="center" vertical="top" wrapText="1"/>
    </xf>
    <xf numFmtId="3" fontId="1" fillId="6" borderId="63" xfId="0" applyNumberFormat="1" applyFont="1" applyFill="1" applyBorder="1" applyAlignment="1">
      <alignment horizontal="center" vertical="top" wrapText="1"/>
    </xf>
    <xf numFmtId="3" fontId="1" fillId="6" borderId="33" xfId="0" applyNumberFormat="1" applyFont="1" applyFill="1" applyBorder="1" applyAlignment="1">
      <alignment vertical="top" wrapText="1"/>
    </xf>
    <xf numFmtId="3" fontId="1" fillId="6" borderId="10" xfId="0" applyNumberFormat="1" applyFont="1" applyFill="1" applyBorder="1" applyAlignment="1">
      <alignment vertical="top" wrapText="1"/>
    </xf>
    <xf numFmtId="0" fontId="1" fillId="6" borderId="60" xfId="0" applyFont="1" applyFill="1" applyBorder="1" applyAlignment="1">
      <alignment vertical="top" wrapText="1"/>
    </xf>
    <xf numFmtId="0" fontId="1" fillId="6" borderId="44" xfId="0"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31" xfId="0" applyNumberFormat="1" applyFont="1" applyFill="1" applyBorder="1" applyAlignment="1">
      <alignment vertical="top" wrapText="1"/>
    </xf>
    <xf numFmtId="3" fontId="4" fillId="6" borderId="11" xfId="0" applyNumberFormat="1" applyFont="1" applyFill="1" applyBorder="1" applyAlignment="1">
      <alignment horizontal="center" vertical="top" wrapText="1"/>
    </xf>
    <xf numFmtId="0" fontId="1" fillId="7" borderId="0" xfId="0" applyFont="1" applyFill="1" applyAlignment="1">
      <alignment vertical="top"/>
    </xf>
    <xf numFmtId="3" fontId="1" fillId="7" borderId="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13" xfId="0" applyNumberFormat="1" applyFont="1" applyFill="1" applyBorder="1" applyAlignment="1">
      <alignment horizontal="center" vertical="top"/>
    </xf>
    <xf numFmtId="3" fontId="1" fillId="6" borderId="3" xfId="0" applyNumberFormat="1" applyFont="1" applyFill="1" applyBorder="1" applyAlignment="1">
      <alignment horizontal="center" vertical="top"/>
    </xf>
    <xf numFmtId="3" fontId="1" fillId="6" borderId="5" xfId="0" applyNumberFormat="1" applyFont="1" applyFill="1" applyBorder="1" applyAlignment="1">
      <alignment vertical="top" wrapText="1"/>
    </xf>
    <xf numFmtId="3" fontId="1" fillId="7" borderId="3"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6" fontId="1" fillId="7" borderId="33" xfId="0" applyNumberFormat="1" applyFont="1" applyFill="1" applyBorder="1" applyAlignment="1">
      <alignment horizontal="center" vertical="top"/>
    </xf>
    <xf numFmtId="166" fontId="1" fillId="7" borderId="16" xfId="0" applyNumberFormat="1" applyFont="1" applyFill="1" applyBorder="1" applyAlignment="1">
      <alignment horizontal="center" vertical="top"/>
    </xf>
    <xf numFmtId="3" fontId="2" fillId="6" borderId="16" xfId="0" applyNumberFormat="1" applyFont="1" applyFill="1" applyBorder="1" applyAlignment="1">
      <alignment horizontal="center" vertical="top" wrapText="1"/>
    </xf>
    <xf numFmtId="0" fontId="1" fillId="10" borderId="60" xfId="0" applyFont="1" applyFill="1" applyBorder="1" applyAlignment="1">
      <alignment vertical="center" wrapText="1"/>
    </xf>
    <xf numFmtId="166" fontId="1" fillId="7" borderId="79" xfId="0" applyNumberFormat="1" applyFont="1" applyFill="1" applyBorder="1" applyAlignment="1">
      <alignment horizontal="center" vertical="top"/>
    </xf>
    <xf numFmtId="3" fontId="1" fillId="6" borderId="84" xfId="0" applyNumberFormat="1" applyFont="1" applyFill="1" applyBorder="1" applyAlignment="1">
      <alignment horizontal="center" vertical="top"/>
    </xf>
    <xf numFmtId="3" fontId="1" fillId="6" borderId="96" xfId="0" applyNumberFormat="1" applyFont="1" applyFill="1" applyBorder="1" applyAlignment="1">
      <alignment horizontal="center" vertical="top"/>
    </xf>
    <xf numFmtId="0" fontId="1" fillId="7" borderId="37" xfId="0" applyNumberFormat="1" applyFont="1" applyFill="1" applyBorder="1" applyAlignment="1">
      <alignment horizontal="center" vertical="top"/>
    </xf>
    <xf numFmtId="3" fontId="1" fillId="0" borderId="32" xfId="0" applyNumberFormat="1" applyFont="1" applyBorder="1" applyAlignment="1">
      <alignment vertical="top"/>
    </xf>
    <xf numFmtId="0" fontId="1" fillId="6" borderId="44" xfId="0" applyFont="1" applyFill="1" applyBorder="1" applyAlignment="1">
      <alignment horizontal="center" vertical="center" wrapText="1"/>
    </xf>
    <xf numFmtId="164" fontId="1" fillId="6" borderId="3"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3" fontId="23" fillId="6" borderId="60" xfId="0" applyNumberFormat="1" applyFont="1" applyFill="1" applyBorder="1" applyAlignment="1">
      <alignment horizontal="center" vertical="top"/>
    </xf>
    <xf numFmtId="164" fontId="23" fillId="6" borderId="61" xfId="0" applyNumberFormat="1" applyFont="1" applyFill="1" applyBorder="1" applyAlignment="1">
      <alignment horizontal="center" vertical="top"/>
    </xf>
    <xf numFmtId="164" fontId="23" fillId="6" borderId="33" xfId="0" applyNumberFormat="1" applyFont="1" applyFill="1" applyBorder="1" applyAlignment="1">
      <alignment horizontal="center" vertical="top"/>
    </xf>
    <xf numFmtId="164" fontId="23" fillId="6" borderId="65" xfId="0" applyNumberFormat="1" applyFont="1" applyFill="1" applyBorder="1" applyAlignment="1">
      <alignment horizontal="center" vertical="top"/>
    </xf>
    <xf numFmtId="3" fontId="23" fillId="6" borderId="44" xfId="0" applyNumberFormat="1" applyFont="1" applyFill="1" applyBorder="1" applyAlignment="1">
      <alignment horizontal="center" vertical="top"/>
    </xf>
    <xf numFmtId="164" fontId="23" fillId="6" borderId="30" xfId="0" applyNumberFormat="1" applyFont="1" applyFill="1" applyBorder="1" applyAlignment="1">
      <alignment horizontal="center" vertical="top"/>
    </xf>
    <xf numFmtId="164" fontId="23" fillId="6" borderId="51" xfId="0" applyNumberFormat="1" applyFont="1" applyFill="1" applyBorder="1" applyAlignment="1">
      <alignment horizontal="center" vertical="top"/>
    </xf>
    <xf numFmtId="164" fontId="23" fillId="6" borderId="32" xfId="0" applyNumberFormat="1" applyFont="1" applyFill="1" applyBorder="1" applyAlignment="1">
      <alignment horizontal="center" vertical="top"/>
    </xf>
    <xf numFmtId="3" fontId="23" fillId="0" borderId="66" xfId="0" applyNumberFormat="1" applyFont="1" applyBorder="1" applyAlignment="1">
      <alignment horizontal="center" vertical="top"/>
    </xf>
    <xf numFmtId="164" fontId="23" fillId="6" borderId="48" xfId="0" applyNumberFormat="1" applyFont="1" applyFill="1" applyBorder="1" applyAlignment="1">
      <alignment horizontal="center" vertical="top"/>
    </xf>
    <xf numFmtId="164" fontId="23" fillId="6" borderId="10" xfId="0" applyNumberFormat="1" applyFont="1" applyFill="1" applyBorder="1" applyAlignment="1">
      <alignment horizontal="center" vertical="top"/>
    </xf>
    <xf numFmtId="164" fontId="23" fillId="6" borderId="91" xfId="0" applyNumberFormat="1" applyFont="1" applyFill="1" applyBorder="1" applyAlignment="1">
      <alignment horizontal="center" vertical="top"/>
    </xf>
    <xf numFmtId="3" fontId="23" fillId="0" borderId="60" xfId="0" applyNumberFormat="1" applyFont="1" applyFill="1" applyBorder="1" applyAlignment="1">
      <alignment horizontal="center" vertical="top"/>
    </xf>
    <xf numFmtId="164" fontId="23" fillId="0" borderId="61" xfId="0" applyNumberFormat="1" applyFont="1" applyFill="1" applyBorder="1" applyAlignment="1">
      <alignment horizontal="center" vertical="top"/>
    </xf>
    <xf numFmtId="164" fontId="23" fillId="0" borderId="33" xfId="0" applyNumberFormat="1" applyFont="1" applyFill="1" applyBorder="1" applyAlignment="1">
      <alignment horizontal="center" vertical="top"/>
    </xf>
    <xf numFmtId="3" fontId="23" fillId="6" borderId="66" xfId="0" applyNumberFormat="1" applyFont="1" applyFill="1" applyBorder="1" applyAlignment="1">
      <alignment horizontal="center" vertical="top"/>
    </xf>
    <xf numFmtId="164" fontId="23" fillId="6" borderId="103" xfId="0" applyNumberFormat="1" applyFont="1" applyFill="1" applyBorder="1" applyAlignment="1">
      <alignment horizontal="center" vertical="top"/>
    </xf>
    <xf numFmtId="164" fontId="23" fillId="6" borderId="67" xfId="0" applyNumberFormat="1" applyFont="1" applyFill="1" applyBorder="1" applyAlignment="1">
      <alignment horizontal="center" vertical="top"/>
    </xf>
    <xf numFmtId="3" fontId="23" fillId="6" borderId="14" xfId="0" applyNumberFormat="1" applyFont="1" applyFill="1" applyBorder="1" applyAlignment="1">
      <alignment horizontal="center" vertical="top"/>
    </xf>
    <xf numFmtId="164" fontId="23" fillId="6" borderId="9" xfId="0" applyNumberFormat="1" applyFont="1" applyFill="1" applyBorder="1" applyAlignment="1">
      <alignment horizontal="center" vertical="top"/>
    </xf>
    <xf numFmtId="164" fontId="23" fillId="6" borderId="36" xfId="0" applyNumberFormat="1" applyFont="1" applyFill="1" applyBorder="1" applyAlignment="1">
      <alignment horizontal="center" vertical="top"/>
    </xf>
    <xf numFmtId="164" fontId="23" fillId="6" borderId="45" xfId="0" applyNumberFormat="1" applyFont="1" applyFill="1" applyBorder="1" applyAlignment="1">
      <alignment horizontal="center" vertical="top"/>
    </xf>
    <xf numFmtId="164" fontId="23" fillId="6" borderId="31" xfId="0" applyNumberFormat="1" applyFont="1" applyFill="1" applyBorder="1" applyAlignment="1">
      <alignment horizontal="center" vertical="top"/>
    </xf>
    <xf numFmtId="3" fontId="23" fillId="6" borderId="60" xfId="0" applyNumberFormat="1" applyFont="1" applyFill="1" applyBorder="1" applyAlignment="1">
      <alignment horizontal="center" vertical="top" wrapText="1"/>
    </xf>
    <xf numFmtId="164" fontId="23" fillId="6" borderId="79" xfId="0" applyNumberFormat="1" applyFont="1" applyFill="1" applyBorder="1" applyAlignment="1">
      <alignment horizontal="center" vertical="top"/>
    </xf>
    <xf numFmtId="3" fontId="23" fillId="6" borderId="14" xfId="0" applyNumberFormat="1" applyFont="1" applyFill="1" applyBorder="1" applyAlignment="1">
      <alignment horizontal="center" vertical="top" wrapText="1"/>
    </xf>
    <xf numFmtId="3" fontId="23" fillId="0" borderId="32" xfId="0" applyNumberFormat="1" applyFont="1" applyBorder="1" applyAlignment="1">
      <alignment vertical="top"/>
    </xf>
    <xf numFmtId="164" fontId="23" fillId="6" borderId="59" xfId="0" applyNumberFormat="1" applyFont="1" applyFill="1" applyBorder="1" applyAlignment="1">
      <alignment horizontal="center" vertical="top"/>
    </xf>
    <xf numFmtId="3" fontId="23" fillId="6" borderId="33" xfId="0" applyNumberFormat="1" applyFont="1" applyFill="1" applyBorder="1" applyAlignment="1">
      <alignment vertical="top"/>
    </xf>
    <xf numFmtId="164" fontId="23" fillId="6" borderId="85" xfId="0" applyNumberFormat="1" applyFont="1" applyFill="1" applyBorder="1" applyAlignment="1">
      <alignment horizontal="center" vertical="top"/>
    </xf>
    <xf numFmtId="164" fontId="23" fillId="6" borderId="16" xfId="0" applyNumberFormat="1" applyFont="1" applyFill="1" applyBorder="1" applyAlignment="1">
      <alignment horizontal="center" vertical="top"/>
    </xf>
    <xf numFmtId="0" fontId="23" fillId="10" borderId="60" xfId="0" applyFont="1" applyFill="1" applyBorder="1" applyAlignment="1">
      <alignment horizontal="center" vertical="center" wrapText="1"/>
    </xf>
    <xf numFmtId="0" fontId="23" fillId="10" borderId="59" xfId="0" applyFont="1" applyFill="1" applyBorder="1" applyAlignment="1">
      <alignment horizontal="center" vertical="center"/>
    </xf>
    <xf numFmtId="0" fontId="23" fillId="10" borderId="33" xfId="0" applyFont="1" applyFill="1" applyBorder="1" applyAlignment="1">
      <alignment horizontal="center" vertical="center"/>
    </xf>
    <xf numFmtId="164" fontId="23" fillId="6" borderId="11" xfId="0" applyNumberFormat="1" applyFont="1" applyFill="1" applyBorder="1" applyAlignment="1">
      <alignment horizontal="center" vertical="top"/>
    </xf>
    <xf numFmtId="3" fontId="2" fillId="0" borderId="16" xfId="0" applyNumberFormat="1" applyFont="1" applyFill="1" applyBorder="1" applyAlignment="1">
      <alignment horizontal="center" vertical="top" wrapText="1"/>
    </xf>
    <xf numFmtId="3" fontId="1" fillId="6" borderId="11" xfId="0" applyNumberFormat="1" applyFont="1" applyFill="1" applyBorder="1" applyAlignment="1">
      <alignment horizontal="center" vertical="top" textRotation="90" wrapText="1"/>
    </xf>
    <xf numFmtId="3" fontId="1" fillId="6" borderId="36" xfId="0" applyNumberFormat="1" applyFont="1" applyFill="1" applyBorder="1" applyAlignment="1">
      <alignment horizontal="center" vertical="top" textRotation="90" wrapText="1"/>
    </xf>
    <xf numFmtId="3" fontId="1" fillId="6" borderId="2"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wrapText="1"/>
    </xf>
    <xf numFmtId="3" fontId="23" fillId="0" borderId="89" xfId="0" applyNumberFormat="1" applyFont="1" applyFill="1" applyBorder="1" applyAlignment="1">
      <alignment horizontal="center" vertical="top"/>
    </xf>
    <xf numFmtId="164" fontId="23" fillId="0" borderId="79" xfId="0" applyNumberFormat="1" applyFont="1" applyFill="1" applyBorder="1" applyAlignment="1">
      <alignment horizontal="center" vertical="top"/>
    </xf>
    <xf numFmtId="164" fontId="23" fillId="6" borderId="68" xfId="0" applyNumberFormat="1" applyFont="1" applyFill="1" applyBorder="1" applyAlignment="1">
      <alignment horizontal="center" vertical="top"/>
    </xf>
    <xf numFmtId="3" fontId="23" fillId="6" borderId="29" xfId="0" applyNumberFormat="1" applyFont="1" applyFill="1" applyBorder="1" applyAlignment="1">
      <alignment horizontal="center" vertical="top"/>
    </xf>
    <xf numFmtId="164" fontId="23" fillId="0" borderId="93" xfId="0" applyNumberFormat="1" applyFont="1" applyFill="1" applyBorder="1" applyAlignment="1">
      <alignment horizontal="center" vertical="top"/>
    </xf>
    <xf numFmtId="164" fontId="23" fillId="0" borderId="34" xfId="0" applyNumberFormat="1" applyFont="1" applyFill="1" applyBorder="1" applyAlignment="1">
      <alignment horizontal="center" vertical="top"/>
    </xf>
    <xf numFmtId="164" fontId="23" fillId="0" borderId="37" xfId="0" applyNumberFormat="1" applyFont="1" applyFill="1" applyBorder="1" applyAlignment="1">
      <alignment horizontal="center" vertical="top"/>
    </xf>
    <xf numFmtId="164" fontId="23" fillId="6" borderId="28" xfId="0" applyNumberFormat="1" applyFont="1" applyFill="1" applyBorder="1" applyAlignment="1">
      <alignment horizontal="center" vertical="top"/>
    </xf>
    <xf numFmtId="164" fontId="23" fillId="6" borderId="93" xfId="0" applyNumberFormat="1" applyFont="1" applyFill="1" applyBorder="1" applyAlignment="1">
      <alignment horizontal="center" vertical="top"/>
    </xf>
    <xf numFmtId="164" fontId="23" fillId="6" borderId="34" xfId="0" applyNumberFormat="1" applyFont="1" applyFill="1" applyBorder="1" applyAlignment="1">
      <alignment horizontal="center" vertical="top"/>
    </xf>
    <xf numFmtId="3" fontId="23" fillId="0" borderId="44" xfId="0" applyNumberFormat="1" applyFont="1" applyFill="1" applyBorder="1" applyAlignment="1">
      <alignment horizontal="center" vertical="top"/>
    </xf>
    <xf numFmtId="3" fontId="23" fillId="0" borderId="14" xfId="0" applyNumberFormat="1" applyFont="1" applyFill="1" applyBorder="1" applyAlignment="1">
      <alignment horizontal="center" vertical="top"/>
    </xf>
    <xf numFmtId="3" fontId="1" fillId="6" borderId="32" xfId="0" applyNumberFormat="1" applyFont="1" applyFill="1" applyBorder="1" applyAlignment="1">
      <alignment vertical="top"/>
    </xf>
    <xf numFmtId="0" fontId="2" fillId="6" borderId="16" xfId="0" applyFont="1" applyFill="1" applyBorder="1" applyAlignment="1">
      <alignment horizontal="center" vertical="center" wrapText="1"/>
    </xf>
    <xf numFmtId="3" fontId="1" fillId="6" borderId="32" xfId="0" applyNumberFormat="1" applyFont="1" applyFill="1" applyBorder="1" applyAlignment="1">
      <alignment horizontal="center" vertical="center" wrapText="1"/>
    </xf>
    <xf numFmtId="3" fontId="1" fillId="6" borderId="4" xfId="0" applyNumberFormat="1" applyFont="1" applyFill="1" applyBorder="1" applyAlignment="1">
      <alignment horizontal="center" vertical="center" wrapText="1"/>
    </xf>
    <xf numFmtId="3" fontId="1" fillId="6" borderId="36" xfId="0" applyNumberFormat="1" applyFont="1" applyFill="1" applyBorder="1" applyAlignment="1">
      <alignment horizontal="center" vertical="center" wrapText="1"/>
    </xf>
    <xf numFmtId="164" fontId="1" fillId="6" borderId="75" xfId="0" applyNumberFormat="1" applyFont="1" applyFill="1" applyBorder="1" applyAlignment="1">
      <alignment horizontal="center" vertical="top"/>
    </xf>
    <xf numFmtId="3" fontId="1" fillId="6" borderId="2" xfId="0" applyNumberFormat="1" applyFont="1" applyFill="1" applyBorder="1" applyAlignment="1">
      <alignment vertical="top" wrapText="1"/>
    </xf>
    <xf numFmtId="3" fontId="1" fillId="6" borderId="3" xfId="0" applyNumberFormat="1" applyFont="1" applyFill="1" applyBorder="1" applyAlignment="1">
      <alignment vertical="top" wrapText="1"/>
    </xf>
    <xf numFmtId="3" fontId="1" fillId="6" borderId="77" xfId="0" applyNumberFormat="1" applyFont="1" applyFill="1" applyBorder="1" applyAlignment="1">
      <alignment vertical="top" wrapText="1"/>
    </xf>
    <xf numFmtId="3" fontId="1" fillId="6" borderId="9" xfId="0" applyNumberFormat="1" applyFont="1" applyFill="1" applyBorder="1" applyAlignment="1">
      <alignment vertical="top" wrapText="1"/>
    </xf>
    <xf numFmtId="3" fontId="1" fillId="6" borderId="13" xfId="0" applyNumberFormat="1" applyFont="1" applyFill="1" applyBorder="1" applyAlignment="1">
      <alignment vertical="top" wrapText="1"/>
    </xf>
    <xf numFmtId="3" fontId="23" fillId="6" borderId="44" xfId="0" applyNumberFormat="1" applyFont="1" applyFill="1" applyBorder="1" applyAlignment="1">
      <alignment horizontal="center" vertical="top" wrapText="1"/>
    </xf>
    <xf numFmtId="3" fontId="23" fillId="6" borderId="66" xfId="0" applyNumberFormat="1" applyFont="1" applyFill="1" applyBorder="1" applyAlignment="1">
      <alignment horizontal="center" vertical="top" wrapText="1"/>
    </xf>
    <xf numFmtId="3" fontId="23" fillId="0" borderId="0" xfId="0" applyNumberFormat="1" applyFont="1" applyBorder="1" applyAlignment="1">
      <alignment vertical="top"/>
    </xf>
    <xf numFmtId="3" fontId="23" fillId="0" borderId="35" xfId="0" applyNumberFormat="1" applyFont="1" applyBorder="1" applyAlignment="1">
      <alignment vertical="top"/>
    </xf>
    <xf numFmtId="3" fontId="23" fillId="0" borderId="31" xfId="0" applyNumberFormat="1" applyFont="1" applyBorder="1" applyAlignment="1">
      <alignment vertical="top"/>
    </xf>
    <xf numFmtId="3" fontId="23" fillId="6" borderId="29" xfId="0" applyNumberFormat="1" applyFont="1" applyFill="1" applyBorder="1" applyAlignment="1">
      <alignment horizontal="center" vertical="top" wrapText="1"/>
    </xf>
    <xf numFmtId="164" fontId="23" fillId="6" borderId="17" xfId="0" applyNumberFormat="1" applyFont="1" applyFill="1" applyBorder="1" applyAlignment="1">
      <alignment horizontal="center" vertical="top"/>
    </xf>
    <xf numFmtId="164" fontId="23" fillId="6" borderId="15" xfId="0" applyNumberFormat="1" applyFont="1" applyFill="1" applyBorder="1" applyAlignment="1">
      <alignment horizontal="center" vertical="top"/>
    </xf>
    <xf numFmtId="164" fontId="1" fillId="6" borderId="14" xfId="0" applyNumberFormat="1" applyFont="1" applyFill="1" applyBorder="1" applyAlignment="1">
      <alignment horizontal="center" vertical="top" wrapText="1"/>
    </xf>
    <xf numFmtId="0" fontId="1" fillId="6" borderId="44" xfId="0" applyFont="1" applyFill="1" applyBorder="1" applyAlignment="1">
      <alignment vertical="top"/>
    </xf>
    <xf numFmtId="0" fontId="1" fillId="0" borderId="68" xfId="0" applyFont="1" applyBorder="1" applyAlignment="1">
      <alignment vertical="top"/>
    </xf>
    <xf numFmtId="0" fontId="1" fillId="6" borderId="30" xfId="0" applyFont="1" applyFill="1" applyBorder="1" applyAlignment="1">
      <alignment vertical="top"/>
    </xf>
    <xf numFmtId="3" fontId="2" fillId="6" borderId="4" xfId="0" applyNumberFormat="1" applyFont="1" applyFill="1" applyBorder="1" applyAlignment="1">
      <alignment horizontal="center" vertical="top"/>
    </xf>
    <xf numFmtId="3" fontId="2" fillId="6" borderId="36" xfId="0" applyNumberFormat="1" applyFont="1" applyFill="1" applyBorder="1" applyAlignment="1">
      <alignment horizontal="center" vertical="top"/>
    </xf>
    <xf numFmtId="3" fontId="1" fillId="6" borderId="5" xfId="1" applyNumberFormat="1" applyFont="1" applyFill="1" applyBorder="1" applyAlignment="1">
      <alignment horizontal="center" vertical="top"/>
    </xf>
    <xf numFmtId="164" fontId="1" fillId="6" borderId="2" xfId="0" applyNumberFormat="1" applyFont="1" applyFill="1" applyBorder="1" applyAlignment="1">
      <alignment horizontal="center" vertical="top"/>
    </xf>
    <xf numFmtId="3" fontId="1" fillId="6" borderId="5" xfId="0" applyNumberFormat="1" applyFont="1" applyFill="1" applyBorder="1" applyAlignment="1">
      <alignment horizontal="left" wrapText="1"/>
    </xf>
    <xf numFmtId="3" fontId="1" fillId="6" borderId="2" xfId="0" applyNumberFormat="1" applyFont="1" applyFill="1" applyBorder="1" applyAlignment="1">
      <alignment horizontal="center" vertical="top"/>
    </xf>
    <xf numFmtId="3" fontId="1" fillId="6" borderId="77" xfId="0" applyNumberFormat="1" applyFont="1" applyFill="1" applyBorder="1" applyAlignment="1">
      <alignment horizontal="center" vertical="top"/>
    </xf>
    <xf numFmtId="3" fontId="1" fillId="6" borderId="14" xfId="0" applyNumberFormat="1" applyFont="1" applyFill="1" applyBorder="1" applyAlignment="1">
      <alignment horizontal="left" wrapText="1"/>
    </xf>
    <xf numFmtId="3" fontId="1" fillId="6" borderId="36"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3" fillId="6" borderId="60" xfId="1" applyNumberFormat="1" applyFont="1" applyFill="1" applyBorder="1" applyAlignment="1">
      <alignment horizontal="center" vertical="top"/>
    </xf>
    <xf numFmtId="164" fontId="23" fillId="6" borderId="61" xfId="1" applyNumberFormat="1" applyFont="1" applyFill="1" applyBorder="1" applyAlignment="1">
      <alignment horizontal="center" vertical="top"/>
    </xf>
    <xf numFmtId="164" fontId="23" fillId="6" borderId="33" xfId="1" applyNumberFormat="1" applyFont="1" applyFill="1" applyBorder="1" applyAlignment="1">
      <alignment horizontal="center" vertical="top"/>
    </xf>
    <xf numFmtId="164" fontId="23" fillId="6" borderId="16" xfId="1" applyNumberFormat="1" applyFont="1" applyFill="1" applyBorder="1" applyAlignment="1">
      <alignment horizontal="center" vertical="top"/>
    </xf>
    <xf numFmtId="3" fontId="23" fillId="6" borderId="14" xfId="1" applyNumberFormat="1" applyFont="1" applyFill="1" applyBorder="1" applyAlignment="1">
      <alignment horizontal="center" vertical="top"/>
    </xf>
    <xf numFmtId="164" fontId="23" fillId="6" borderId="10" xfId="1" applyNumberFormat="1" applyFont="1" applyFill="1" applyBorder="1" applyAlignment="1">
      <alignment horizontal="center" vertical="top"/>
    </xf>
    <xf numFmtId="164" fontId="23" fillId="6" borderId="36" xfId="1" applyNumberFormat="1" applyFont="1" applyFill="1" applyBorder="1" applyAlignment="1">
      <alignment horizontal="center" vertical="top"/>
    </xf>
    <xf numFmtId="3" fontId="23" fillId="0" borderId="14" xfId="0" applyNumberFormat="1" applyFont="1" applyBorder="1" applyAlignment="1">
      <alignment vertical="top"/>
    </xf>
    <xf numFmtId="3" fontId="23" fillId="6" borderId="9" xfId="0" applyNumberFormat="1" applyFont="1" applyFill="1" applyBorder="1" applyAlignment="1">
      <alignment vertical="top"/>
    </xf>
    <xf numFmtId="0" fontId="23" fillId="6" borderId="14" xfId="0" applyFont="1" applyFill="1" applyBorder="1" applyAlignment="1">
      <alignment horizontal="center" vertical="top" wrapText="1"/>
    </xf>
    <xf numFmtId="0" fontId="23" fillId="6" borderId="60" xfId="0" applyFont="1" applyFill="1" applyBorder="1" applyAlignment="1">
      <alignment horizontal="center" vertical="top" wrapText="1"/>
    </xf>
    <xf numFmtId="164" fontId="23" fillId="6" borderId="13" xfId="0" applyNumberFormat="1" applyFont="1" applyFill="1" applyBorder="1" applyAlignment="1">
      <alignment horizontal="center" vertical="top"/>
    </xf>
    <xf numFmtId="3" fontId="23" fillId="6" borderId="14" xfId="0" applyNumberFormat="1" applyFont="1" applyFill="1" applyBorder="1" applyAlignment="1">
      <alignment vertical="top"/>
    </xf>
    <xf numFmtId="3" fontId="23" fillId="6" borderId="12" xfId="0" applyNumberFormat="1" applyFont="1" applyFill="1" applyBorder="1" applyAlignment="1">
      <alignment vertical="top"/>
    </xf>
    <xf numFmtId="3" fontId="23" fillId="6" borderId="11" xfId="0" applyNumberFormat="1" applyFont="1" applyFill="1" applyBorder="1" applyAlignment="1">
      <alignment vertical="top"/>
    </xf>
    <xf numFmtId="3" fontId="23" fillId="6" borderId="36" xfId="0" applyNumberFormat="1" applyFont="1" applyFill="1" applyBorder="1" applyAlignment="1">
      <alignment vertical="top"/>
    </xf>
    <xf numFmtId="3" fontId="23" fillId="6" borderId="44" xfId="0" applyNumberFormat="1" applyFont="1" applyFill="1" applyBorder="1" applyAlignment="1">
      <alignment vertical="top"/>
    </xf>
    <xf numFmtId="164" fontId="23" fillId="6" borderId="12" xfId="0" applyNumberFormat="1" applyFont="1" applyFill="1" applyBorder="1" applyAlignment="1">
      <alignment horizontal="center" vertical="top"/>
    </xf>
    <xf numFmtId="164" fontId="23" fillId="6" borderId="60" xfId="0" applyNumberFormat="1" applyFont="1" applyFill="1" applyBorder="1" applyAlignment="1">
      <alignment horizontal="center" vertical="top"/>
    </xf>
    <xf numFmtId="164" fontId="23" fillId="6" borderId="14" xfId="0" applyNumberFormat="1" applyFont="1" applyFill="1" applyBorder="1" applyAlignment="1">
      <alignment horizontal="center" vertical="top"/>
    </xf>
    <xf numFmtId="164" fontId="23" fillId="6" borderId="14" xfId="0" applyNumberFormat="1" applyFont="1" applyFill="1" applyBorder="1" applyAlignment="1">
      <alignment horizontal="center" vertical="top" wrapText="1"/>
    </xf>
    <xf numFmtId="166" fontId="23" fillId="6" borderId="79" xfId="0" applyNumberFormat="1" applyFont="1" applyFill="1" applyBorder="1" applyAlignment="1">
      <alignment horizontal="center" vertical="top"/>
    </xf>
    <xf numFmtId="0" fontId="23" fillId="6" borderId="33" xfId="0" applyFont="1" applyFill="1" applyBorder="1" applyAlignment="1">
      <alignment horizontal="center" vertical="top"/>
    </xf>
    <xf numFmtId="0" fontId="23" fillId="6" borderId="16" xfId="0" applyFont="1" applyFill="1" applyBorder="1" applyAlignment="1">
      <alignment horizontal="center" vertical="top"/>
    </xf>
    <xf numFmtId="166" fontId="23" fillId="6" borderId="9" xfId="0" applyNumberFormat="1" applyFont="1" applyFill="1" applyBorder="1" applyAlignment="1">
      <alignment horizontal="center" vertical="top"/>
    </xf>
    <xf numFmtId="166" fontId="23" fillId="6" borderId="10" xfId="0" applyNumberFormat="1" applyFont="1" applyFill="1" applyBorder="1" applyAlignment="1">
      <alignment horizontal="center" vertical="top"/>
    </xf>
    <xf numFmtId="0" fontId="23" fillId="6" borderId="48" xfId="0" applyFont="1" applyFill="1" applyBorder="1" applyAlignment="1">
      <alignment horizontal="center" vertical="top"/>
    </xf>
    <xf numFmtId="0" fontId="23" fillId="6" borderId="10" xfId="0" applyFont="1" applyFill="1" applyBorder="1" applyAlignment="1">
      <alignment horizontal="center" vertical="top"/>
    </xf>
    <xf numFmtId="0" fontId="23" fillId="6" borderId="13" xfId="0" applyFont="1" applyFill="1" applyBorder="1" applyAlignment="1">
      <alignment horizontal="center" vertical="top"/>
    </xf>
    <xf numFmtId="3" fontId="1" fillId="6" borderId="9"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164" fontId="23" fillId="6" borderId="0" xfId="0" applyNumberFormat="1" applyFont="1" applyFill="1" applyBorder="1" applyAlignment="1">
      <alignment horizontal="center" vertical="top"/>
    </xf>
    <xf numFmtId="3" fontId="2" fillId="6" borderId="36" xfId="0" applyNumberFormat="1" applyFont="1" applyFill="1" applyBorder="1" applyAlignment="1">
      <alignment vertical="top" wrapText="1"/>
    </xf>
    <xf numFmtId="3" fontId="2" fillId="6" borderId="11" xfId="0" applyNumberFormat="1" applyFont="1" applyFill="1" applyBorder="1" applyAlignment="1">
      <alignment horizontal="left" vertical="top" wrapText="1"/>
    </xf>
    <xf numFmtId="3" fontId="2" fillId="6" borderId="10" xfId="0" applyNumberFormat="1" applyFont="1" applyFill="1" applyBorder="1" applyAlignment="1">
      <alignment horizontal="left" vertical="top" wrapText="1"/>
    </xf>
    <xf numFmtId="3" fontId="2" fillId="0" borderId="4"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1" fillId="6" borderId="36" xfId="0" applyNumberFormat="1" applyFont="1" applyFill="1" applyBorder="1" applyAlignment="1">
      <alignment horizontal="left" vertical="top" wrapText="1"/>
    </xf>
    <xf numFmtId="164" fontId="1" fillId="0" borderId="49" xfId="0" applyNumberFormat="1" applyFont="1" applyBorder="1" applyAlignment="1">
      <alignment horizontal="center" vertical="top"/>
    </xf>
    <xf numFmtId="164" fontId="1" fillId="0" borderId="32" xfId="0" applyNumberFormat="1" applyFont="1" applyBorder="1" applyAlignment="1">
      <alignment horizontal="center" vertical="top"/>
    </xf>
    <xf numFmtId="3" fontId="23" fillId="6" borderId="0" xfId="0" applyNumberFormat="1" applyFont="1" applyFill="1" applyBorder="1" applyAlignment="1">
      <alignment vertical="top"/>
    </xf>
    <xf numFmtId="49" fontId="2" fillId="5" borderId="10" xfId="0" applyNumberFormat="1" applyFont="1" applyFill="1" applyBorder="1" applyAlignment="1">
      <alignment horizontal="center" vertical="top" wrapText="1"/>
    </xf>
    <xf numFmtId="49" fontId="2" fillId="8" borderId="48" xfId="0" applyNumberFormat="1" applyFont="1" applyFill="1" applyBorder="1" applyAlignment="1">
      <alignment horizontal="center" vertical="top" wrapText="1"/>
    </xf>
    <xf numFmtId="164" fontId="23" fillId="6" borderId="50" xfId="0" applyNumberFormat="1" applyFont="1" applyFill="1" applyBorder="1" applyAlignment="1">
      <alignment horizontal="center" vertical="top"/>
    </xf>
    <xf numFmtId="0" fontId="23" fillId="0" borderId="44" xfId="0" applyFont="1" applyBorder="1" applyAlignment="1">
      <alignment vertical="top"/>
    </xf>
    <xf numFmtId="164" fontId="23" fillId="0" borderId="0" xfId="0" applyNumberFormat="1" applyFont="1" applyBorder="1" applyAlignment="1">
      <alignment vertical="top"/>
    </xf>
    <xf numFmtId="0" fontId="23" fillId="0" borderId="0" xfId="0" applyFont="1" applyAlignment="1">
      <alignment vertical="top"/>
    </xf>
    <xf numFmtId="164" fontId="23" fillId="0" borderId="0" xfId="0" applyNumberFormat="1" applyFont="1" applyAlignment="1">
      <alignment vertical="top"/>
    </xf>
    <xf numFmtId="0" fontId="23" fillId="0" borderId="0" xfId="0" applyFont="1" applyBorder="1" applyAlignment="1">
      <alignment vertical="top"/>
    </xf>
    <xf numFmtId="0" fontId="1" fillId="0" borderId="36" xfId="0" applyFont="1" applyBorder="1" applyAlignment="1">
      <alignment vertical="top"/>
    </xf>
    <xf numFmtId="0" fontId="16" fillId="0" borderId="0" xfId="0" applyFont="1" applyFill="1" applyBorder="1" applyAlignment="1">
      <alignment horizontal="left" vertical="top" wrapText="1"/>
    </xf>
    <xf numFmtId="3" fontId="19" fillId="0" borderId="0" xfId="0" applyNumberFormat="1" applyFont="1" applyAlignment="1">
      <alignment horizontal="center" vertical="top"/>
    </xf>
    <xf numFmtId="3" fontId="14" fillId="0" borderId="0" xfId="0" applyNumberFormat="1" applyFont="1" applyAlignment="1">
      <alignment horizontal="center" vertical="top" wrapText="1"/>
    </xf>
    <xf numFmtId="3" fontId="13" fillId="0" borderId="0" xfId="0" applyNumberFormat="1" applyFont="1" applyAlignment="1">
      <alignment horizontal="center" vertical="top"/>
    </xf>
    <xf numFmtId="3" fontId="1" fillId="0" borderId="1" xfId="0" applyNumberFormat="1" applyFont="1" applyBorder="1" applyAlignment="1">
      <alignment horizontal="right" vertical="top"/>
    </xf>
    <xf numFmtId="3" fontId="1" fillId="0" borderId="2" xfId="0" applyNumberFormat="1" applyFont="1" applyBorder="1" applyAlignment="1">
      <alignment horizontal="center" vertical="center" textRotation="90" shrinkToFit="1"/>
    </xf>
    <xf numFmtId="3" fontId="1" fillId="0" borderId="9"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10"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shrinkToFit="1"/>
    </xf>
    <xf numFmtId="3" fontId="1" fillId="0" borderId="11" xfId="0" applyNumberFormat="1" applyFont="1" applyBorder="1" applyAlignment="1">
      <alignment horizontal="center" vertical="center" shrinkToFit="1"/>
    </xf>
    <xf numFmtId="0" fontId="1" fillId="0" borderId="77"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 fillId="0" borderId="9" xfId="0" applyFont="1" applyBorder="1" applyAlignment="1">
      <alignment horizontal="center" vertical="center" wrapText="1"/>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2" fillId="2" borderId="6" xfId="0" applyNumberFormat="1" applyFont="1" applyFill="1" applyBorder="1" applyAlignment="1">
      <alignment horizontal="left" vertical="top" wrapText="1"/>
    </xf>
    <xf numFmtId="3" fontId="2" fillId="2" borderId="7" xfId="0" applyNumberFormat="1" applyFont="1" applyFill="1" applyBorder="1" applyAlignment="1">
      <alignment horizontal="left" vertical="top" wrapText="1"/>
    </xf>
    <xf numFmtId="3" fontId="2" fillId="2" borderId="8" xfId="0" applyNumberFormat="1" applyFont="1" applyFill="1" applyBorder="1" applyAlignment="1">
      <alignment horizontal="left" vertical="top" wrapText="1"/>
    </xf>
    <xf numFmtId="3" fontId="1" fillId="0" borderId="76"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2" xfId="0" applyNumberFormat="1" applyFont="1" applyBorder="1" applyAlignment="1">
      <alignment horizontal="center" vertical="center" textRotation="90" shrinkToFit="1"/>
    </xf>
    <xf numFmtId="3" fontId="1" fillId="0" borderId="5" xfId="0" applyNumberFormat="1" applyFont="1" applyBorder="1" applyAlignment="1">
      <alignment horizontal="center" vertical="center" textRotation="90" wrapText="1" shrinkToFit="1"/>
    </xf>
    <xf numFmtId="3" fontId="1" fillId="0" borderId="14" xfId="0" applyNumberFormat="1" applyFont="1" applyBorder="1" applyAlignment="1">
      <alignment horizontal="center" vertical="center" textRotation="90" wrapText="1" shrinkToFit="1"/>
    </xf>
    <xf numFmtId="3" fontId="1" fillId="0" borderId="24" xfId="0" applyNumberFormat="1" applyFont="1" applyBorder="1" applyAlignment="1">
      <alignment horizontal="center" vertical="center" textRotation="90" wrapText="1" shrinkToFit="1"/>
    </xf>
    <xf numFmtId="0" fontId="1" fillId="0" borderId="2"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75" xfId="0" applyFont="1" applyBorder="1" applyAlignment="1">
      <alignment horizontal="center" vertical="center" textRotation="90" wrapText="1"/>
    </xf>
    <xf numFmtId="0" fontId="1" fillId="0" borderId="48" xfId="0" applyFont="1" applyBorder="1" applyAlignment="1">
      <alignment horizontal="center" vertical="center" textRotation="90" wrapText="1"/>
    </xf>
    <xf numFmtId="0" fontId="1" fillId="0" borderId="70" xfId="0" applyFont="1" applyBorder="1" applyAlignment="1">
      <alignment horizontal="center" vertical="center" textRotation="90" wrapText="1"/>
    </xf>
    <xf numFmtId="3" fontId="4" fillId="6" borderId="11" xfId="0" applyNumberFormat="1" applyFont="1" applyFill="1" applyBorder="1" applyAlignment="1">
      <alignment horizontal="center" vertical="top" wrapText="1"/>
    </xf>
    <xf numFmtId="3" fontId="2" fillId="3" borderId="12" xfId="0" applyNumberFormat="1" applyFont="1" applyFill="1" applyBorder="1" applyAlignment="1">
      <alignment horizontal="left" vertical="top" wrapText="1"/>
    </xf>
    <xf numFmtId="3" fontId="2" fillId="3" borderId="0" xfId="0" applyNumberFormat="1" applyFont="1" applyFill="1" applyBorder="1" applyAlignment="1">
      <alignment horizontal="left" vertical="top" wrapText="1"/>
    </xf>
    <xf numFmtId="3" fontId="2" fillId="3" borderId="13" xfId="0" applyNumberFormat="1" applyFont="1" applyFill="1" applyBorder="1" applyAlignment="1">
      <alignment horizontal="left" vertical="top" wrapText="1"/>
    </xf>
    <xf numFmtId="3" fontId="2" fillId="4" borderId="15" xfId="0" applyNumberFormat="1" applyFont="1" applyFill="1" applyBorder="1" applyAlignment="1">
      <alignment horizontal="left" vertical="top" wrapText="1"/>
    </xf>
    <xf numFmtId="3" fontId="2" fillId="4" borderId="17" xfId="0" applyNumberFormat="1" applyFont="1"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3" fontId="2" fillId="5" borderId="73" xfId="0" applyNumberFormat="1" applyFont="1" applyFill="1" applyBorder="1" applyAlignment="1">
      <alignment horizontal="left" vertical="top" wrapText="1"/>
    </xf>
    <xf numFmtId="3" fontId="2" fillId="5" borderId="94" xfId="0" applyNumberFormat="1" applyFont="1" applyFill="1" applyBorder="1" applyAlignment="1">
      <alignment horizontal="left" vertical="top" wrapText="1"/>
    </xf>
    <xf numFmtId="0" fontId="0" fillId="0" borderId="94" xfId="0" applyBorder="1" applyAlignment="1">
      <alignment horizontal="left" vertical="top" wrapText="1"/>
    </xf>
    <xf numFmtId="0" fontId="0" fillId="0" borderId="46" xfId="0" applyBorder="1" applyAlignment="1">
      <alignment horizontal="left" vertical="top" wrapText="1"/>
    </xf>
    <xf numFmtId="49" fontId="2" fillId="4" borderId="9" xfId="0" applyNumberFormat="1" applyFont="1" applyFill="1" applyBorder="1" applyAlignment="1">
      <alignment horizontal="center" vertical="top"/>
    </xf>
    <xf numFmtId="49" fontId="2" fillId="5" borderId="3"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33" xfId="0" applyNumberFormat="1" applyFont="1" applyFill="1" applyBorder="1" applyAlignment="1">
      <alignment vertical="top" wrapText="1"/>
    </xf>
    <xf numFmtId="0" fontId="11" fillId="0" borderId="31" xfId="0" applyFont="1" applyBorder="1" applyAlignment="1">
      <alignment vertical="top" wrapText="1"/>
    </xf>
    <xf numFmtId="3" fontId="1" fillId="6" borderId="60" xfId="0" applyNumberFormat="1" applyFont="1" applyFill="1" applyBorder="1" applyAlignment="1">
      <alignment horizontal="left" vertical="top" wrapText="1"/>
    </xf>
    <xf numFmtId="3" fontId="1" fillId="6" borderId="44" xfId="0" applyNumberFormat="1" applyFont="1" applyFill="1" applyBorder="1" applyAlignment="1">
      <alignment horizontal="left" vertical="top" wrapText="1"/>
    </xf>
    <xf numFmtId="3" fontId="4" fillId="0" borderId="3" xfId="0" applyNumberFormat="1" applyFont="1" applyBorder="1" applyAlignment="1">
      <alignment horizontal="left" vertical="top" wrapText="1"/>
    </xf>
    <xf numFmtId="3" fontId="4" fillId="0" borderId="10" xfId="0" applyNumberFormat="1" applyFont="1" applyBorder="1" applyAlignment="1">
      <alignment horizontal="left" vertical="top" wrapText="1"/>
    </xf>
    <xf numFmtId="3" fontId="1" fillId="6" borderId="31" xfId="0" applyNumberFormat="1" applyFont="1" applyFill="1" applyBorder="1" applyAlignment="1">
      <alignment vertical="top" wrapText="1"/>
    </xf>
    <xf numFmtId="3" fontId="5" fillId="6" borderId="67" xfId="0" applyNumberFormat="1" applyFont="1" applyFill="1" applyBorder="1" applyAlignment="1">
      <alignment horizontal="left" vertical="top" wrapText="1"/>
    </xf>
    <xf numFmtId="3" fontId="11" fillId="0" borderId="68" xfId="0" applyNumberFormat="1" applyFont="1" applyBorder="1" applyAlignment="1">
      <alignment horizontal="left" vertical="top" wrapText="1"/>
    </xf>
    <xf numFmtId="3" fontId="1" fillId="6" borderId="33" xfId="0" applyNumberFormat="1" applyFont="1" applyFill="1" applyBorder="1" applyAlignment="1">
      <alignment horizontal="left" vertical="top" wrapText="1"/>
    </xf>
    <xf numFmtId="3" fontId="1" fillId="6" borderId="31"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3" fontId="1" fillId="6" borderId="20" xfId="0" applyNumberFormat="1" applyFont="1" applyFill="1" applyBorder="1" applyAlignment="1">
      <alignment horizontal="left" vertical="top" wrapText="1"/>
    </xf>
    <xf numFmtId="3" fontId="2" fillId="5" borderId="54" xfId="0" applyNumberFormat="1" applyFont="1" applyFill="1" applyBorder="1" applyAlignment="1">
      <alignment horizontal="right" vertical="center"/>
    </xf>
    <xf numFmtId="3" fontId="2" fillId="5" borderId="55" xfId="0" applyNumberFormat="1" applyFont="1" applyFill="1" applyBorder="1" applyAlignment="1">
      <alignment horizontal="right" vertical="center"/>
    </xf>
    <xf numFmtId="3" fontId="1" fillId="5" borderId="57" xfId="0" applyNumberFormat="1" applyFont="1" applyFill="1" applyBorder="1" applyAlignment="1">
      <alignment horizontal="center" vertical="top" wrapText="1"/>
    </xf>
    <xf numFmtId="3" fontId="1" fillId="5" borderId="54" xfId="0" applyNumberFormat="1" applyFont="1" applyFill="1" applyBorder="1" applyAlignment="1">
      <alignment horizontal="center" vertical="top" wrapText="1"/>
    </xf>
    <xf numFmtId="3" fontId="1" fillId="5" borderId="55" xfId="0" applyNumberFormat="1" applyFont="1" applyFill="1" applyBorder="1" applyAlignment="1">
      <alignment horizontal="center" vertical="top" wrapText="1"/>
    </xf>
    <xf numFmtId="3" fontId="2" fillId="5" borderId="4" xfId="0" applyNumberFormat="1" applyFont="1" applyFill="1" applyBorder="1" applyAlignment="1">
      <alignment horizontal="right" vertical="center"/>
    </xf>
    <xf numFmtId="3" fontId="2" fillId="5" borderId="62" xfId="0" applyNumberFormat="1" applyFont="1" applyFill="1" applyBorder="1" applyAlignment="1">
      <alignment horizontal="right" vertical="center"/>
    </xf>
    <xf numFmtId="3" fontId="2" fillId="5" borderId="77" xfId="0" applyNumberFormat="1" applyFont="1" applyFill="1" applyBorder="1" applyAlignment="1">
      <alignment horizontal="right" vertical="center"/>
    </xf>
    <xf numFmtId="3" fontId="2" fillId="5" borderId="57" xfId="0" applyNumberFormat="1" applyFont="1" applyFill="1" applyBorder="1" applyAlignment="1">
      <alignment horizontal="left" vertical="top"/>
    </xf>
    <xf numFmtId="3" fontId="2" fillId="5" borderId="54" xfId="0" applyNumberFormat="1" applyFont="1" applyFill="1" applyBorder="1" applyAlignment="1">
      <alignment horizontal="left" vertical="top"/>
    </xf>
    <xf numFmtId="3" fontId="2" fillId="5" borderId="55" xfId="0" applyNumberFormat="1" applyFont="1" applyFill="1" applyBorder="1" applyAlignment="1">
      <alignment horizontal="left" vertical="top"/>
    </xf>
    <xf numFmtId="49" fontId="2" fillId="4" borderId="2"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3" fontId="6" fillId="4" borderId="12" xfId="0" applyNumberFormat="1" applyFont="1" applyFill="1" applyBorder="1" applyAlignment="1">
      <alignment horizontal="center" vertical="top"/>
    </xf>
    <xf numFmtId="3" fontId="6" fillId="4" borderId="59" xfId="0" applyNumberFormat="1" applyFont="1" applyFill="1" applyBorder="1" applyAlignment="1">
      <alignment horizontal="center" vertical="top"/>
    </xf>
    <xf numFmtId="3" fontId="6" fillId="4" borderId="38" xfId="0" applyNumberFormat="1" applyFont="1" applyFill="1" applyBorder="1" applyAlignment="1">
      <alignment horizontal="center" vertical="top"/>
    </xf>
    <xf numFmtId="3" fontId="6" fillId="5" borderId="10" xfId="0" applyNumberFormat="1" applyFont="1" applyFill="1" applyBorder="1" applyAlignment="1">
      <alignment horizontal="center" vertical="top"/>
    </xf>
    <xf numFmtId="3" fontId="6" fillId="5" borderId="33" xfId="0" applyNumberFormat="1" applyFont="1" applyFill="1" applyBorder="1" applyAlignment="1">
      <alignment horizontal="center" vertical="top"/>
    </xf>
    <xf numFmtId="3" fontId="6" fillId="5" borderId="64" xfId="0" applyNumberFormat="1" applyFont="1" applyFill="1" applyBorder="1" applyAlignment="1">
      <alignment horizontal="center" vertical="top"/>
    </xf>
    <xf numFmtId="3" fontId="6" fillId="8" borderId="10" xfId="0" applyNumberFormat="1" applyFont="1" applyFill="1" applyBorder="1" applyAlignment="1">
      <alignment horizontal="center" vertical="top"/>
    </xf>
    <xf numFmtId="3" fontId="6" fillId="8" borderId="33" xfId="0" applyNumberFormat="1" applyFont="1" applyFill="1" applyBorder="1" applyAlignment="1">
      <alignment horizontal="center" vertical="top"/>
    </xf>
    <xf numFmtId="3" fontId="6" fillId="8" borderId="64" xfId="0" applyNumberFormat="1" applyFont="1" applyFill="1" applyBorder="1" applyAlignment="1">
      <alignment horizontal="center" vertical="top"/>
    </xf>
    <xf numFmtId="3" fontId="1" fillId="6" borderId="10" xfId="0" applyNumberFormat="1" applyFont="1" applyFill="1" applyBorder="1" applyAlignment="1">
      <alignment vertical="top" wrapText="1"/>
    </xf>
    <xf numFmtId="0" fontId="10" fillId="6" borderId="10" xfId="0" applyFont="1" applyFill="1" applyBorder="1" applyAlignment="1">
      <alignment vertical="top" wrapText="1"/>
    </xf>
    <xf numFmtId="3" fontId="2" fillId="6" borderId="3" xfId="0" applyNumberFormat="1" applyFont="1" applyFill="1" applyBorder="1" applyAlignment="1">
      <alignment horizontal="left" vertical="top" wrapText="1"/>
    </xf>
    <xf numFmtId="3" fontId="2" fillId="6" borderId="10" xfId="0" applyNumberFormat="1" applyFont="1" applyFill="1" applyBorder="1" applyAlignment="1">
      <alignment horizontal="left" vertical="top" wrapText="1"/>
    </xf>
    <xf numFmtId="3" fontId="2" fillId="6" borderId="31" xfId="0" applyNumberFormat="1" applyFont="1" applyFill="1" applyBorder="1" applyAlignment="1">
      <alignment horizontal="left" vertical="top" wrapText="1"/>
    </xf>
    <xf numFmtId="0" fontId="1" fillId="6" borderId="60" xfId="0" applyFont="1" applyFill="1" applyBorder="1" applyAlignment="1">
      <alignment vertical="top" wrapText="1"/>
    </xf>
    <xf numFmtId="0" fontId="1" fillId="6" borderId="14" xfId="0" applyFont="1" applyFill="1" applyBorder="1" applyAlignment="1">
      <alignment vertical="top" wrapText="1"/>
    </xf>
    <xf numFmtId="0" fontId="1" fillId="6" borderId="44" xfId="0" applyFont="1" applyFill="1" applyBorder="1" applyAlignment="1">
      <alignment vertical="top" wrapText="1"/>
    </xf>
    <xf numFmtId="0" fontId="1" fillId="6" borderId="66" xfId="0" applyFont="1" applyFill="1" applyBorder="1" applyAlignment="1">
      <alignment horizontal="left" vertical="top" wrapText="1"/>
    </xf>
    <xf numFmtId="0" fontId="1" fillId="6" borderId="44" xfId="0" applyFont="1" applyFill="1" applyBorder="1" applyAlignment="1">
      <alignment horizontal="left" vertical="top" wrapText="1"/>
    </xf>
    <xf numFmtId="3" fontId="2" fillId="5" borderId="21" xfId="0" applyNumberFormat="1" applyFont="1" applyFill="1" applyBorder="1" applyAlignment="1">
      <alignment horizontal="left" vertical="top"/>
    </xf>
    <xf numFmtId="3" fontId="2" fillId="5" borderId="1" xfId="0" applyNumberFormat="1" applyFont="1" applyFill="1" applyBorder="1" applyAlignment="1">
      <alignment horizontal="left" vertical="top"/>
    </xf>
    <xf numFmtId="3" fontId="2" fillId="5" borderId="23" xfId="0" applyNumberFormat="1" applyFont="1" applyFill="1" applyBorder="1" applyAlignment="1">
      <alignment horizontal="left" vertical="top"/>
    </xf>
    <xf numFmtId="0" fontId="10" fillId="0" borderId="31" xfId="0" applyFont="1" applyBorder="1" applyAlignment="1">
      <alignment horizontal="left" vertical="top" wrapText="1"/>
    </xf>
    <xf numFmtId="0" fontId="10" fillId="0" borderId="44" xfId="0" applyFont="1" applyBorder="1" applyAlignment="1">
      <alignment horizontal="left" vertical="top" wrapText="1"/>
    </xf>
    <xf numFmtId="0" fontId="1" fillId="6" borderId="33"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33" xfId="0" applyFont="1" applyFill="1" applyBorder="1" applyAlignment="1">
      <alignment vertical="top" wrapText="1"/>
    </xf>
    <xf numFmtId="0" fontId="3" fillId="6" borderId="31" xfId="0" applyFont="1" applyFill="1" applyBorder="1" applyAlignment="1">
      <alignment vertical="top" wrapText="1"/>
    </xf>
    <xf numFmtId="3" fontId="2" fillId="0" borderId="3" xfId="0" applyNumberFormat="1" applyFont="1" applyFill="1" applyBorder="1" applyAlignment="1">
      <alignment horizontal="left" vertical="top" wrapText="1"/>
    </xf>
    <xf numFmtId="3" fontId="2" fillId="0" borderId="10" xfId="0" applyNumberFormat="1" applyFont="1" applyFill="1" applyBorder="1" applyAlignment="1">
      <alignment horizontal="left" vertical="top" wrapText="1"/>
    </xf>
    <xf numFmtId="3" fontId="2" fillId="0" borderId="31" xfId="0" applyNumberFormat="1" applyFont="1" applyFill="1" applyBorder="1" applyAlignment="1">
      <alignment horizontal="left" vertical="top" wrapText="1"/>
    </xf>
    <xf numFmtId="0" fontId="1" fillId="6" borderId="33" xfId="0" applyFont="1" applyFill="1" applyBorder="1" applyAlignment="1">
      <alignment horizontal="left" vertical="top"/>
    </xf>
    <xf numFmtId="0" fontId="1" fillId="6" borderId="10" xfId="0" applyFont="1" applyFill="1" applyBorder="1" applyAlignment="1">
      <alignment horizontal="left" vertical="top"/>
    </xf>
    <xf numFmtId="0" fontId="1" fillId="6" borderId="31" xfId="0" applyFont="1" applyFill="1" applyBorder="1" applyAlignment="1">
      <alignment horizontal="left" vertical="top"/>
    </xf>
    <xf numFmtId="164" fontId="1" fillId="6" borderId="66" xfId="0" applyNumberFormat="1" applyFont="1" applyFill="1" applyBorder="1" applyAlignment="1">
      <alignment horizontal="left" vertical="top" wrapText="1"/>
    </xf>
    <xf numFmtId="164" fontId="1" fillId="6" borderId="14" xfId="0" applyNumberFormat="1" applyFont="1" applyFill="1" applyBorder="1" applyAlignment="1">
      <alignment horizontal="left" vertical="top" wrapText="1"/>
    </xf>
    <xf numFmtId="164" fontId="1" fillId="6" borderId="44" xfId="0" applyNumberFormat="1" applyFont="1" applyFill="1" applyBorder="1" applyAlignment="1">
      <alignment horizontal="left" vertical="top" wrapText="1"/>
    </xf>
    <xf numFmtId="0" fontId="10" fillId="6" borderId="31" xfId="0" applyFont="1" applyFill="1" applyBorder="1" applyAlignment="1">
      <alignment horizontal="left" vertical="top" wrapText="1"/>
    </xf>
    <xf numFmtId="0" fontId="1" fillId="6" borderId="60" xfId="1" applyFont="1" applyFill="1" applyBorder="1" applyAlignment="1">
      <alignment horizontal="left" vertical="top" wrapText="1"/>
    </xf>
    <xf numFmtId="0" fontId="1" fillId="6" borderId="14" xfId="1" applyFont="1" applyFill="1" applyBorder="1" applyAlignment="1">
      <alignment horizontal="left" vertical="top" wrapText="1"/>
    </xf>
    <xf numFmtId="3" fontId="2" fillId="8" borderId="10" xfId="0" applyNumberFormat="1" applyFont="1" applyFill="1" applyBorder="1" applyAlignment="1">
      <alignment horizontal="center" vertical="top" wrapText="1"/>
    </xf>
    <xf numFmtId="3" fontId="1" fillId="6" borderId="34"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0" fontId="1" fillId="6" borderId="60" xfId="0" applyFont="1" applyFill="1" applyBorder="1" applyAlignment="1">
      <alignment horizontal="left" vertical="top" wrapText="1"/>
    </xf>
    <xf numFmtId="0" fontId="1" fillId="6" borderId="69" xfId="0" applyFont="1" applyFill="1" applyBorder="1" applyAlignment="1">
      <alignment horizontal="left" vertical="top" wrapText="1"/>
    </xf>
    <xf numFmtId="0" fontId="1" fillId="6" borderId="14" xfId="0" applyFont="1" applyFill="1" applyBorder="1" applyAlignment="1">
      <alignment horizontal="left" vertical="top" wrapText="1"/>
    </xf>
    <xf numFmtId="3" fontId="6" fillId="4" borderId="35" xfId="0" applyNumberFormat="1" applyFont="1" applyFill="1" applyBorder="1" applyAlignment="1">
      <alignment horizontal="center" vertical="top"/>
    </xf>
    <xf numFmtId="3" fontId="6" fillId="5" borderId="31" xfId="0" applyNumberFormat="1" applyFont="1" applyFill="1" applyBorder="1" applyAlignment="1">
      <alignment horizontal="center" vertical="top"/>
    </xf>
    <xf numFmtId="3" fontId="6" fillId="8" borderId="45" xfId="0" applyNumberFormat="1" applyFont="1" applyFill="1" applyBorder="1" applyAlignment="1">
      <alignment horizontal="center" vertical="top"/>
    </xf>
    <xf numFmtId="3" fontId="6" fillId="8" borderId="48" xfId="0" applyNumberFormat="1" applyFont="1" applyFill="1" applyBorder="1" applyAlignment="1">
      <alignment horizontal="center" vertical="top"/>
    </xf>
    <xf numFmtId="3" fontId="1" fillId="0" borderId="27" xfId="0" applyNumberFormat="1" applyFont="1" applyBorder="1" applyAlignment="1">
      <alignment horizontal="left" vertical="top" wrapText="1"/>
    </xf>
    <xf numFmtId="3" fontId="1" fillId="0" borderId="28" xfId="0" applyNumberFormat="1" applyFont="1" applyBorder="1" applyAlignment="1">
      <alignment horizontal="left" vertical="top" wrapText="1"/>
    </xf>
    <xf numFmtId="3" fontId="1" fillId="0" borderId="37" xfId="0" applyNumberFormat="1" applyFont="1" applyBorder="1" applyAlignment="1">
      <alignment horizontal="left" vertical="top" wrapText="1"/>
    </xf>
    <xf numFmtId="3" fontId="2" fillId="4" borderId="9"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wrapText="1"/>
    </xf>
    <xf numFmtId="3" fontId="2" fillId="8" borderId="22"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3" xfId="0" applyNumberFormat="1" applyFont="1" applyFill="1" applyBorder="1" applyAlignment="1">
      <alignment horizontal="right" vertical="top" wrapText="1"/>
    </xf>
    <xf numFmtId="3" fontId="1" fillId="0" borderId="62" xfId="0" applyNumberFormat="1" applyFont="1" applyFill="1" applyBorder="1" applyAlignment="1">
      <alignment horizontal="left" vertical="top" wrapText="1"/>
    </xf>
    <xf numFmtId="3" fontId="1" fillId="8" borderId="26" xfId="0" applyNumberFormat="1" applyFont="1" applyFill="1" applyBorder="1" applyAlignment="1">
      <alignment horizontal="left" vertical="top" wrapText="1"/>
    </xf>
    <xf numFmtId="3" fontId="1" fillId="8" borderId="17" xfId="0" applyNumberFormat="1" applyFont="1" applyFill="1" applyBorder="1" applyAlignment="1">
      <alignment horizontal="left" vertical="top" wrapText="1"/>
    </xf>
    <xf numFmtId="3" fontId="1" fillId="8" borderId="18" xfId="0" applyNumberFormat="1" applyFont="1" applyFill="1" applyBorder="1" applyAlignment="1">
      <alignment horizontal="left" vertical="top" wrapText="1"/>
    </xf>
    <xf numFmtId="164" fontId="1" fillId="8" borderId="26" xfId="0" applyNumberFormat="1" applyFont="1" applyFill="1" applyBorder="1" applyAlignment="1">
      <alignment horizontal="left" vertical="top" wrapText="1"/>
    </xf>
    <xf numFmtId="164" fontId="1" fillId="8" borderId="17" xfId="0" applyNumberFormat="1" applyFont="1" applyFill="1" applyBorder="1" applyAlignment="1">
      <alignment horizontal="left" vertical="top" wrapText="1"/>
    </xf>
    <xf numFmtId="164" fontId="1" fillId="8" borderId="18" xfId="0" applyNumberFormat="1" applyFont="1" applyFill="1" applyBorder="1" applyAlignment="1">
      <alignment horizontal="left" vertical="top" wrapText="1"/>
    </xf>
    <xf numFmtId="3" fontId="2" fillId="3" borderId="26" xfId="0" applyNumberFormat="1" applyFont="1" applyFill="1" applyBorder="1" applyAlignment="1">
      <alignment horizontal="right" vertical="top" wrapText="1"/>
    </xf>
    <xf numFmtId="3" fontId="2" fillId="3" borderId="17" xfId="0" applyNumberFormat="1" applyFont="1" applyFill="1" applyBorder="1" applyAlignment="1">
      <alignment horizontal="right" vertical="top" wrapText="1"/>
    </xf>
    <xf numFmtId="3" fontId="2" fillId="3" borderId="18" xfId="0" applyNumberFormat="1" applyFont="1" applyFill="1" applyBorder="1" applyAlignment="1">
      <alignment horizontal="right" vertical="top" wrapText="1"/>
    </xf>
    <xf numFmtId="0" fontId="1" fillId="0" borderId="2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3" fontId="1" fillId="0" borderId="26" xfId="0" applyNumberFormat="1" applyFont="1" applyBorder="1" applyAlignment="1">
      <alignment horizontal="left" vertical="top" wrapText="1"/>
    </xf>
    <xf numFmtId="3" fontId="1" fillId="0" borderId="17" xfId="0" applyNumberFormat="1" applyFont="1" applyBorder="1" applyAlignment="1">
      <alignment horizontal="left" vertical="top" wrapText="1"/>
    </xf>
    <xf numFmtId="3" fontId="1" fillId="0" borderId="18" xfId="0" applyNumberFormat="1" applyFont="1" applyBorder="1" applyAlignment="1">
      <alignment horizontal="left" vertical="top" wrapText="1"/>
    </xf>
    <xf numFmtId="164" fontId="1" fillId="6" borderId="26" xfId="0" applyNumberFormat="1" applyFont="1" applyFill="1" applyBorder="1" applyAlignment="1">
      <alignment horizontal="left" vertical="top" wrapText="1"/>
    </xf>
    <xf numFmtId="164" fontId="1" fillId="6" borderId="17" xfId="0" applyNumberFormat="1" applyFont="1" applyFill="1" applyBorder="1" applyAlignment="1">
      <alignment horizontal="left" vertical="top" wrapText="1"/>
    </xf>
    <xf numFmtId="164" fontId="1" fillId="6" borderId="18" xfId="0" applyNumberFormat="1"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3" fontId="2" fillId="0" borderId="57"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2" fillId="0" borderId="55" xfId="0" applyNumberFormat="1" applyFont="1" applyBorder="1" applyAlignment="1">
      <alignment horizontal="center" vertical="center" wrapText="1"/>
    </xf>
    <xf numFmtId="3" fontId="2" fillId="3" borderId="6" xfId="0" applyNumberFormat="1" applyFont="1" applyFill="1" applyBorder="1" applyAlignment="1">
      <alignment horizontal="right" vertical="top" wrapText="1"/>
    </xf>
    <xf numFmtId="3" fontId="2" fillId="3" borderId="7" xfId="0" applyNumberFormat="1" applyFont="1" applyFill="1" applyBorder="1" applyAlignment="1">
      <alignment horizontal="right" vertical="top" wrapText="1"/>
    </xf>
    <xf numFmtId="3" fontId="2" fillId="3" borderId="8" xfId="0" applyNumberFormat="1" applyFont="1" applyFill="1" applyBorder="1" applyAlignment="1">
      <alignment horizontal="right" vertical="top" wrapText="1"/>
    </xf>
    <xf numFmtId="3" fontId="2" fillId="8" borderId="26" xfId="0" applyNumberFormat="1" applyFont="1" applyFill="1" applyBorder="1" applyAlignment="1">
      <alignment horizontal="right" wrapText="1"/>
    </xf>
    <xf numFmtId="3" fontId="11" fillId="8" borderId="17" xfId="0" applyNumberFormat="1" applyFont="1" applyFill="1" applyBorder="1" applyAlignment="1">
      <alignment horizontal="right" wrapText="1"/>
    </xf>
    <xf numFmtId="3" fontId="11" fillId="8" borderId="18" xfId="0" applyNumberFormat="1" applyFont="1" applyFill="1" applyBorder="1" applyAlignment="1">
      <alignment horizontal="right" wrapText="1"/>
    </xf>
    <xf numFmtId="3" fontId="1" fillId="0" borderId="35" xfId="0" applyNumberFormat="1" applyFont="1" applyBorder="1" applyAlignment="1">
      <alignment horizontal="left" vertical="top" wrapText="1"/>
    </xf>
    <xf numFmtId="3" fontId="1" fillId="0" borderId="51" xfId="0" applyNumberFormat="1" applyFont="1" applyBorder="1" applyAlignment="1">
      <alignment horizontal="left" vertical="top" wrapText="1"/>
    </xf>
    <xf numFmtId="3" fontId="1" fillId="0" borderId="50" xfId="0" applyNumberFormat="1" applyFont="1" applyBorder="1" applyAlignment="1">
      <alignment horizontal="left" vertical="top" wrapText="1"/>
    </xf>
    <xf numFmtId="3" fontId="2" fillId="4" borderId="58" xfId="0" applyNumberFormat="1" applyFont="1" applyFill="1" applyBorder="1" applyAlignment="1">
      <alignment horizontal="right" vertical="top"/>
    </xf>
    <xf numFmtId="3" fontId="2" fillId="4" borderId="54" xfId="0" applyNumberFormat="1" applyFont="1" applyFill="1" applyBorder="1" applyAlignment="1">
      <alignment horizontal="right" vertical="top"/>
    </xf>
    <xf numFmtId="3" fontId="2" fillId="4" borderId="55" xfId="0" applyNumberFormat="1" applyFont="1" applyFill="1" applyBorder="1" applyAlignment="1">
      <alignment horizontal="right" vertical="top"/>
    </xf>
    <xf numFmtId="164" fontId="2" fillId="4" borderId="57" xfId="0" applyNumberFormat="1" applyFont="1" applyFill="1" applyBorder="1" applyAlignment="1">
      <alignment horizontal="center" vertical="top"/>
    </xf>
    <xf numFmtId="164" fontId="2" fillId="4" borderId="54" xfId="0" applyNumberFormat="1" applyFont="1" applyFill="1" applyBorder="1" applyAlignment="1">
      <alignment horizontal="center" vertical="top"/>
    </xf>
    <xf numFmtId="164" fontId="2" fillId="4" borderId="55" xfId="0" applyNumberFormat="1" applyFont="1" applyFill="1" applyBorder="1" applyAlignment="1">
      <alignment horizontal="center" vertical="top"/>
    </xf>
    <xf numFmtId="3" fontId="2" fillId="3" borderId="58" xfId="0" applyNumberFormat="1" applyFont="1" applyFill="1" applyBorder="1" applyAlignment="1">
      <alignment horizontal="right" vertical="top"/>
    </xf>
    <xf numFmtId="3" fontId="2" fillId="3" borderId="54" xfId="0" applyNumberFormat="1" applyFont="1" applyFill="1" applyBorder="1" applyAlignment="1">
      <alignment horizontal="right" vertical="top"/>
    </xf>
    <xf numFmtId="3" fontId="2" fillId="3" borderId="55" xfId="0" applyNumberFormat="1" applyFont="1" applyFill="1" applyBorder="1" applyAlignment="1">
      <alignment horizontal="right" vertical="top"/>
    </xf>
    <xf numFmtId="164" fontId="2" fillId="3" borderId="57" xfId="0" applyNumberFormat="1" applyFont="1" applyFill="1" applyBorder="1" applyAlignment="1">
      <alignment horizontal="center" vertical="top"/>
    </xf>
    <xf numFmtId="164" fontId="2" fillId="3" borderId="54" xfId="0" applyNumberFormat="1" applyFont="1" applyFill="1" applyBorder="1" applyAlignment="1">
      <alignment horizontal="center" vertical="top"/>
    </xf>
    <xf numFmtId="164" fontId="2" fillId="3" borderId="55" xfId="0" applyNumberFormat="1" applyFont="1" applyFill="1" applyBorder="1" applyAlignment="1">
      <alignment horizontal="center" vertical="top"/>
    </xf>
    <xf numFmtId="0" fontId="10" fillId="6" borderId="10" xfId="0" applyFont="1" applyFill="1" applyBorder="1" applyAlignment="1">
      <alignment horizontal="left" vertical="top" wrapText="1"/>
    </xf>
    <xf numFmtId="3" fontId="2" fillId="5" borderId="58" xfId="0" applyNumberFormat="1" applyFont="1" applyFill="1" applyBorder="1" applyAlignment="1">
      <alignment horizontal="right" vertical="top"/>
    </xf>
    <xf numFmtId="3" fontId="2" fillId="5" borderId="54" xfId="0" applyNumberFormat="1" applyFont="1" applyFill="1" applyBorder="1" applyAlignment="1">
      <alignment horizontal="right" vertical="top"/>
    </xf>
    <xf numFmtId="3" fontId="2" fillId="5" borderId="55" xfId="0" applyNumberFormat="1" applyFont="1" applyFill="1" applyBorder="1" applyAlignment="1">
      <alignment horizontal="right" vertical="top"/>
    </xf>
    <xf numFmtId="3" fontId="7" fillId="6" borderId="10" xfId="0" applyNumberFormat="1" applyFont="1" applyFill="1" applyBorder="1" applyAlignment="1">
      <alignment horizontal="left" vertical="top" wrapText="1"/>
    </xf>
    <xf numFmtId="0" fontId="1" fillId="6" borderId="66" xfId="0" applyFont="1" applyFill="1" applyBorder="1" applyAlignment="1">
      <alignment vertical="top" wrapText="1"/>
    </xf>
    <xf numFmtId="0" fontId="10" fillId="6" borderId="14" xfId="0" applyFont="1" applyFill="1" applyBorder="1" applyAlignment="1">
      <alignment vertical="top" wrapText="1"/>
    </xf>
    <xf numFmtId="3" fontId="2" fillId="5" borderId="21" xfId="0" applyNumberFormat="1" applyFont="1" applyFill="1" applyBorder="1" applyAlignment="1">
      <alignment horizontal="left" vertical="top" wrapText="1"/>
    </xf>
    <xf numFmtId="3" fontId="2" fillId="5" borderId="1" xfId="0" applyNumberFormat="1" applyFont="1" applyFill="1" applyBorder="1" applyAlignment="1">
      <alignment horizontal="left" vertical="top" wrapText="1"/>
    </xf>
    <xf numFmtId="3" fontId="2" fillId="5" borderId="23" xfId="0" applyNumberFormat="1" applyFont="1" applyFill="1" applyBorder="1" applyAlignment="1">
      <alignment horizontal="left" vertical="top" wrapText="1"/>
    </xf>
    <xf numFmtId="0" fontId="1" fillId="0" borderId="5" xfId="0" applyFont="1" applyBorder="1" applyAlignment="1">
      <alignment horizontal="center" vertical="center" textRotation="90"/>
    </xf>
    <xf numFmtId="0" fontId="1" fillId="0" borderId="24" xfId="0" applyFont="1" applyBorder="1" applyAlignment="1">
      <alignment horizontal="center" vertical="center" textRotation="90"/>
    </xf>
    <xf numFmtId="0" fontId="13" fillId="0" borderId="0" xfId="0" applyFont="1" applyAlignment="1">
      <alignment horizontal="right" vertical="top"/>
    </xf>
    <xf numFmtId="3" fontId="1" fillId="0" borderId="47" xfId="0" applyNumberFormat="1" applyFont="1" applyFill="1" applyBorder="1" applyAlignment="1">
      <alignment horizontal="center" vertical="center" wrapText="1" shrinkToFit="1"/>
    </xf>
    <xf numFmtId="3" fontId="1" fillId="0" borderId="36" xfId="0" applyNumberFormat="1" applyFont="1" applyFill="1" applyBorder="1" applyAlignment="1">
      <alignment horizontal="center" vertical="center" wrapText="1" shrinkToFit="1"/>
    </xf>
    <xf numFmtId="3" fontId="1" fillId="0" borderId="95" xfId="0" applyNumberFormat="1" applyFont="1" applyFill="1" applyBorder="1" applyAlignment="1">
      <alignment horizontal="center" vertical="center" wrapText="1" shrinkToFit="1"/>
    </xf>
    <xf numFmtId="0" fontId="1" fillId="0" borderId="79" xfId="0" applyFont="1" applyBorder="1" applyAlignment="1">
      <alignment horizontal="center" vertical="center" wrapText="1"/>
    </xf>
    <xf numFmtId="0" fontId="1" fillId="0" borderId="62"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3" fontId="1" fillId="0" borderId="16" xfId="0" applyNumberFormat="1" applyFont="1" applyBorder="1" applyAlignment="1">
      <alignment horizontal="center" vertical="top" wrapText="1"/>
    </xf>
    <xf numFmtId="0" fontId="11" fillId="0" borderId="32" xfId="0" applyFont="1" applyBorder="1" applyAlignment="1">
      <alignment horizontal="center" vertical="top" wrapText="1"/>
    </xf>
    <xf numFmtId="3" fontId="1" fillId="0" borderId="36" xfId="0" applyNumberFormat="1" applyFont="1" applyBorder="1" applyAlignment="1">
      <alignment horizontal="center" vertical="top" wrapText="1"/>
    </xf>
    <xf numFmtId="3" fontId="5" fillId="6" borderId="36" xfId="0" applyNumberFormat="1" applyFont="1" applyFill="1" applyBorder="1" applyAlignment="1">
      <alignment horizontal="center" vertical="top" wrapText="1"/>
    </xf>
    <xf numFmtId="3" fontId="11" fillId="6" borderId="36"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wrapText="1"/>
    </xf>
    <xf numFmtId="3" fontId="5" fillId="0" borderId="36" xfId="0" applyNumberFormat="1" applyFont="1" applyBorder="1" applyAlignment="1">
      <alignment horizontal="center" vertical="center" wrapText="1"/>
    </xf>
    <xf numFmtId="3" fontId="11" fillId="0" borderId="36" xfId="0" applyNumberFormat="1" applyFont="1" applyBorder="1" applyAlignment="1">
      <alignment horizontal="center" vertical="center" wrapText="1"/>
    </xf>
    <xf numFmtId="3" fontId="1" fillId="6" borderId="36" xfId="0" applyNumberFormat="1" applyFont="1" applyFill="1" applyBorder="1" applyAlignment="1">
      <alignment horizontal="center" vertical="top" wrapText="1"/>
    </xf>
    <xf numFmtId="3" fontId="1" fillId="6" borderId="91" xfId="0" applyNumberFormat="1" applyFont="1" applyFill="1" applyBorder="1" applyAlignment="1">
      <alignment horizontal="center" vertical="top" wrapText="1"/>
    </xf>
    <xf numFmtId="3" fontId="1" fillId="6" borderId="63" xfId="0" applyNumberFormat="1" applyFont="1" applyFill="1" applyBorder="1" applyAlignment="1">
      <alignment horizontal="center" vertical="top" wrapText="1"/>
    </xf>
    <xf numFmtId="0" fontId="11" fillId="6" borderId="36" xfId="0" applyFont="1" applyFill="1" applyBorder="1" applyAlignment="1">
      <alignment horizontal="center" vertical="top" wrapText="1"/>
    </xf>
    <xf numFmtId="49" fontId="1" fillId="6" borderId="16" xfId="0" applyNumberFormat="1" applyFont="1" applyFill="1" applyBorder="1" applyAlignment="1">
      <alignment horizontal="center" vertical="top" wrapText="1"/>
    </xf>
    <xf numFmtId="49" fontId="1" fillId="6" borderId="36" xfId="0" applyNumberFormat="1" applyFont="1" applyFill="1" applyBorder="1" applyAlignment="1">
      <alignment horizontal="center" vertical="top" wrapText="1"/>
    </xf>
    <xf numFmtId="0" fontId="10" fillId="6" borderId="44" xfId="0" applyFont="1" applyFill="1" applyBorder="1" applyAlignment="1">
      <alignment vertical="top" wrapText="1"/>
    </xf>
    <xf numFmtId="49" fontId="1" fillId="0" borderId="0" xfId="0" applyNumberFormat="1" applyFont="1" applyFill="1" applyBorder="1" applyAlignment="1">
      <alignment horizontal="left" vertical="top" wrapText="1"/>
    </xf>
    <xf numFmtId="0" fontId="16" fillId="6" borderId="36" xfId="0" applyFont="1" applyFill="1" applyBorder="1" applyAlignment="1">
      <alignment horizontal="center" vertical="top" wrapText="1"/>
    </xf>
    <xf numFmtId="49" fontId="2" fillId="6" borderId="33"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6" borderId="31" xfId="0" applyNumberFormat="1" applyFont="1" applyFill="1" applyBorder="1" applyAlignment="1">
      <alignment horizontal="center" vertical="top"/>
    </xf>
    <xf numFmtId="3" fontId="1" fillId="7" borderId="27" xfId="0" applyNumberFormat="1" applyFont="1" applyFill="1" applyBorder="1" applyAlignment="1">
      <alignment horizontal="left" vertical="top" wrapText="1"/>
    </xf>
    <xf numFmtId="3" fontId="1" fillId="7" borderId="28" xfId="0" applyNumberFormat="1" applyFont="1" applyFill="1" applyBorder="1" applyAlignment="1">
      <alignment horizontal="left" vertical="top" wrapText="1"/>
    </xf>
    <xf numFmtId="3" fontId="1" fillId="7" borderId="15" xfId="0" applyNumberFormat="1" applyFont="1" applyFill="1" applyBorder="1" applyAlignment="1">
      <alignment horizontal="left" vertical="top" wrapText="1"/>
    </xf>
    <xf numFmtId="3" fontId="1" fillId="7" borderId="37" xfId="0" applyNumberFormat="1" applyFont="1" applyFill="1" applyBorder="1" applyAlignment="1">
      <alignment horizontal="left" vertical="top" wrapText="1"/>
    </xf>
    <xf numFmtId="3" fontId="1" fillId="0" borderId="15" xfId="0" applyNumberFormat="1" applyFont="1" applyBorder="1" applyAlignment="1">
      <alignment horizontal="left" vertical="top" wrapText="1"/>
    </xf>
    <xf numFmtId="3" fontId="6" fillId="4" borderId="26" xfId="0" applyNumberFormat="1" applyFont="1" applyFill="1" applyBorder="1" applyAlignment="1">
      <alignment horizontal="center" vertical="top"/>
    </xf>
    <xf numFmtId="3" fontId="6" fillId="5" borderId="28" xfId="0" applyNumberFormat="1" applyFont="1" applyFill="1" applyBorder="1" applyAlignment="1">
      <alignment horizontal="center" vertical="top"/>
    </xf>
    <xf numFmtId="3" fontId="6" fillId="8" borderId="31" xfId="0" applyNumberFormat="1" applyFont="1" applyFill="1" applyBorder="1" applyAlignment="1">
      <alignment horizontal="center" vertical="top"/>
    </xf>
    <xf numFmtId="3" fontId="6" fillId="8" borderId="28" xfId="0" applyNumberFormat="1" applyFont="1" applyFill="1" applyBorder="1" applyAlignment="1">
      <alignment horizontal="center" vertical="top"/>
    </xf>
    <xf numFmtId="0" fontId="11" fillId="6" borderId="10" xfId="0" applyFont="1" applyFill="1" applyBorder="1" applyAlignment="1">
      <alignment vertical="top"/>
    </xf>
    <xf numFmtId="0" fontId="11" fillId="6" borderId="36" xfId="0" applyFont="1" applyFill="1" applyBorder="1" applyAlignment="1">
      <alignment vertical="top"/>
    </xf>
    <xf numFmtId="49" fontId="2" fillId="6" borderId="33" xfId="0" applyNumberFormat="1" applyFont="1" applyFill="1" applyBorder="1" applyAlignment="1">
      <alignment horizontal="center" vertical="top" wrapText="1"/>
    </xf>
    <xf numFmtId="49" fontId="2" fillId="6" borderId="10" xfId="0" applyNumberFormat="1" applyFont="1" applyFill="1" applyBorder="1" applyAlignment="1">
      <alignment horizontal="center" vertical="top" wrapText="1"/>
    </xf>
    <xf numFmtId="49" fontId="2" fillId="6" borderId="31" xfId="0" applyNumberFormat="1" applyFont="1" applyFill="1" applyBorder="1" applyAlignment="1">
      <alignment horizontal="center" vertical="top" wrapText="1"/>
    </xf>
    <xf numFmtId="3" fontId="2" fillId="6" borderId="28"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6" borderId="12" xfId="0" applyFont="1" applyFill="1" applyBorder="1" applyAlignment="1">
      <alignment horizontal="left" vertical="top" wrapText="1"/>
    </xf>
    <xf numFmtId="0" fontId="1" fillId="6" borderId="0" xfId="0" applyFont="1" applyFill="1" applyBorder="1" applyAlignment="1">
      <alignment horizontal="left" vertical="top" wrapText="1"/>
    </xf>
    <xf numFmtId="3" fontId="1" fillId="0" borderId="12"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165" fontId="1" fillId="9" borderId="60" xfId="2" applyFont="1" applyFill="1" applyBorder="1" applyAlignment="1">
      <alignment horizontal="left" vertical="top" wrapText="1"/>
    </xf>
    <xf numFmtId="165" fontId="1" fillId="9" borderId="14" xfId="2" applyFont="1" applyFill="1" applyBorder="1" applyAlignment="1">
      <alignment horizontal="left" vertical="top" wrapText="1"/>
    </xf>
    <xf numFmtId="164" fontId="1" fillId="6" borderId="16" xfId="0" applyNumberFormat="1" applyFont="1" applyFill="1" applyBorder="1" applyAlignment="1">
      <alignment horizontal="center" vertical="center" wrapText="1"/>
    </xf>
    <xf numFmtId="164" fontId="1" fillId="6" borderId="36" xfId="0" applyNumberFormat="1" applyFont="1" applyFill="1" applyBorder="1" applyAlignment="1">
      <alignment horizontal="center" vertical="center" wrapText="1"/>
    </xf>
    <xf numFmtId="0" fontId="1" fillId="6" borderId="32" xfId="0" applyFont="1" applyFill="1" applyBorder="1" applyAlignment="1">
      <alignment horizontal="center" vertical="top" wrapText="1"/>
    </xf>
    <xf numFmtId="164" fontId="1" fillId="6" borderId="16"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0" fontId="1" fillId="0" borderId="12" xfId="0" applyFont="1" applyBorder="1" applyAlignment="1">
      <alignment horizontal="center" vertical="center" wrapText="1"/>
    </xf>
    <xf numFmtId="3" fontId="1" fillId="0" borderId="35" xfId="0" applyNumberFormat="1" applyFont="1" applyBorder="1" applyAlignment="1">
      <alignment horizontal="center" vertical="center"/>
    </xf>
    <xf numFmtId="3" fontId="1" fillId="0" borderId="51" xfId="0" applyNumberFormat="1" applyFont="1" applyBorder="1" applyAlignment="1">
      <alignment horizontal="center" vertical="center"/>
    </xf>
    <xf numFmtId="3" fontId="1" fillId="0" borderId="50" xfId="0" applyNumberFormat="1" applyFont="1" applyBorder="1" applyAlignment="1">
      <alignment horizontal="center" vertical="center"/>
    </xf>
    <xf numFmtId="0" fontId="2" fillId="0" borderId="57"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66FF99"/>
      <color rgb="FFFFDDFF"/>
      <color rgb="FFFFCC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92"/>
  <sheetViews>
    <sheetView tabSelected="1" zoomScaleNormal="100" zoomScaleSheetLayoutView="100" workbookViewId="0">
      <selection activeCell="A184" sqref="A184:XFD184"/>
    </sheetView>
  </sheetViews>
  <sheetFormatPr defaultColWidth="9.1796875" defaultRowHeight="13" x14ac:dyDescent="0.3"/>
  <cols>
    <col min="1" max="1" width="2.81640625" style="49" customWidth="1"/>
    <col min="2" max="2" width="3.1796875" style="49" customWidth="1"/>
    <col min="3" max="3" width="2.81640625" style="49" customWidth="1"/>
    <col min="4" max="4" width="32.1796875" style="49" customWidth="1"/>
    <col min="5" max="5" width="4.1796875" style="86" customWidth="1"/>
    <col min="6" max="6" width="8" style="49" customWidth="1"/>
    <col min="7" max="9" width="8.81640625" style="49" customWidth="1"/>
    <col min="10" max="10" width="35.81640625" style="49" customWidth="1"/>
    <col min="11" max="13" width="7.1796875" style="49" customWidth="1"/>
    <col min="14" max="14" width="9.1796875" style="49"/>
    <col min="15" max="16" width="9.1796875" style="49" hidden="1" customWidth="1"/>
    <col min="17" max="18" width="0" style="49" hidden="1" customWidth="1"/>
    <col min="19" max="16384" width="9.1796875" style="49"/>
  </cols>
  <sheetData>
    <row r="1" spans="1:18" s="10" customFormat="1" ht="31.5" customHeight="1" x14ac:dyDescent="0.35">
      <c r="A1" s="42"/>
      <c r="B1" s="42"/>
      <c r="C1" s="42"/>
      <c r="D1" s="42"/>
      <c r="E1" s="91"/>
      <c r="F1" s="281"/>
      <c r="G1" s="176"/>
      <c r="H1" s="176"/>
      <c r="J1" s="970" t="s">
        <v>205</v>
      </c>
      <c r="K1" s="970"/>
      <c r="L1" s="970"/>
      <c r="M1" s="970"/>
    </row>
    <row r="2" spans="1:18" s="10" customFormat="1" ht="15.75" customHeight="1" x14ac:dyDescent="0.35">
      <c r="A2" s="42"/>
      <c r="B2" s="42"/>
      <c r="C2" s="42"/>
      <c r="D2" s="42"/>
      <c r="E2" s="91"/>
      <c r="F2" s="281"/>
      <c r="G2" s="176"/>
      <c r="H2" s="176"/>
      <c r="J2" s="970" t="s">
        <v>206</v>
      </c>
      <c r="K2" s="970"/>
      <c r="L2" s="970"/>
      <c r="M2" s="970"/>
    </row>
    <row r="3" spans="1:18" s="10" customFormat="1" ht="15" customHeight="1" x14ac:dyDescent="0.35">
      <c r="A3" s="42"/>
      <c r="B3" s="42"/>
      <c r="C3" s="42"/>
      <c r="D3" s="35"/>
      <c r="E3" s="92"/>
      <c r="F3" s="94"/>
      <c r="G3" s="176"/>
      <c r="H3" s="176"/>
      <c r="I3" s="176"/>
      <c r="J3" s="176"/>
      <c r="K3" s="176"/>
      <c r="L3" s="176"/>
      <c r="M3" s="176"/>
    </row>
    <row r="4" spans="1:18" s="42" customFormat="1" ht="15" customHeight="1" x14ac:dyDescent="0.35">
      <c r="A4" s="971" t="s">
        <v>203</v>
      </c>
      <c r="B4" s="971"/>
      <c r="C4" s="971"/>
      <c r="D4" s="971"/>
      <c r="E4" s="971"/>
      <c r="F4" s="971"/>
      <c r="G4" s="971"/>
      <c r="H4" s="971"/>
      <c r="I4" s="971"/>
      <c r="J4" s="971"/>
      <c r="K4" s="971"/>
      <c r="L4" s="971"/>
      <c r="M4" s="971"/>
    </row>
    <row r="5" spans="1:18" s="44" customFormat="1" ht="15" customHeight="1" x14ac:dyDescent="0.35">
      <c r="A5" s="972" t="s">
        <v>0</v>
      </c>
      <c r="B5" s="972"/>
      <c r="C5" s="972"/>
      <c r="D5" s="972"/>
      <c r="E5" s="972"/>
      <c r="F5" s="972"/>
      <c r="G5" s="972"/>
      <c r="H5" s="972"/>
      <c r="I5" s="972"/>
      <c r="J5" s="972"/>
      <c r="K5" s="972"/>
      <c r="L5" s="972"/>
      <c r="M5" s="972"/>
    </row>
    <row r="6" spans="1:18" s="44" customFormat="1" ht="15" customHeight="1" x14ac:dyDescent="0.35">
      <c r="A6" s="973" t="s">
        <v>1</v>
      </c>
      <c r="B6" s="973"/>
      <c r="C6" s="973"/>
      <c r="D6" s="973"/>
      <c r="E6" s="973"/>
      <c r="F6" s="973"/>
      <c r="G6" s="973"/>
      <c r="H6" s="973"/>
      <c r="I6" s="973"/>
      <c r="J6" s="973"/>
      <c r="K6" s="973"/>
      <c r="L6" s="973"/>
      <c r="M6" s="973"/>
    </row>
    <row r="7" spans="1:18" s="44" customFormat="1" ht="13.5" customHeight="1" x14ac:dyDescent="0.35">
      <c r="A7" s="1"/>
      <c r="B7" s="1"/>
      <c r="C7" s="1"/>
      <c r="D7" s="1"/>
      <c r="E7" s="36"/>
      <c r="F7" s="36"/>
      <c r="G7" s="36"/>
      <c r="H7" s="36"/>
      <c r="I7" s="36"/>
      <c r="K7" s="41"/>
      <c r="L7" s="41"/>
      <c r="M7" s="41"/>
    </row>
    <row r="8" spans="1:18" s="44" customFormat="1" ht="14.5" customHeight="1" thickBot="1" x14ac:dyDescent="0.4">
      <c r="A8" s="1"/>
      <c r="B8" s="1"/>
      <c r="C8" s="1"/>
      <c r="D8" s="1"/>
      <c r="E8" s="36"/>
      <c r="F8" s="36"/>
      <c r="G8" s="272"/>
      <c r="H8" s="272"/>
      <c r="I8" s="272"/>
      <c r="K8" s="273"/>
      <c r="L8" s="974" t="s">
        <v>118</v>
      </c>
      <c r="M8" s="974"/>
    </row>
    <row r="9" spans="1:18" s="44" customFormat="1" ht="23.25" customHeight="1" thickBot="1" x14ac:dyDescent="0.4">
      <c r="A9" s="975" t="s">
        <v>2</v>
      </c>
      <c r="B9" s="977" t="s">
        <v>3</v>
      </c>
      <c r="C9" s="977" t="s">
        <v>4</v>
      </c>
      <c r="D9" s="979" t="s">
        <v>6</v>
      </c>
      <c r="E9" s="993" t="s">
        <v>132</v>
      </c>
      <c r="F9" s="996" t="s">
        <v>7</v>
      </c>
      <c r="G9" s="999" t="s">
        <v>135</v>
      </c>
      <c r="H9" s="1002" t="s">
        <v>194</v>
      </c>
      <c r="I9" s="981" t="s">
        <v>136</v>
      </c>
      <c r="J9" s="1230" t="s">
        <v>119</v>
      </c>
      <c r="K9" s="1231"/>
      <c r="L9" s="1231"/>
      <c r="M9" s="1232"/>
    </row>
    <row r="10" spans="1:18" s="44" customFormat="1" ht="18.75" customHeight="1" x14ac:dyDescent="0.35">
      <c r="A10" s="976"/>
      <c r="B10" s="978"/>
      <c r="C10" s="978"/>
      <c r="D10" s="980"/>
      <c r="E10" s="994"/>
      <c r="F10" s="997"/>
      <c r="G10" s="1000"/>
      <c r="H10" s="1003"/>
      <c r="I10" s="982"/>
      <c r="J10" s="1226" t="s">
        <v>6</v>
      </c>
      <c r="K10" s="1227" t="s">
        <v>125</v>
      </c>
      <c r="L10" s="1228"/>
      <c r="M10" s="1229"/>
    </row>
    <row r="11" spans="1:18" s="44" customFormat="1" ht="89.25" customHeight="1" thickBot="1" x14ac:dyDescent="0.4">
      <c r="A11" s="976"/>
      <c r="B11" s="978"/>
      <c r="C11" s="978"/>
      <c r="D11" s="980"/>
      <c r="E11" s="995"/>
      <c r="F11" s="998"/>
      <c r="G11" s="1001"/>
      <c r="H11" s="1004"/>
      <c r="I11" s="983"/>
      <c r="J11" s="987"/>
      <c r="K11" s="282" t="s">
        <v>138</v>
      </c>
      <c r="L11" s="283" t="s">
        <v>139</v>
      </c>
      <c r="M11" s="284" t="s">
        <v>140</v>
      </c>
    </row>
    <row r="12" spans="1:18" s="3" customFormat="1" ht="15" customHeight="1" x14ac:dyDescent="0.25">
      <c r="A12" s="990" t="s">
        <v>8</v>
      </c>
      <c r="B12" s="991"/>
      <c r="C12" s="991"/>
      <c r="D12" s="991"/>
      <c r="E12" s="991"/>
      <c r="F12" s="991"/>
      <c r="G12" s="991"/>
      <c r="H12" s="991"/>
      <c r="I12" s="991"/>
      <c r="J12" s="991"/>
      <c r="K12" s="991"/>
      <c r="L12" s="991"/>
      <c r="M12" s="992"/>
    </row>
    <row r="13" spans="1:18" s="3" customFormat="1" ht="15" customHeight="1" x14ac:dyDescent="0.25">
      <c r="A13" s="1006" t="s">
        <v>9</v>
      </c>
      <c r="B13" s="1007"/>
      <c r="C13" s="1007"/>
      <c r="D13" s="1007"/>
      <c r="E13" s="1007"/>
      <c r="F13" s="1007"/>
      <c r="G13" s="1007"/>
      <c r="H13" s="1007"/>
      <c r="I13" s="1007"/>
      <c r="J13" s="1007"/>
      <c r="K13" s="1007"/>
      <c r="L13" s="1007"/>
      <c r="M13" s="1008"/>
    </row>
    <row r="14" spans="1:18" s="44" customFormat="1" ht="15" customHeight="1" x14ac:dyDescent="0.35">
      <c r="A14" s="116" t="s">
        <v>10</v>
      </c>
      <c r="B14" s="1009" t="s">
        <v>11</v>
      </c>
      <c r="C14" s="1010"/>
      <c r="D14" s="1010"/>
      <c r="E14" s="1010"/>
      <c r="F14" s="1010"/>
      <c r="G14" s="1010"/>
      <c r="H14" s="1010"/>
      <c r="I14" s="1010"/>
      <c r="J14" s="1010"/>
      <c r="K14" s="1011"/>
      <c r="L14" s="1011"/>
      <c r="M14" s="1012"/>
    </row>
    <row r="15" spans="1:18" s="44" customFormat="1" ht="15" customHeight="1" thickBot="1" x14ac:dyDescent="0.4">
      <c r="A15" s="318" t="s">
        <v>10</v>
      </c>
      <c r="B15" s="809" t="s">
        <v>10</v>
      </c>
      <c r="C15" s="1013" t="s">
        <v>12</v>
      </c>
      <c r="D15" s="1014"/>
      <c r="E15" s="1014"/>
      <c r="F15" s="1014"/>
      <c r="G15" s="1014"/>
      <c r="H15" s="1014"/>
      <c r="I15" s="1014"/>
      <c r="J15" s="1014"/>
      <c r="K15" s="1015"/>
      <c r="L15" s="1015"/>
      <c r="M15" s="1016"/>
    </row>
    <row r="16" spans="1:18" s="44" customFormat="1" ht="16.25" customHeight="1" x14ac:dyDescent="0.35">
      <c r="A16" s="1017" t="s">
        <v>10</v>
      </c>
      <c r="B16" s="1018" t="s">
        <v>10</v>
      </c>
      <c r="C16" s="1020" t="s">
        <v>10</v>
      </c>
      <c r="D16" s="1025" t="s">
        <v>13</v>
      </c>
      <c r="E16" s="640"/>
      <c r="F16" s="168" t="s">
        <v>22</v>
      </c>
      <c r="G16" s="114">
        <v>106.1</v>
      </c>
      <c r="H16" s="833">
        <v>106.1</v>
      </c>
      <c r="I16" s="834">
        <v>106.1</v>
      </c>
      <c r="J16" s="820"/>
      <c r="K16" s="816"/>
      <c r="L16" s="821"/>
      <c r="M16" s="822"/>
      <c r="O16" s="900" t="s">
        <v>22</v>
      </c>
      <c r="P16" s="965">
        <f>+G24+G26</f>
        <v>106.1</v>
      </c>
      <c r="Q16" s="965">
        <f t="shared" ref="Q16:R16" si="0">+H24+H26</f>
        <v>106.1</v>
      </c>
      <c r="R16" s="965">
        <f t="shared" si="0"/>
        <v>106.1</v>
      </c>
    </row>
    <row r="17" spans="1:18" s="44" customFormat="1" ht="16.25" customHeight="1" x14ac:dyDescent="0.35">
      <c r="A17" s="1017"/>
      <c r="B17" s="1019"/>
      <c r="C17" s="1020"/>
      <c r="D17" s="1026"/>
      <c r="E17" s="640"/>
      <c r="F17" s="168" t="s">
        <v>16</v>
      </c>
      <c r="G17" s="114">
        <v>4708</v>
      </c>
      <c r="H17" s="111">
        <v>4708</v>
      </c>
      <c r="I17" s="23">
        <v>4708</v>
      </c>
      <c r="J17" s="291"/>
      <c r="K17" s="816"/>
      <c r="L17" s="817"/>
      <c r="M17" s="818"/>
      <c r="O17" s="900" t="s">
        <v>16</v>
      </c>
      <c r="P17" s="965">
        <f>+G20</f>
        <v>4708</v>
      </c>
      <c r="Q17" s="965">
        <f t="shared" ref="Q17:R17" si="1">+H20</f>
        <v>4708</v>
      </c>
      <c r="R17" s="965">
        <f t="shared" si="1"/>
        <v>4708</v>
      </c>
    </row>
    <row r="18" spans="1:18" s="44" customFormat="1" ht="16.25" customHeight="1" x14ac:dyDescent="0.35">
      <c r="A18" s="1017"/>
      <c r="B18" s="1019"/>
      <c r="C18" s="1020"/>
      <c r="D18" s="1026"/>
      <c r="E18" s="640"/>
      <c r="F18" s="168" t="s">
        <v>17</v>
      </c>
      <c r="G18" s="535">
        <v>912.9</v>
      </c>
      <c r="H18" s="111">
        <v>479.5</v>
      </c>
      <c r="I18" s="23">
        <v>468.7</v>
      </c>
      <c r="J18" s="291"/>
      <c r="K18" s="816"/>
      <c r="L18" s="817"/>
      <c r="M18" s="818"/>
      <c r="O18" s="900" t="s">
        <v>17</v>
      </c>
      <c r="P18" s="965">
        <f>+G21+G22+G28+G29+G30+G32</f>
        <v>912.9000000000002</v>
      </c>
      <c r="Q18" s="965">
        <f t="shared" ref="Q18:R18" si="2">+H21+H22+H28+H29+H30+H32</f>
        <v>479.50000000000017</v>
      </c>
      <c r="R18" s="965">
        <f t="shared" si="2"/>
        <v>468.70000000000022</v>
      </c>
    </row>
    <row r="19" spans="1:18" s="44" customFormat="1" ht="16.25" customHeight="1" x14ac:dyDescent="0.35">
      <c r="A19" s="1017"/>
      <c r="B19" s="1019"/>
      <c r="C19" s="1020"/>
      <c r="D19" s="1026"/>
      <c r="E19" s="640"/>
      <c r="F19" s="832" t="s">
        <v>182</v>
      </c>
      <c r="G19" s="114">
        <v>5.8</v>
      </c>
      <c r="H19" s="111">
        <v>5.8</v>
      </c>
      <c r="I19" s="23"/>
      <c r="J19" s="291"/>
      <c r="K19" s="816"/>
      <c r="L19" s="817"/>
      <c r="M19" s="818"/>
      <c r="O19" s="900" t="s">
        <v>182</v>
      </c>
      <c r="P19" s="965">
        <f>+G33</f>
        <v>5.8</v>
      </c>
      <c r="Q19" s="965">
        <f t="shared" ref="Q19:R19" si="3">+H33</f>
        <v>5.8</v>
      </c>
      <c r="R19" s="965">
        <f t="shared" si="3"/>
        <v>0</v>
      </c>
    </row>
    <row r="20" spans="1:18" s="44" customFormat="1" ht="15.65" customHeight="1" x14ac:dyDescent="0.35">
      <c r="A20" s="1017"/>
      <c r="B20" s="1019"/>
      <c r="C20" s="1020"/>
      <c r="D20" s="1021" t="s">
        <v>15</v>
      </c>
      <c r="E20" s="792" t="s">
        <v>154</v>
      </c>
      <c r="F20" s="835" t="s">
        <v>207</v>
      </c>
      <c r="G20" s="836">
        <v>4708</v>
      </c>
      <c r="H20" s="837">
        <v>4708</v>
      </c>
      <c r="I20" s="838">
        <v>4708</v>
      </c>
      <c r="J20" s="1023" t="s">
        <v>62</v>
      </c>
      <c r="K20" s="827">
        <v>58</v>
      </c>
      <c r="L20" s="823">
        <v>58</v>
      </c>
      <c r="M20" s="824">
        <v>58</v>
      </c>
      <c r="O20" s="900"/>
      <c r="P20" s="965">
        <f>+P16+P17+P18+P19</f>
        <v>5732.8000000000011</v>
      </c>
      <c r="Q20" s="965">
        <f t="shared" ref="Q20:R20" si="4">+Q16+Q17+Q18+Q19</f>
        <v>5299.4000000000005</v>
      </c>
      <c r="R20" s="965">
        <f t="shared" si="4"/>
        <v>5282.8</v>
      </c>
    </row>
    <row r="21" spans="1:18" s="44" customFormat="1" ht="15.65" customHeight="1" x14ac:dyDescent="0.35">
      <c r="A21" s="1017"/>
      <c r="B21" s="1019"/>
      <c r="C21" s="1020"/>
      <c r="D21" s="1022"/>
      <c r="E21" s="58"/>
      <c r="F21" s="839" t="s">
        <v>208</v>
      </c>
      <c r="G21" s="840">
        <f>5062.8-G20</f>
        <v>354.80000000000018</v>
      </c>
      <c r="H21" s="841">
        <v>354.80000000000018</v>
      </c>
      <c r="I21" s="842">
        <v>354.80000000000018</v>
      </c>
      <c r="J21" s="1024"/>
      <c r="K21" s="299"/>
      <c r="L21" s="306"/>
      <c r="M21" s="228"/>
      <c r="O21" s="900"/>
      <c r="P21" s="965">
        <f>+P20-G36</f>
        <v>0</v>
      </c>
      <c r="Q21" s="965">
        <f t="shared" ref="Q21:R21" si="5">+Q20-H36</f>
        <v>0</v>
      </c>
      <c r="R21" s="965">
        <f t="shared" si="5"/>
        <v>0</v>
      </c>
    </row>
    <row r="22" spans="1:18" s="44" customFormat="1" ht="31.25" customHeight="1" x14ac:dyDescent="0.35">
      <c r="A22" s="102"/>
      <c r="B22" s="103"/>
      <c r="C22" s="104"/>
      <c r="D22" s="778" t="s">
        <v>18</v>
      </c>
      <c r="E22" s="640" t="s">
        <v>154</v>
      </c>
      <c r="F22" s="843" t="s">
        <v>208</v>
      </c>
      <c r="G22" s="844">
        <v>93.8</v>
      </c>
      <c r="H22" s="845">
        <v>93.8</v>
      </c>
      <c r="I22" s="846">
        <v>93.8</v>
      </c>
      <c r="J22" s="779" t="s">
        <v>62</v>
      </c>
      <c r="K22" s="622">
        <v>1.8</v>
      </c>
      <c r="L22" s="623">
        <v>1.8</v>
      </c>
      <c r="M22" s="830">
        <v>1.8</v>
      </c>
    </row>
    <row r="23" spans="1:18" s="44" customFormat="1" ht="27.5" customHeight="1" x14ac:dyDescent="0.35">
      <c r="A23" s="102"/>
      <c r="B23" s="103"/>
      <c r="C23" s="105"/>
      <c r="D23" s="774" t="s">
        <v>21</v>
      </c>
      <c r="E23" s="280" t="s">
        <v>154</v>
      </c>
      <c r="F23" s="847"/>
      <c r="G23" s="848"/>
      <c r="H23" s="849"/>
      <c r="I23" s="849"/>
      <c r="J23" s="285"/>
      <c r="K23" s="828"/>
      <c r="L23" s="829"/>
      <c r="M23" s="222"/>
    </row>
    <row r="24" spans="1:18" s="44" customFormat="1" ht="20.75" customHeight="1" x14ac:dyDescent="0.35">
      <c r="A24" s="1017"/>
      <c r="B24" s="1019"/>
      <c r="C24" s="1020"/>
      <c r="D24" s="1028" t="s">
        <v>23</v>
      </c>
      <c r="E24" s="1005"/>
      <c r="F24" s="850" t="s">
        <v>209</v>
      </c>
      <c r="G24" s="851">
        <v>70</v>
      </c>
      <c r="H24" s="852">
        <v>70</v>
      </c>
      <c r="I24" s="852">
        <v>70</v>
      </c>
      <c r="J24" s="286" t="s">
        <v>82</v>
      </c>
      <c r="K24" s="625">
        <v>540</v>
      </c>
      <c r="L24" s="626">
        <v>540</v>
      </c>
      <c r="M24" s="624">
        <v>540</v>
      </c>
    </row>
    <row r="25" spans="1:18" s="44" customFormat="1" ht="16.5" customHeight="1" x14ac:dyDescent="0.35">
      <c r="A25" s="1017"/>
      <c r="B25" s="1019"/>
      <c r="C25" s="1020"/>
      <c r="D25" s="1029"/>
      <c r="E25" s="1005"/>
      <c r="F25" s="853"/>
      <c r="G25" s="844"/>
      <c r="H25" s="845"/>
      <c r="I25" s="845"/>
      <c r="J25" s="287" t="s">
        <v>24</v>
      </c>
      <c r="K25" s="664">
        <v>190</v>
      </c>
      <c r="L25" s="665">
        <v>190</v>
      </c>
      <c r="M25" s="223">
        <v>190</v>
      </c>
    </row>
    <row r="26" spans="1:18" s="44" customFormat="1" ht="16.5" customHeight="1" x14ac:dyDescent="0.35">
      <c r="A26" s="1017"/>
      <c r="B26" s="1019"/>
      <c r="C26" s="1020"/>
      <c r="D26" s="62" t="s">
        <v>25</v>
      </c>
      <c r="E26" s="1005"/>
      <c r="F26" s="853" t="s">
        <v>209</v>
      </c>
      <c r="G26" s="854">
        <v>36.1</v>
      </c>
      <c r="H26" s="845">
        <v>36.1</v>
      </c>
      <c r="I26" s="855">
        <v>36.1</v>
      </c>
      <c r="J26" s="780" t="s">
        <v>83</v>
      </c>
      <c r="K26" s="661">
        <v>4</v>
      </c>
      <c r="L26" s="662">
        <v>4</v>
      </c>
      <c r="M26" s="663">
        <v>4</v>
      </c>
      <c r="N26" s="41"/>
    </row>
    <row r="27" spans="1:18" s="44" customFormat="1" ht="14.5" customHeight="1" x14ac:dyDescent="0.35">
      <c r="A27" s="807"/>
      <c r="B27" s="811"/>
      <c r="C27" s="812"/>
      <c r="D27" s="109"/>
      <c r="E27" s="814"/>
      <c r="F27" s="839"/>
      <c r="G27" s="856"/>
      <c r="H27" s="857"/>
      <c r="I27" s="857"/>
      <c r="J27" s="800"/>
      <c r="K27" s="301"/>
      <c r="L27" s="308"/>
      <c r="M27" s="224"/>
    </row>
    <row r="28" spans="1:18" s="44" customFormat="1" ht="28" customHeight="1" x14ac:dyDescent="0.35">
      <c r="A28" s="1017"/>
      <c r="B28" s="1019"/>
      <c r="C28" s="1020"/>
      <c r="D28" s="1030" t="s">
        <v>28</v>
      </c>
      <c r="E28" s="280" t="s">
        <v>154</v>
      </c>
      <c r="F28" s="858" t="s">
        <v>208</v>
      </c>
      <c r="G28" s="859">
        <v>15.9</v>
      </c>
      <c r="H28" s="837">
        <v>19.399999999999999</v>
      </c>
      <c r="I28" s="846">
        <v>20.100000000000001</v>
      </c>
      <c r="J28" s="481" t="s">
        <v>84</v>
      </c>
      <c r="K28" s="339">
        <v>5</v>
      </c>
      <c r="L28" s="346">
        <v>5</v>
      </c>
      <c r="M28" s="666">
        <v>6</v>
      </c>
    </row>
    <row r="29" spans="1:18" s="44" customFormat="1" ht="27" customHeight="1" x14ac:dyDescent="0.35">
      <c r="A29" s="1017"/>
      <c r="B29" s="1019"/>
      <c r="C29" s="1020"/>
      <c r="D29" s="1031"/>
      <c r="E29" s="640"/>
      <c r="F29" s="860" t="s">
        <v>208</v>
      </c>
      <c r="G29" s="840">
        <v>11.5</v>
      </c>
      <c r="H29" s="857">
        <v>11.5</v>
      </c>
      <c r="I29" s="861"/>
      <c r="J29" s="290" t="s">
        <v>80</v>
      </c>
      <c r="K29" s="302">
        <v>50</v>
      </c>
      <c r="L29" s="309">
        <v>50</v>
      </c>
      <c r="M29" s="225"/>
    </row>
    <row r="30" spans="1:18" s="44" customFormat="1" ht="26.25" customHeight="1" x14ac:dyDescent="0.35">
      <c r="A30" s="1017"/>
      <c r="B30" s="1019"/>
      <c r="C30" s="1020"/>
      <c r="D30" s="1021" t="s">
        <v>78</v>
      </c>
      <c r="E30" s="644" t="s">
        <v>98</v>
      </c>
      <c r="F30" s="835" t="s">
        <v>208</v>
      </c>
      <c r="G30" s="862">
        <v>427.2</v>
      </c>
      <c r="H30" s="863"/>
      <c r="I30" s="845"/>
      <c r="J30" s="779" t="s">
        <v>77</v>
      </c>
      <c r="K30" s="361">
        <v>73</v>
      </c>
      <c r="L30" s="366"/>
      <c r="M30" s="222"/>
    </row>
    <row r="31" spans="1:18" s="44" customFormat="1" ht="30" customHeight="1" x14ac:dyDescent="0.35">
      <c r="A31" s="1017"/>
      <c r="B31" s="1019"/>
      <c r="C31" s="1020"/>
      <c r="D31" s="1027"/>
      <c r="E31" s="641" t="s">
        <v>220</v>
      </c>
      <c r="F31" s="839"/>
      <c r="G31" s="856"/>
      <c r="H31" s="857"/>
      <c r="I31" s="857"/>
      <c r="J31" s="799"/>
      <c r="K31" s="304"/>
      <c r="L31" s="310"/>
      <c r="M31" s="709"/>
    </row>
    <row r="32" spans="1:18" s="44" customFormat="1" ht="43.5" customHeight="1" x14ac:dyDescent="0.35">
      <c r="A32" s="807"/>
      <c r="B32" s="811"/>
      <c r="C32" s="812"/>
      <c r="D32" s="804" t="s">
        <v>103</v>
      </c>
      <c r="E32" s="640" t="s">
        <v>154</v>
      </c>
      <c r="F32" s="858" t="s">
        <v>208</v>
      </c>
      <c r="G32" s="864">
        <v>9.6999999999999993</v>
      </c>
      <c r="H32" s="837"/>
      <c r="I32" s="865"/>
      <c r="J32" s="291" t="s">
        <v>102</v>
      </c>
      <c r="K32" s="303">
        <v>1</v>
      </c>
      <c r="L32" s="345"/>
      <c r="M32" s="226"/>
    </row>
    <row r="33" spans="1:18" s="44" customFormat="1" ht="20.5" customHeight="1" x14ac:dyDescent="0.35">
      <c r="A33" s="807"/>
      <c r="B33" s="811"/>
      <c r="C33" s="150"/>
      <c r="D33" s="1030" t="s">
        <v>181</v>
      </c>
      <c r="E33" s="825" t="s">
        <v>156</v>
      </c>
      <c r="F33" s="866" t="s">
        <v>210</v>
      </c>
      <c r="G33" s="867">
        <v>5.8</v>
      </c>
      <c r="H33" s="868">
        <v>5.8</v>
      </c>
      <c r="I33" s="865"/>
      <c r="J33" s="826" t="s">
        <v>183</v>
      </c>
      <c r="K33" s="700">
        <v>35</v>
      </c>
      <c r="L33" s="701">
        <v>35</v>
      </c>
      <c r="M33" s="702"/>
    </row>
    <row r="34" spans="1:18" s="44" customFormat="1" ht="20.5" customHeight="1" x14ac:dyDescent="0.35">
      <c r="A34" s="807"/>
      <c r="B34" s="811"/>
      <c r="C34" s="150"/>
      <c r="D34" s="1032"/>
      <c r="E34" s="203"/>
      <c r="F34" s="860"/>
      <c r="G34" s="854"/>
      <c r="H34" s="845"/>
      <c r="I34" s="869"/>
      <c r="J34" s="798"/>
      <c r="K34" s="300"/>
      <c r="L34" s="307"/>
      <c r="M34" s="222"/>
    </row>
    <row r="35" spans="1:18" s="44" customFormat="1" ht="20.5" customHeight="1" x14ac:dyDescent="0.35">
      <c r="A35" s="807"/>
      <c r="B35" s="811"/>
      <c r="C35" s="150"/>
      <c r="D35" s="1032"/>
      <c r="E35" s="203"/>
      <c r="F35" s="860"/>
      <c r="G35" s="844"/>
      <c r="H35" s="845"/>
      <c r="I35" s="869"/>
      <c r="J35" s="798"/>
      <c r="K35" s="300"/>
      <c r="L35" s="307"/>
      <c r="M35" s="222"/>
    </row>
    <row r="36" spans="1:18" s="44" customFormat="1" ht="15.65" customHeight="1" thickBot="1" x14ac:dyDescent="0.35">
      <c r="A36" s="96"/>
      <c r="B36" s="97"/>
      <c r="C36" s="38"/>
      <c r="D36" s="1033"/>
      <c r="E36" s="126"/>
      <c r="F36" s="149" t="s">
        <v>19</v>
      </c>
      <c r="G36" s="317">
        <f>+G16+G17+G18+G19</f>
        <v>5732.8</v>
      </c>
      <c r="H36" s="317">
        <f>+H16+H17+H18+H19</f>
        <v>5299.4000000000005</v>
      </c>
      <c r="I36" s="317">
        <f>+I16+I17+I18+I19</f>
        <v>5282.8</v>
      </c>
      <c r="J36" s="293"/>
      <c r="K36" s="305"/>
      <c r="L36" s="311"/>
      <c r="M36" s="122"/>
    </row>
    <row r="37" spans="1:18" s="44" customFormat="1" ht="15" customHeight="1" thickBot="1" x14ac:dyDescent="0.4">
      <c r="A37" s="8" t="s">
        <v>10</v>
      </c>
      <c r="B37" s="9" t="s">
        <v>10</v>
      </c>
      <c r="C37" s="1039" t="s">
        <v>32</v>
      </c>
      <c r="D37" s="1040"/>
      <c r="E37" s="1040"/>
      <c r="F37" s="1041"/>
      <c r="G37" s="324">
        <f t="shared" ref="G37:I37" si="6">G36</f>
        <v>5732.8</v>
      </c>
      <c r="H37" s="121">
        <f t="shared" si="6"/>
        <v>5299.4000000000005</v>
      </c>
      <c r="I37" s="325">
        <f t="shared" si="6"/>
        <v>5282.8</v>
      </c>
      <c r="J37" s="1036"/>
      <c r="K37" s="1037"/>
      <c r="L37" s="1037"/>
      <c r="M37" s="1038"/>
    </row>
    <row r="38" spans="1:18" s="44" customFormat="1" ht="15" customHeight="1" thickBot="1" x14ac:dyDescent="0.4">
      <c r="A38" s="8" t="s">
        <v>10</v>
      </c>
      <c r="B38" s="215" t="s">
        <v>20</v>
      </c>
      <c r="C38" s="1042" t="s">
        <v>33</v>
      </c>
      <c r="D38" s="1043"/>
      <c r="E38" s="1043"/>
      <c r="F38" s="1043"/>
      <c r="G38" s="1043"/>
      <c r="H38" s="1043"/>
      <c r="I38" s="1043"/>
      <c r="J38" s="1043"/>
      <c r="K38" s="1043"/>
      <c r="L38" s="1043"/>
      <c r="M38" s="1044"/>
    </row>
    <row r="39" spans="1:18" s="44" customFormat="1" ht="16.25" customHeight="1" x14ac:dyDescent="0.35">
      <c r="A39" s="1045" t="s">
        <v>10</v>
      </c>
      <c r="B39" s="1046" t="s">
        <v>20</v>
      </c>
      <c r="C39" s="1048" t="s">
        <v>10</v>
      </c>
      <c r="D39" s="1060" t="s">
        <v>60</v>
      </c>
      <c r="E39" s="871"/>
      <c r="F39" s="107" t="s">
        <v>31</v>
      </c>
      <c r="G39" s="114">
        <v>407.4</v>
      </c>
      <c r="H39" s="111">
        <v>557.6</v>
      </c>
      <c r="I39" s="111">
        <v>69.099999999999994</v>
      </c>
      <c r="J39" s="820"/>
      <c r="K39" s="873"/>
      <c r="L39" s="874"/>
      <c r="M39" s="226"/>
      <c r="O39" s="900" t="s">
        <v>31</v>
      </c>
      <c r="P39" s="965">
        <f>+G51+G56+G58</f>
        <v>407.4</v>
      </c>
      <c r="Q39" s="965">
        <f t="shared" ref="Q39:R39" si="7">+H51+H56+H58</f>
        <v>557.6</v>
      </c>
      <c r="R39" s="965">
        <f t="shared" si="7"/>
        <v>69.099999999999994</v>
      </c>
    </row>
    <row r="40" spans="1:18" s="44" customFormat="1" ht="16.25" customHeight="1" x14ac:dyDescent="0.35">
      <c r="A40" s="1017"/>
      <c r="B40" s="1047"/>
      <c r="C40" s="1048"/>
      <c r="D40" s="1061"/>
      <c r="E40" s="872"/>
      <c r="F40" s="168" t="s">
        <v>22</v>
      </c>
      <c r="G40" s="535">
        <v>208.3</v>
      </c>
      <c r="H40" s="111">
        <v>280.89999999999998</v>
      </c>
      <c r="I40" s="450">
        <v>299.60000000000002</v>
      </c>
      <c r="J40" s="291"/>
      <c r="K40" s="303"/>
      <c r="L40" s="196"/>
      <c r="M40" s="784"/>
      <c r="O40" s="900" t="s">
        <v>22</v>
      </c>
      <c r="P40" s="965">
        <f>+G43+G45+G47+G49+G55</f>
        <v>208.3</v>
      </c>
      <c r="Q40" s="965">
        <f t="shared" ref="Q40:R40" si="8">+H43+H45+H47+H49+H55</f>
        <v>280.89999999999998</v>
      </c>
      <c r="R40" s="965">
        <f t="shared" si="8"/>
        <v>299.60000000000002</v>
      </c>
    </row>
    <row r="41" spans="1:18" s="44" customFormat="1" ht="16.25" customHeight="1" x14ac:dyDescent="0.35">
      <c r="A41" s="1017"/>
      <c r="B41" s="1047"/>
      <c r="C41" s="1048"/>
      <c r="D41" s="1061"/>
      <c r="E41" s="871"/>
      <c r="F41" s="168" t="s">
        <v>67</v>
      </c>
      <c r="G41" s="114">
        <v>482</v>
      </c>
      <c r="H41" s="111"/>
      <c r="I41" s="140"/>
      <c r="J41" s="291"/>
      <c r="K41" s="303"/>
      <c r="L41" s="196"/>
      <c r="M41" s="226"/>
      <c r="O41" s="900" t="s">
        <v>67</v>
      </c>
      <c r="P41" s="965">
        <f>+G52+G54</f>
        <v>482</v>
      </c>
      <c r="Q41" s="965">
        <f t="shared" ref="Q41:R41" si="9">+H52+H54</f>
        <v>0</v>
      </c>
      <c r="R41" s="965">
        <f t="shared" si="9"/>
        <v>0</v>
      </c>
    </row>
    <row r="42" spans="1:18" s="44" customFormat="1" ht="16.25" customHeight="1" x14ac:dyDescent="0.35">
      <c r="A42" s="1017"/>
      <c r="B42" s="1047"/>
      <c r="C42" s="1048"/>
      <c r="D42" s="1062"/>
      <c r="E42" s="871"/>
      <c r="F42" s="200" t="s">
        <v>26</v>
      </c>
      <c r="G42" s="114">
        <v>90.7</v>
      </c>
      <c r="H42" s="198"/>
      <c r="I42" s="140"/>
      <c r="J42" s="291"/>
      <c r="K42" s="303"/>
      <c r="L42" s="196"/>
      <c r="M42" s="226"/>
      <c r="O42" s="900" t="s">
        <v>26</v>
      </c>
      <c r="P42" s="965">
        <f>+G44+G48+G53+G59</f>
        <v>90.7</v>
      </c>
      <c r="Q42" s="965">
        <f t="shared" ref="Q42:R42" si="10">+H44+H48+H53+H59</f>
        <v>0</v>
      </c>
      <c r="R42" s="965">
        <f t="shared" si="10"/>
        <v>0</v>
      </c>
    </row>
    <row r="43" spans="1:18" s="44" customFormat="1" ht="26.5" customHeight="1" x14ac:dyDescent="0.35">
      <c r="A43" s="1017"/>
      <c r="B43" s="1047"/>
      <c r="C43" s="1048"/>
      <c r="D43" s="1030" t="s">
        <v>34</v>
      </c>
      <c r="E43" s="870" t="s">
        <v>221</v>
      </c>
      <c r="F43" s="853" t="s">
        <v>209</v>
      </c>
      <c r="G43" s="859">
        <v>142.5</v>
      </c>
      <c r="H43" s="845">
        <v>180.1</v>
      </c>
      <c r="I43" s="865">
        <v>198.8</v>
      </c>
      <c r="J43" s="356" t="s">
        <v>35</v>
      </c>
      <c r="K43" s="372">
        <v>2</v>
      </c>
      <c r="L43" s="374">
        <v>3</v>
      </c>
      <c r="M43" s="445">
        <v>5</v>
      </c>
      <c r="O43" s="900"/>
      <c r="P43" s="965">
        <f>+P39+P40+P41+P42</f>
        <v>1188.4000000000001</v>
      </c>
      <c r="Q43" s="965">
        <f t="shared" ref="Q43:R43" si="11">+Q39+Q40+Q41+Q42</f>
        <v>838.5</v>
      </c>
      <c r="R43" s="965">
        <f t="shared" si="11"/>
        <v>368.70000000000005</v>
      </c>
    </row>
    <row r="44" spans="1:18" s="44" customFormat="1" ht="28.5" customHeight="1" x14ac:dyDescent="0.35">
      <c r="A44" s="1017"/>
      <c r="B44" s="1047"/>
      <c r="C44" s="1048"/>
      <c r="D44" s="1031"/>
      <c r="E44" s="646" t="s">
        <v>98</v>
      </c>
      <c r="F44" s="885" t="s">
        <v>211</v>
      </c>
      <c r="G44" s="840">
        <f>5.8+12</f>
        <v>17.8</v>
      </c>
      <c r="H44" s="857"/>
      <c r="I44" s="845"/>
      <c r="J44" s="320" t="s">
        <v>185</v>
      </c>
      <c r="K44" s="334">
        <v>5</v>
      </c>
      <c r="L44" s="342">
        <v>5</v>
      </c>
      <c r="M44" s="787">
        <v>5</v>
      </c>
      <c r="O44" s="900"/>
      <c r="P44" s="965">
        <f>+P43-G60</f>
        <v>0</v>
      </c>
      <c r="Q44" s="965">
        <f t="shared" ref="Q44:R44" si="12">+Q43-H60</f>
        <v>0</v>
      </c>
      <c r="R44" s="965">
        <f t="shared" si="12"/>
        <v>0</v>
      </c>
    </row>
    <row r="45" spans="1:18" s="44" customFormat="1" ht="20.149999999999999" customHeight="1" x14ac:dyDescent="0.35">
      <c r="A45" s="76"/>
      <c r="B45" s="809"/>
      <c r="C45" s="810"/>
      <c r="D45" s="803" t="s">
        <v>36</v>
      </c>
      <c r="E45" s="647" t="s">
        <v>154</v>
      </c>
      <c r="F45" s="847" t="s">
        <v>209</v>
      </c>
      <c r="G45" s="836">
        <v>15.8</v>
      </c>
      <c r="H45" s="837">
        <v>15.8</v>
      </c>
      <c r="I45" s="838">
        <v>15.8</v>
      </c>
      <c r="J45" s="1023" t="s">
        <v>184</v>
      </c>
      <c r="K45" s="335">
        <v>9</v>
      </c>
      <c r="L45" s="343">
        <v>9</v>
      </c>
      <c r="M45" s="82">
        <v>9</v>
      </c>
    </row>
    <row r="46" spans="1:18" s="44" customFormat="1" ht="23.15" customHeight="1" x14ac:dyDescent="0.35">
      <c r="A46" s="76"/>
      <c r="B46" s="809"/>
      <c r="C46" s="810"/>
      <c r="D46" s="29"/>
      <c r="E46" s="87" t="s">
        <v>98</v>
      </c>
      <c r="F46" s="839"/>
      <c r="G46" s="844"/>
      <c r="H46" s="857"/>
      <c r="I46" s="844"/>
      <c r="J46" s="1024"/>
      <c r="K46" s="336"/>
      <c r="L46" s="344"/>
      <c r="M46" s="230"/>
    </row>
    <row r="47" spans="1:18" s="44" customFormat="1" ht="16" customHeight="1" x14ac:dyDescent="0.35">
      <c r="A47" s="76"/>
      <c r="B47" s="809"/>
      <c r="C47" s="812"/>
      <c r="D47" s="1030" t="s">
        <v>69</v>
      </c>
      <c r="E47" s="792" t="s">
        <v>154</v>
      </c>
      <c r="F47" s="835" t="s">
        <v>209</v>
      </c>
      <c r="G47" s="859">
        <v>5</v>
      </c>
      <c r="H47" s="837">
        <v>5</v>
      </c>
      <c r="I47" s="865">
        <v>5</v>
      </c>
      <c r="J47" s="805" t="s">
        <v>70</v>
      </c>
      <c r="K47" s="333">
        <v>200</v>
      </c>
      <c r="L47" s="341">
        <v>100</v>
      </c>
      <c r="M47" s="783">
        <v>100</v>
      </c>
    </row>
    <row r="48" spans="1:18" s="44" customFormat="1" ht="16" customHeight="1" x14ac:dyDescent="0.35">
      <c r="A48" s="76"/>
      <c r="B48" s="809"/>
      <c r="C48" s="812"/>
      <c r="D48" s="1031"/>
      <c r="E48" s="58"/>
      <c r="F48" s="885" t="s">
        <v>211</v>
      </c>
      <c r="G48" s="844">
        <v>5</v>
      </c>
      <c r="H48" s="857"/>
      <c r="I48" s="842"/>
      <c r="J48" s="806"/>
      <c r="K48" s="334"/>
      <c r="L48" s="342"/>
      <c r="M48" s="785"/>
    </row>
    <row r="49" spans="1:18" s="44" customFormat="1" ht="24.65" customHeight="1" x14ac:dyDescent="0.35">
      <c r="A49" s="807"/>
      <c r="B49" s="809"/>
      <c r="C49" s="810"/>
      <c r="D49" s="804" t="s">
        <v>126</v>
      </c>
      <c r="E49" s="792" t="s">
        <v>90</v>
      </c>
      <c r="F49" s="850" t="s">
        <v>209</v>
      </c>
      <c r="G49" s="876">
        <v>15</v>
      </c>
      <c r="H49" s="837"/>
      <c r="I49" s="865"/>
      <c r="J49" s="356" t="s">
        <v>104</v>
      </c>
      <c r="K49" s="339">
        <v>2</v>
      </c>
      <c r="L49" s="348"/>
      <c r="M49" s="229"/>
    </row>
    <row r="50" spans="1:18" s="44" customFormat="1" ht="30.65" customHeight="1" x14ac:dyDescent="0.35">
      <c r="A50" s="807"/>
      <c r="B50" s="809"/>
      <c r="C50" s="139"/>
      <c r="D50" s="804"/>
      <c r="E50" s="648" t="s">
        <v>154</v>
      </c>
      <c r="F50" s="853"/>
      <c r="G50" s="854"/>
      <c r="H50" s="845"/>
      <c r="I50" s="855"/>
      <c r="J50" s="442" t="s">
        <v>143</v>
      </c>
      <c r="K50" s="338">
        <v>2</v>
      </c>
      <c r="L50" s="347"/>
      <c r="M50" s="244"/>
    </row>
    <row r="51" spans="1:18" s="44" customFormat="1" ht="15" customHeight="1" x14ac:dyDescent="0.35">
      <c r="A51" s="807"/>
      <c r="B51" s="809"/>
      <c r="C51" s="139"/>
      <c r="D51" s="804"/>
      <c r="E51" s="648" t="s">
        <v>98</v>
      </c>
      <c r="F51" s="886" t="s">
        <v>212</v>
      </c>
      <c r="G51" s="854">
        <f>989.7-589.7</f>
        <v>400</v>
      </c>
      <c r="H51" s="845">
        <f>-60.1+589.7</f>
        <v>529.6</v>
      </c>
      <c r="I51" s="855">
        <v>60.1</v>
      </c>
      <c r="J51" s="357" t="s">
        <v>128</v>
      </c>
      <c r="K51" s="732">
        <v>1</v>
      </c>
      <c r="L51" s="347">
        <v>1</v>
      </c>
      <c r="M51" s="801">
        <v>1</v>
      </c>
    </row>
    <row r="52" spans="1:18" s="44" customFormat="1" ht="15" customHeight="1" x14ac:dyDescent="0.35">
      <c r="A52" s="807"/>
      <c r="B52" s="809"/>
      <c r="C52" s="139"/>
      <c r="D52" s="804"/>
      <c r="E52" s="265"/>
      <c r="F52" s="853" t="s">
        <v>213</v>
      </c>
      <c r="G52" s="844">
        <v>35.1</v>
      </c>
      <c r="H52" s="845"/>
      <c r="I52" s="855"/>
      <c r="J52" s="291"/>
      <c r="K52" s="303"/>
      <c r="L52" s="196"/>
      <c r="M52" s="226"/>
    </row>
    <row r="53" spans="1:18" s="44" customFormat="1" ht="15" customHeight="1" x14ac:dyDescent="0.35">
      <c r="A53" s="807"/>
      <c r="B53" s="809"/>
      <c r="C53" s="139"/>
      <c r="D53" s="804"/>
      <c r="E53" s="265"/>
      <c r="F53" s="853" t="s">
        <v>211</v>
      </c>
      <c r="G53" s="854">
        <v>52.9</v>
      </c>
      <c r="H53" s="845"/>
      <c r="I53" s="855"/>
      <c r="J53" s="291"/>
      <c r="K53" s="303"/>
      <c r="L53" s="196"/>
      <c r="M53" s="226"/>
    </row>
    <row r="54" spans="1:18" s="44" customFormat="1" ht="21" customHeight="1" x14ac:dyDescent="0.35">
      <c r="A54" s="807"/>
      <c r="B54" s="809"/>
      <c r="C54" s="139"/>
      <c r="D54" s="804"/>
      <c r="E54" s="266"/>
      <c r="F54" s="839" t="s">
        <v>213</v>
      </c>
      <c r="G54" s="840">
        <v>446.9</v>
      </c>
      <c r="H54" s="877"/>
      <c r="I54" s="842"/>
      <c r="J54" s="357" t="s">
        <v>128</v>
      </c>
      <c r="K54" s="338">
        <v>1</v>
      </c>
      <c r="L54" s="534"/>
      <c r="M54" s="749"/>
    </row>
    <row r="55" spans="1:18" s="44" customFormat="1" ht="41.5" customHeight="1" x14ac:dyDescent="0.35">
      <c r="A55" s="807"/>
      <c r="B55" s="809"/>
      <c r="C55" s="139"/>
      <c r="D55" s="141" t="s">
        <v>144</v>
      </c>
      <c r="E55" s="792" t="s">
        <v>154</v>
      </c>
      <c r="F55" s="878" t="s">
        <v>209</v>
      </c>
      <c r="G55" s="879">
        <v>30</v>
      </c>
      <c r="H55" s="880">
        <v>80</v>
      </c>
      <c r="I55" s="881">
        <v>80</v>
      </c>
      <c r="J55" s="294" t="s">
        <v>145</v>
      </c>
      <c r="K55" s="497">
        <v>10</v>
      </c>
      <c r="L55" s="345">
        <v>55</v>
      </c>
      <c r="M55" s="786">
        <v>100</v>
      </c>
    </row>
    <row r="56" spans="1:18" s="44" customFormat="1" ht="17.5" customHeight="1" x14ac:dyDescent="0.35">
      <c r="A56" s="807"/>
      <c r="B56" s="809"/>
      <c r="C56" s="139"/>
      <c r="D56" s="1030" t="s">
        <v>155</v>
      </c>
      <c r="E56" s="687" t="s">
        <v>98</v>
      </c>
      <c r="F56" s="853" t="s">
        <v>212</v>
      </c>
      <c r="G56" s="859"/>
      <c r="H56" s="837">
        <v>20</v>
      </c>
      <c r="I56" s="869"/>
      <c r="J56" s="285" t="s">
        <v>159</v>
      </c>
      <c r="K56" s="444"/>
      <c r="L56" s="196">
        <v>20</v>
      </c>
      <c r="M56" s="783"/>
    </row>
    <row r="57" spans="1:18" s="44" customFormat="1" ht="17.5" customHeight="1" x14ac:dyDescent="0.35">
      <c r="A57" s="807"/>
      <c r="B57" s="809"/>
      <c r="C57" s="139"/>
      <c r="D57" s="1031"/>
      <c r="E57" s="688" t="s">
        <v>156</v>
      </c>
      <c r="F57" s="853"/>
      <c r="G57" s="840"/>
      <c r="H57" s="857"/>
      <c r="I57" s="869"/>
      <c r="J57" s="291"/>
      <c r="K57" s="444"/>
      <c r="L57" s="196"/>
      <c r="M57" s="226"/>
    </row>
    <row r="58" spans="1:18" s="44" customFormat="1" ht="40" customHeight="1" x14ac:dyDescent="0.35">
      <c r="A58" s="807"/>
      <c r="B58" s="809"/>
      <c r="C58" s="139"/>
      <c r="D58" s="774" t="s">
        <v>158</v>
      </c>
      <c r="E58" s="791" t="s">
        <v>156</v>
      </c>
      <c r="F58" s="878" t="s">
        <v>212</v>
      </c>
      <c r="G58" s="859">
        <v>7.4</v>
      </c>
      <c r="H58" s="882">
        <v>8</v>
      </c>
      <c r="I58" s="865">
        <v>9</v>
      </c>
      <c r="J58" s="294" t="s">
        <v>157</v>
      </c>
      <c r="K58" s="333">
        <v>6</v>
      </c>
      <c r="L58" s="341">
        <v>6</v>
      </c>
      <c r="M58" s="637">
        <v>6</v>
      </c>
    </row>
    <row r="59" spans="1:18" s="44" customFormat="1" ht="33" customHeight="1" x14ac:dyDescent="0.35">
      <c r="A59" s="807"/>
      <c r="B59" s="809"/>
      <c r="C59" s="139"/>
      <c r="D59" s="777" t="s">
        <v>190</v>
      </c>
      <c r="E59" s="640" t="s">
        <v>156</v>
      </c>
      <c r="F59" s="875" t="s">
        <v>211</v>
      </c>
      <c r="G59" s="883">
        <v>15</v>
      </c>
      <c r="H59" s="884"/>
      <c r="I59" s="884"/>
      <c r="J59" s="294" t="s">
        <v>191</v>
      </c>
      <c r="K59" s="565">
        <v>1</v>
      </c>
      <c r="L59" s="341"/>
      <c r="M59" s="786"/>
    </row>
    <row r="60" spans="1:18" s="44" customFormat="1" ht="18" customHeight="1" thickBot="1" x14ac:dyDescent="0.35">
      <c r="A60" s="96"/>
      <c r="B60" s="97"/>
      <c r="C60" s="37"/>
      <c r="D60" s="128"/>
      <c r="E60" s="130"/>
      <c r="F60" s="149" t="s">
        <v>19</v>
      </c>
      <c r="G60" s="403">
        <f>+G39+G40+G41+G42</f>
        <v>1188.4000000000001</v>
      </c>
      <c r="H60" s="123">
        <f>+H39+H40+H41+H42</f>
        <v>838.5</v>
      </c>
      <c r="I60" s="351">
        <f>+I39+I40+I41+I42</f>
        <v>368.70000000000005</v>
      </c>
      <c r="J60" s="358"/>
      <c r="K60" s="446"/>
      <c r="L60" s="311"/>
      <c r="M60" s="122"/>
    </row>
    <row r="61" spans="1:18" s="44" customFormat="1" ht="15" customHeight="1" thickBot="1" x14ac:dyDescent="0.4">
      <c r="A61" s="11" t="s">
        <v>10</v>
      </c>
      <c r="B61" s="9" t="s">
        <v>20</v>
      </c>
      <c r="C61" s="1034" t="s">
        <v>32</v>
      </c>
      <c r="D61" s="1034"/>
      <c r="E61" s="1034"/>
      <c r="F61" s="1035"/>
      <c r="G61" s="352">
        <f t="shared" ref="G61:I61" si="13">G60</f>
        <v>1188.4000000000001</v>
      </c>
      <c r="H61" s="121">
        <f t="shared" si="13"/>
        <v>838.5</v>
      </c>
      <c r="I61" s="121">
        <f t="shared" si="13"/>
        <v>368.70000000000005</v>
      </c>
      <c r="J61" s="1036"/>
      <c r="K61" s="1037"/>
      <c r="L61" s="1037"/>
      <c r="M61" s="1038"/>
    </row>
    <row r="62" spans="1:18" s="44" customFormat="1" ht="15" customHeight="1" thickBot="1" x14ac:dyDescent="0.4">
      <c r="A62" s="8" t="s">
        <v>10</v>
      </c>
      <c r="B62" s="9" t="s">
        <v>27</v>
      </c>
      <c r="C62" s="1068" t="s">
        <v>37</v>
      </c>
      <c r="D62" s="1069"/>
      <c r="E62" s="1069"/>
      <c r="F62" s="1069"/>
      <c r="G62" s="1069"/>
      <c r="H62" s="1069"/>
      <c r="I62" s="1069"/>
      <c r="J62" s="1069"/>
      <c r="K62" s="1069"/>
      <c r="L62" s="1069"/>
      <c r="M62" s="1070"/>
    </row>
    <row r="63" spans="1:18" s="44" customFormat="1" ht="17.25" customHeight="1" x14ac:dyDescent="0.35">
      <c r="A63" s="78" t="s">
        <v>10</v>
      </c>
      <c r="B63" s="808" t="s">
        <v>27</v>
      </c>
      <c r="C63" s="211" t="s">
        <v>10</v>
      </c>
      <c r="D63" s="33" t="s">
        <v>58</v>
      </c>
      <c r="E63" s="890"/>
      <c r="F63" s="199" t="s">
        <v>31</v>
      </c>
      <c r="G63" s="892"/>
      <c r="H63" s="833">
        <v>194.8</v>
      </c>
      <c r="I63" s="833"/>
      <c r="J63" s="820"/>
      <c r="K63" s="893"/>
      <c r="L63" s="894"/>
      <c r="M63" s="895"/>
      <c r="O63" s="900" t="s">
        <v>31</v>
      </c>
      <c r="P63" s="965">
        <f>+G70</f>
        <v>0</v>
      </c>
      <c r="Q63" s="965">
        <f t="shared" ref="Q63:R63" si="14">+H70</f>
        <v>194.8</v>
      </c>
      <c r="R63" s="965">
        <f t="shared" si="14"/>
        <v>0</v>
      </c>
    </row>
    <row r="64" spans="1:18" s="44" customFormat="1" ht="17.25" customHeight="1" x14ac:dyDescent="0.35">
      <c r="A64" s="76"/>
      <c r="B64" s="809"/>
      <c r="C64" s="810"/>
      <c r="D64" s="265"/>
      <c r="E64" s="891"/>
      <c r="F64" s="168" t="s">
        <v>22</v>
      </c>
      <c r="G64" s="535">
        <v>35.5</v>
      </c>
      <c r="H64" s="111">
        <v>35.5</v>
      </c>
      <c r="I64" s="450">
        <v>35.5</v>
      </c>
      <c r="J64" s="291"/>
      <c r="K64" s="896"/>
      <c r="L64" s="804"/>
      <c r="M64" s="638"/>
      <c r="O64" s="900" t="s">
        <v>22</v>
      </c>
      <c r="P64" s="965">
        <f>+G66+G68</f>
        <v>35.5</v>
      </c>
      <c r="Q64" s="965">
        <f t="shared" ref="Q64:R64" si="15">+H66+H68</f>
        <v>35.5</v>
      </c>
      <c r="R64" s="965">
        <f t="shared" si="15"/>
        <v>35.5</v>
      </c>
    </row>
    <row r="65" spans="1:18" s="44" customFormat="1" ht="17.25" customHeight="1" x14ac:dyDescent="0.35">
      <c r="A65" s="76"/>
      <c r="B65" s="809"/>
      <c r="C65" s="810"/>
      <c r="D65" s="265"/>
      <c r="E65" s="889"/>
      <c r="F65" s="68" t="s">
        <v>26</v>
      </c>
      <c r="G65" s="114">
        <v>166.7</v>
      </c>
      <c r="H65" s="111">
        <v>69</v>
      </c>
      <c r="I65" s="369"/>
      <c r="J65" s="320"/>
      <c r="K65" s="896"/>
      <c r="L65" s="804"/>
      <c r="M65" s="897"/>
      <c r="O65" s="900" t="s">
        <v>26</v>
      </c>
      <c r="P65" s="965">
        <f>+G71+G73</f>
        <v>166.7</v>
      </c>
      <c r="Q65" s="965">
        <f t="shared" ref="Q65:R65" si="16">+H71+H73</f>
        <v>69</v>
      </c>
      <c r="R65" s="965">
        <f t="shared" si="16"/>
        <v>0</v>
      </c>
    </row>
    <row r="66" spans="1:18" s="44" customFormat="1" ht="16" customHeight="1" x14ac:dyDescent="0.35">
      <c r="A66" s="76"/>
      <c r="B66" s="809"/>
      <c r="C66" s="810"/>
      <c r="D66" s="803" t="s">
        <v>38</v>
      </c>
      <c r="E66" s="888" t="s">
        <v>98</v>
      </c>
      <c r="F66" s="835" t="s">
        <v>209</v>
      </c>
      <c r="G66" s="859">
        <v>11.7</v>
      </c>
      <c r="H66" s="837">
        <v>11.7</v>
      </c>
      <c r="I66" s="845">
        <v>11.7</v>
      </c>
      <c r="J66" s="780" t="s">
        <v>63</v>
      </c>
      <c r="K66" s="333">
        <v>16</v>
      </c>
      <c r="L66" s="341">
        <v>16</v>
      </c>
      <c r="M66" s="783">
        <v>16</v>
      </c>
      <c r="O66" s="900"/>
      <c r="P66" s="965">
        <f>+P63+P64+P65</f>
        <v>202.2</v>
      </c>
      <c r="Q66" s="965">
        <f t="shared" ref="Q66:R66" si="17">+Q63+Q64+Q65</f>
        <v>299.3</v>
      </c>
      <c r="R66" s="965">
        <f t="shared" si="17"/>
        <v>35.5</v>
      </c>
    </row>
    <row r="67" spans="1:18" s="44" customFormat="1" ht="16" customHeight="1" x14ac:dyDescent="0.35">
      <c r="A67" s="76"/>
      <c r="B67" s="809"/>
      <c r="C67" s="810"/>
      <c r="D67" s="813"/>
      <c r="E67" s="87" t="s">
        <v>154</v>
      </c>
      <c r="F67" s="853"/>
      <c r="G67" s="844"/>
      <c r="H67" s="845"/>
      <c r="I67" s="845"/>
      <c r="J67" s="780"/>
      <c r="K67" s="334"/>
      <c r="L67" s="342"/>
      <c r="M67" s="226"/>
      <c r="O67" s="900"/>
      <c r="P67" s="965">
        <f>+P66-G74</f>
        <v>0</v>
      </c>
      <c r="Q67" s="965">
        <f t="shared" ref="Q67:R67" si="18">+Q66-H74</f>
        <v>0</v>
      </c>
      <c r="R67" s="965">
        <f t="shared" si="18"/>
        <v>0</v>
      </c>
    </row>
    <row r="68" spans="1:18" s="44" customFormat="1" ht="15" customHeight="1" x14ac:dyDescent="0.35">
      <c r="A68" s="76"/>
      <c r="B68" s="809"/>
      <c r="C68" s="810"/>
      <c r="D68" s="1030" t="s">
        <v>39</v>
      </c>
      <c r="E68" s="152" t="s">
        <v>91</v>
      </c>
      <c r="F68" s="858" t="s">
        <v>209</v>
      </c>
      <c r="G68" s="836">
        <v>23.8</v>
      </c>
      <c r="H68" s="837">
        <v>23.8</v>
      </c>
      <c r="I68" s="837">
        <v>23.8</v>
      </c>
      <c r="J68" s="1023" t="s">
        <v>175</v>
      </c>
      <c r="K68" s="629">
        <v>5.5</v>
      </c>
      <c r="L68" s="630">
        <v>5.5</v>
      </c>
      <c r="M68" s="628">
        <v>5.5</v>
      </c>
    </row>
    <row r="69" spans="1:18" s="44" customFormat="1" ht="15" customHeight="1" x14ac:dyDescent="0.35">
      <c r="A69" s="76"/>
      <c r="B69" s="809"/>
      <c r="C69" s="810"/>
      <c r="D69" s="1071"/>
      <c r="E69" s="153" t="s">
        <v>154</v>
      </c>
      <c r="F69" s="898"/>
      <c r="G69" s="856"/>
      <c r="H69" s="857"/>
      <c r="I69" s="857"/>
      <c r="J69" s="1072"/>
      <c r="K69" s="359"/>
      <c r="L69" s="363"/>
      <c r="M69" s="238"/>
    </row>
    <row r="70" spans="1:18" s="44" customFormat="1" ht="16" customHeight="1" x14ac:dyDescent="0.35">
      <c r="A70" s="76"/>
      <c r="B70" s="809"/>
      <c r="C70" s="810"/>
      <c r="D70" s="1073" t="s">
        <v>106</v>
      </c>
      <c r="E70" s="792" t="s">
        <v>98</v>
      </c>
      <c r="F70" s="899" t="s">
        <v>212</v>
      </c>
      <c r="G70" s="864"/>
      <c r="H70" s="852">
        <v>194.8</v>
      </c>
      <c r="I70" s="865"/>
      <c r="J70" s="797" t="s">
        <v>109</v>
      </c>
      <c r="K70" s="668">
        <v>1</v>
      </c>
      <c r="L70" s="544"/>
      <c r="M70" s="542"/>
    </row>
    <row r="71" spans="1:18" s="44" customFormat="1" ht="16" customHeight="1" x14ac:dyDescent="0.35">
      <c r="A71" s="76"/>
      <c r="B71" s="809"/>
      <c r="C71" s="139"/>
      <c r="D71" s="1074"/>
      <c r="E71" s="572"/>
      <c r="F71" s="860" t="s">
        <v>211</v>
      </c>
      <c r="G71" s="854">
        <f>90.8+11.4</f>
        <v>102.2</v>
      </c>
      <c r="H71" s="845">
        <v>69</v>
      </c>
      <c r="I71" s="855"/>
      <c r="J71" s="573" t="s">
        <v>150</v>
      </c>
      <c r="K71" s="668">
        <v>1</v>
      </c>
      <c r="L71" s="544"/>
      <c r="M71" s="451"/>
    </row>
    <row r="72" spans="1:18" s="44" customFormat="1" ht="16" customHeight="1" x14ac:dyDescent="0.35">
      <c r="A72" s="76"/>
      <c r="B72" s="809"/>
      <c r="C72" s="139"/>
      <c r="D72" s="1075"/>
      <c r="E72" s="887"/>
      <c r="F72" s="900"/>
      <c r="G72" s="901"/>
      <c r="H72" s="902"/>
      <c r="I72" s="842"/>
      <c r="J72" s="797" t="s">
        <v>164</v>
      </c>
      <c r="K72" s="577"/>
      <c r="L72" s="632">
        <v>100</v>
      </c>
      <c r="M72" s="578"/>
    </row>
    <row r="73" spans="1:18" s="44" customFormat="1" ht="28.5" customHeight="1" x14ac:dyDescent="0.35">
      <c r="A73" s="76"/>
      <c r="B73" s="809"/>
      <c r="C73" s="139"/>
      <c r="D73" s="449" t="s">
        <v>111</v>
      </c>
      <c r="E73" s="652" t="s">
        <v>98</v>
      </c>
      <c r="F73" s="903" t="s">
        <v>211</v>
      </c>
      <c r="G73" s="904">
        <v>64.5</v>
      </c>
      <c r="H73" s="905"/>
      <c r="I73" s="905"/>
      <c r="J73" s="355" t="s">
        <v>109</v>
      </c>
      <c r="K73" s="764">
        <v>1</v>
      </c>
      <c r="L73" s="364"/>
      <c r="M73" s="239"/>
    </row>
    <row r="74" spans="1:18" s="44" customFormat="1" ht="18" customHeight="1" thickBot="1" x14ac:dyDescent="0.35">
      <c r="A74" s="96"/>
      <c r="B74" s="97"/>
      <c r="C74" s="38"/>
      <c r="D74" s="125"/>
      <c r="E74" s="154"/>
      <c r="F74" s="149" t="s">
        <v>19</v>
      </c>
      <c r="G74" s="351">
        <f>+G63+G64+G65</f>
        <v>202.2</v>
      </c>
      <c r="H74" s="120">
        <f>+H63+H64+H65</f>
        <v>299.3</v>
      </c>
      <c r="I74" s="120">
        <f>+I63+I64+I65</f>
        <v>35.5</v>
      </c>
      <c r="J74" s="293"/>
      <c r="K74" s="305"/>
      <c r="L74" s="311"/>
      <c r="M74" s="122"/>
    </row>
    <row r="75" spans="1:18" s="44" customFormat="1" ht="15.5" customHeight="1" x14ac:dyDescent="0.3">
      <c r="A75" s="78" t="s">
        <v>10</v>
      </c>
      <c r="B75" s="808" t="s">
        <v>27</v>
      </c>
      <c r="C75" s="211" t="s">
        <v>20</v>
      </c>
      <c r="D75" s="1078" t="s">
        <v>40</v>
      </c>
      <c r="E75" s="910"/>
      <c r="F75" s="912" t="s">
        <v>31</v>
      </c>
      <c r="G75" s="913">
        <v>1002.3</v>
      </c>
      <c r="H75" s="833">
        <v>1233</v>
      </c>
      <c r="I75" s="834">
        <v>202</v>
      </c>
      <c r="J75" s="914"/>
      <c r="K75" s="915"/>
      <c r="L75" s="819"/>
      <c r="M75" s="916"/>
      <c r="O75" s="900" t="s">
        <v>31</v>
      </c>
      <c r="P75" s="965">
        <f>+G84+G93+G94+G99+G104+G110</f>
        <v>1002.3</v>
      </c>
      <c r="Q75" s="965">
        <f t="shared" ref="Q75:R75" si="19">+H84+H93+H94+H99+H104+H110</f>
        <v>1233</v>
      </c>
      <c r="R75" s="965">
        <f t="shared" si="19"/>
        <v>202</v>
      </c>
    </row>
    <row r="76" spans="1:18" s="44" customFormat="1" ht="15.5" customHeight="1" x14ac:dyDescent="0.3">
      <c r="A76" s="76"/>
      <c r="B76" s="809"/>
      <c r="C76" s="810"/>
      <c r="D76" s="1079"/>
      <c r="E76" s="911"/>
      <c r="F76" s="168" t="s">
        <v>22</v>
      </c>
      <c r="G76" s="114">
        <v>104.7</v>
      </c>
      <c r="H76" s="111">
        <v>127.1</v>
      </c>
      <c r="I76" s="140">
        <v>78.8</v>
      </c>
      <c r="J76" s="917"/>
      <c r="K76" s="300"/>
      <c r="L76" s="307"/>
      <c r="M76" s="918"/>
      <c r="O76" s="900" t="s">
        <v>22</v>
      </c>
      <c r="P76" s="965">
        <f>+G89+G95</f>
        <v>104.69999999999999</v>
      </c>
      <c r="Q76" s="965">
        <f t="shared" ref="Q76:R76" si="20">+H89+H95</f>
        <v>127.1</v>
      </c>
      <c r="R76" s="965">
        <f t="shared" si="20"/>
        <v>78.8</v>
      </c>
    </row>
    <row r="77" spans="1:18" s="44" customFormat="1" ht="15.5" customHeight="1" x14ac:dyDescent="0.3">
      <c r="A77" s="76"/>
      <c r="B77" s="809"/>
      <c r="C77" s="810"/>
      <c r="D77" s="1079"/>
      <c r="E77" s="43"/>
      <c r="F77" s="906" t="s">
        <v>68</v>
      </c>
      <c r="G77" s="114">
        <v>68.3</v>
      </c>
      <c r="H77" s="111"/>
      <c r="I77" s="140"/>
      <c r="J77" s="917"/>
      <c r="K77" s="300"/>
      <c r="L77" s="307"/>
      <c r="M77" s="222"/>
      <c r="O77" s="900" t="s">
        <v>68</v>
      </c>
      <c r="P77" s="965">
        <f>+G105</f>
        <v>68.3</v>
      </c>
      <c r="Q77" s="965">
        <f t="shared" ref="Q77:R77" si="21">+H105</f>
        <v>0</v>
      </c>
      <c r="R77" s="965">
        <f t="shared" si="21"/>
        <v>0</v>
      </c>
    </row>
    <row r="78" spans="1:18" s="44" customFormat="1" ht="15.5" customHeight="1" x14ac:dyDescent="0.3">
      <c r="A78" s="76"/>
      <c r="B78" s="809"/>
      <c r="C78" s="810"/>
      <c r="D78" s="1079"/>
      <c r="E78" s="43"/>
      <c r="F78" s="95" t="s">
        <v>43</v>
      </c>
      <c r="G78" s="114">
        <v>6.2</v>
      </c>
      <c r="H78" s="111"/>
      <c r="I78" s="140"/>
      <c r="J78" s="917"/>
      <c r="K78" s="300"/>
      <c r="L78" s="307"/>
      <c r="M78" s="222"/>
      <c r="O78" s="900" t="s">
        <v>43</v>
      </c>
      <c r="P78" s="965">
        <f>+G106</f>
        <v>6.2</v>
      </c>
      <c r="Q78" s="965">
        <f t="shared" ref="Q78:R78" si="22">+H106</f>
        <v>0</v>
      </c>
      <c r="R78" s="965">
        <f t="shared" si="22"/>
        <v>0</v>
      </c>
    </row>
    <row r="79" spans="1:18" s="44" customFormat="1" ht="15.5" customHeight="1" x14ac:dyDescent="0.3">
      <c r="A79" s="76"/>
      <c r="B79" s="809"/>
      <c r="C79" s="810"/>
      <c r="D79" s="1079"/>
      <c r="E79" s="43"/>
      <c r="F79" s="206" t="s">
        <v>67</v>
      </c>
      <c r="G79" s="114">
        <v>429.3</v>
      </c>
      <c r="H79" s="111"/>
      <c r="I79" s="140"/>
      <c r="J79" s="917"/>
      <c r="K79" s="300"/>
      <c r="L79" s="307"/>
      <c r="M79" s="222"/>
      <c r="O79" s="900" t="s">
        <v>67</v>
      </c>
      <c r="P79" s="965">
        <f>+G86+G98+G103+G109</f>
        <v>429.3</v>
      </c>
      <c r="Q79" s="965">
        <f t="shared" ref="Q79:R79" si="23">+H86+H98+H103+H109</f>
        <v>0</v>
      </c>
      <c r="R79" s="965">
        <f t="shared" si="23"/>
        <v>0</v>
      </c>
    </row>
    <row r="80" spans="1:18" s="44" customFormat="1" ht="15.5" customHeight="1" x14ac:dyDescent="0.3">
      <c r="A80" s="76"/>
      <c r="B80" s="809"/>
      <c r="C80" s="810"/>
      <c r="D80" s="1079"/>
      <c r="E80" s="43"/>
      <c r="F80" s="168" t="s">
        <v>26</v>
      </c>
      <c r="G80" s="114">
        <v>17.399999999999999</v>
      </c>
      <c r="H80" s="111"/>
      <c r="I80" s="140"/>
      <c r="J80" s="917"/>
      <c r="K80" s="300"/>
      <c r="L80" s="307"/>
      <c r="M80" s="222"/>
      <c r="O80" s="900" t="s">
        <v>26</v>
      </c>
      <c r="P80" s="965">
        <f>+G92</f>
        <v>17.399999999999999</v>
      </c>
      <c r="Q80" s="965">
        <f t="shared" ref="Q80:R80" si="24">+H92</f>
        <v>0</v>
      </c>
      <c r="R80" s="965">
        <f t="shared" si="24"/>
        <v>0</v>
      </c>
    </row>
    <row r="81" spans="1:18" s="44" customFormat="1" ht="15.5" customHeight="1" x14ac:dyDescent="0.3">
      <c r="A81" s="76"/>
      <c r="B81" s="809"/>
      <c r="C81" s="810"/>
      <c r="D81" s="1079"/>
      <c r="E81" s="43"/>
      <c r="F81" s="523" t="s">
        <v>79</v>
      </c>
      <c r="G81" s="114">
        <v>45.9</v>
      </c>
      <c r="H81" s="111"/>
      <c r="I81" s="140"/>
      <c r="J81" s="917"/>
      <c r="K81" s="300"/>
      <c r="L81" s="307"/>
      <c r="M81" s="222"/>
      <c r="O81" s="900" t="s">
        <v>79</v>
      </c>
      <c r="P81" s="965">
        <f>+G107</f>
        <v>45.9</v>
      </c>
      <c r="Q81" s="965">
        <f t="shared" ref="Q81:R81" si="25">+H107</f>
        <v>0</v>
      </c>
      <c r="R81" s="965">
        <f t="shared" si="25"/>
        <v>0</v>
      </c>
    </row>
    <row r="82" spans="1:18" s="44" customFormat="1" ht="15.5" customHeight="1" x14ac:dyDescent="0.3">
      <c r="A82" s="76"/>
      <c r="B82" s="809"/>
      <c r="C82" s="810"/>
      <c r="D82" s="1079"/>
      <c r="E82" s="43"/>
      <c r="F82" s="523" t="s">
        <v>96</v>
      </c>
      <c r="G82" s="114">
        <v>4.0999999999999996</v>
      </c>
      <c r="H82" s="111"/>
      <c r="I82" s="140"/>
      <c r="J82" s="917"/>
      <c r="K82" s="300"/>
      <c r="L82" s="307"/>
      <c r="M82" s="222"/>
      <c r="O82" s="900" t="s">
        <v>96</v>
      </c>
      <c r="P82" s="965">
        <f>+G108</f>
        <v>4.0999999999999996</v>
      </c>
      <c r="Q82" s="965">
        <f t="shared" ref="Q82:R82" si="26">+H108</f>
        <v>0</v>
      </c>
      <c r="R82" s="965">
        <f t="shared" si="26"/>
        <v>0</v>
      </c>
    </row>
    <row r="83" spans="1:18" s="44" customFormat="1" ht="15.5" customHeight="1" x14ac:dyDescent="0.3">
      <c r="A83" s="76"/>
      <c r="B83" s="809"/>
      <c r="C83" s="810"/>
      <c r="D83" s="1080"/>
      <c r="E83" s="919"/>
      <c r="F83" s="272" t="s">
        <v>64</v>
      </c>
      <c r="G83" s="370">
        <v>44</v>
      </c>
      <c r="H83" s="111">
        <v>22</v>
      </c>
      <c r="I83" s="140"/>
      <c r="J83" s="917"/>
      <c r="K83" s="300"/>
      <c r="L83" s="307"/>
      <c r="M83" s="222"/>
      <c r="O83" s="900" t="s">
        <v>64</v>
      </c>
      <c r="P83" s="965">
        <f>+G85</f>
        <v>44</v>
      </c>
      <c r="Q83" s="965">
        <f t="shared" ref="Q83:R83" si="27">+H85</f>
        <v>22</v>
      </c>
      <c r="R83" s="965">
        <f t="shared" si="27"/>
        <v>0</v>
      </c>
    </row>
    <row r="84" spans="1:18" s="44" customFormat="1" ht="15" customHeight="1" x14ac:dyDescent="0.35">
      <c r="A84" s="4"/>
      <c r="B84" s="5"/>
      <c r="C84" s="39"/>
      <c r="D84" s="1021" t="s">
        <v>66</v>
      </c>
      <c r="E84" s="72" t="s">
        <v>90</v>
      </c>
      <c r="F84" s="920" t="s">
        <v>212</v>
      </c>
      <c r="G84" s="921">
        <f>451.3-100</f>
        <v>351.3</v>
      </c>
      <c r="H84" s="922">
        <v>78</v>
      </c>
      <c r="I84" s="923"/>
      <c r="J84" s="1063" t="s">
        <v>173</v>
      </c>
      <c r="K84" s="361">
        <v>90</v>
      </c>
      <c r="L84" s="366">
        <v>100</v>
      </c>
      <c r="M84" s="236"/>
      <c r="O84" s="900"/>
      <c r="P84" s="965">
        <f>+P75+P76+P77+P79+P80+P78+P81+P82+P83</f>
        <v>1722.2</v>
      </c>
      <c r="Q84" s="965">
        <f t="shared" ref="Q84:R84" si="28">+Q75+Q76+Q77+Q79+Q80+Q78+Q81+Q82+Q83</f>
        <v>1382.1</v>
      </c>
      <c r="R84" s="965">
        <f t="shared" si="28"/>
        <v>280.8</v>
      </c>
    </row>
    <row r="85" spans="1:18" s="44" customFormat="1" ht="15" customHeight="1" x14ac:dyDescent="0.35">
      <c r="A85" s="4"/>
      <c r="B85" s="5"/>
      <c r="C85" s="39"/>
      <c r="D85" s="1058"/>
      <c r="E85" s="572" t="s">
        <v>30</v>
      </c>
      <c r="F85" s="924" t="s">
        <v>214</v>
      </c>
      <c r="G85" s="854">
        <v>44</v>
      </c>
      <c r="H85" s="925">
        <v>22</v>
      </c>
      <c r="I85" s="926"/>
      <c r="J85" s="1064"/>
      <c r="K85" s="684"/>
      <c r="L85" s="307"/>
      <c r="M85" s="222"/>
      <c r="O85" s="900"/>
      <c r="P85" s="965">
        <f>+P84-G114</f>
        <v>0</v>
      </c>
      <c r="Q85" s="965">
        <f t="shared" ref="Q85:R85" si="29">+Q84-H114</f>
        <v>0</v>
      </c>
      <c r="R85" s="965">
        <f t="shared" si="29"/>
        <v>0</v>
      </c>
    </row>
    <row r="86" spans="1:18" s="44" customFormat="1" ht="15" customHeight="1" x14ac:dyDescent="0.35">
      <c r="A86" s="4"/>
      <c r="B86" s="5"/>
      <c r="C86" s="39"/>
      <c r="D86" s="1058"/>
      <c r="E86" s="649" t="s">
        <v>154</v>
      </c>
      <c r="F86" s="924" t="s">
        <v>213</v>
      </c>
      <c r="G86" s="854">
        <v>240.8</v>
      </c>
      <c r="H86" s="925"/>
      <c r="I86" s="926"/>
      <c r="J86" s="1064"/>
      <c r="K86" s="300"/>
      <c r="L86" s="307"/>
      <c r="M86" s="222"/>
    </row>
    <row r="87" spans="1:18" s="44" customFormat="1" ht="15" customHeight="1" x14ac:dyDescent="0.35">
      <c r="A87" s="4"/>
      <c r="B87" s="5"/>
      <c r="C87" s="39"/>
      <c r="D87" s="1058"/>
      <c r="E87" s="43" t="s">
        <v>91</v>
      </c>
      <c r="F87" s="927"/>
      <c r="G87" s="928"/>
      <c r="H87" s="844"/>
      <c r="I87" s="844"/>
      <c r="J87" s="1064"/>
      <c r="K87" s="300"/>
      <c r="L87" s="307"/>
      <c r="M87" s="237"/>
    </row>
    <row r="88" spans="1:18" s="44" customFormat="1" ht="15" customHeight="1" x14ac:dyDescent="0.35">
      <c r="A88" s="4"/>
      <c r="B88" s="5"/>
      <c r="C88" s="39"/>
      <c r="D88" s="1059"/>
      <c r="E88" s="649" t="s">
        <v>98</v>
      </c>
      <c r="F88" s="924"/>
      <c r="G88" s="844"/>
      <c r="H88" s="844"/>
      <c r="I88" s="844"/>
      <c r="J88" s="1065"/>
      <c r="K88" s="300"/>
      <c r="L88" s="307"/>
      <c r="M88" s="222"/>
    </row>
    <row r="89" spans="1:18" s="44" customFormat="1" ht="18" customHeight="1" x14ac:dyDescent="0.35">
      <c r="A89" s="76"/>
      <c r="B89" s="809"/>
      <c r="C89" s="810"/>
      <c r="D89" s="1030" t="s">
        <v>41</v>
      </c>
      <c r="E89" s="72" t="s">
        <v>90</v>
      </c>
      <c r="F89" s="835" t="s">
        <v>209</v>
      </c>
      <c r="G89" s="859">
        <v>78.8</v>
      </c>
      <c r="H89" s="836">
        <v>78.8</v>
      </c>
      <c r="I89" s="836">
        <v>78.8</v>
      </c>
      <c r="J89" s="390" t="s">
        <v>123</v>
      </c>
      <c r="K89" s="724">
        <v>130</v>
      </c>
      <c r="L89" s="367">
        <v>130</v>
      </c>
      <c r="M89" s="233">
        <v>130</v>
      </c>
    </row>
    <row r="90" spans="1:18" s="44" customFormat="1" ht="18.75" customHeight="1" x14ac:dyDescent="0.35">
      <c r="A90" s="4"/>
      <c r="B90" s="5"/>
      <c r="C90" s="39"/>
      <c r="D90" s="1032"/>
      <c r="E90" s="650" t="s">
        <v>117</v>
      </c>
      <c r="F90" s="853"/>
      <c r="G90" s="854"/>
      <c r="H90" s="845"/>
      <c r="I90" s="855"/>
      <c r="J90" s="391" t="s">
        <v>124</v>
      </c>
      <c r="K90" s="725">
        <v>1490</v>
      </c>
      <c r="L90" s="368">
        <v>1490</v>
      </c>
      <c r="M90" s="234">
        <v>1490</v>
      </c>
    </row>
    <row r="91" spans="1:18" s="44" customFormat="1" ht="45" customHeight="1" x14ac:dyDescent="0.35">
      <c r="A91" s="73"/>
      <c r="B91" s="5"/>
      <c r="C91" s="74"/>
      <c r="D91" s="1032"/>
      <c r="E91" s="650" t="s">
        <v>154</v>
      </c>
      <c r="F91" s="929"/>
      <c r="G91" s="854"/>
      <c r="H91" s="845"/>
      <c r="I91" s="855"/>
      <c r="J91" s="573" t="s">
        <v>174</v>
      </c>
      <c r="K91" s="634">
        <v>100</v>
      </c>
      <c r="L91" s="368">
        <v>100</v>
      </c>
      <c r="M91" s="235">
        <v>100</v>
      </c>
    </row>
    <row r="92" spans="1:18" s="44" customFormat="1" ht="28" customHeight="1" x14ac:dyDescent="0.35">
      <c r="A92" s="73"/>
      <c r="B92" s="5"/>
      <c r="C92" s="74"/>
      <c r="D92" s="1032"/>
      <c r="E92" s="648" t="s">
        <v>98</v>
      </c>
      <c r="F92" s="853" t="s">
        <v>211</v>
      </c>
      <c r="G92" s="854">
        <v>17.399999999999999</v>
      </c>
      <c r="H92" s="845"/>
      <c r="I92" s="855"/>
      <c r="J92" s="1066" t="s">
        <v>176</v>
      </c>
      <c r="K92" s="757">
        <v>100</v>
      </c>
      <c r="L92" s="592"/>
      <c r="M92" s="759"/>
    </row>
    <row r="93" spans="1:18" s="44" customFormat="1" ht="28" customHeight="1" x14ac:dyDescent="0.35">
      <c r="A93" s="73"/>
      <c r="B93" s="5"/>
      <c r="C93" s="74"/>
      <c r="D93" s="1031"/>
      <c r="E93" s="831"/>
      <c r="F93" s="839" t="s">
        <v>212</v>
      </c>
      <c r="G93" s="840">
        <v>16.5</v>
      </c>
      <c r="H93" s="857"/>
      <c r="I93" s="842"/>
      <c r="J93" s="1067"/>
      <c r="L93" s="758"/>
      <c r="M93" s="760"/>
    </row>
    <row r="94" spans="1:18" s="44" customFormat="1" ht="16" customHeight="1" x14ac:dyDescent="0.35">
      <c r="A94" s="73"/>
      <c r="B94" s="5"/>
      <c r="C94" s="74"/>
      <c r="D94" s="804" t="s">
        <v>116</v>
      </c>
      <c r="E94" s="651" t="s">
        <v>90</v>
      </c>
      <c r="F94" s="930" t="s">
        <v>212</v>
      </c>
      <c r="G94" s="836">
        <v>30.6</v>
      </c>
      <c r="H94" s="837"/>
      <c r="I94" s="865"/>
      <c r="J94" s="521" t="s">
        <v>160</v>
      </c>
      <c r="K94" s="372">
        <v>1</v>
      </c>
      <c r="L94" s="374"/>
      <c r="M94" s="522"/>
    </row>
    <row r="95" spans="1:18" s="44" customFormat="1" ht="14.5" customHeight="1" x14ac:dyDescent="0.35">
      <c r="A95" s="73"/>
      <c r="B95" s="5"/>
      <c r="C95" s="74"/>
      <c r="D95" s="804"/>
      <c r="E95" s="572" t="s">
        <v>98</v>
      </c>
      <c r="F95" s="929" t="s">
        <v>209</v>
      </c>
      <c r="G95" s="854">
        <v>25.9</v>
      </c>
      <c r="H95" s="845">
        <v>48.3</v>
      </c>
      <c r="I95" s="931"/>
      <c r="J95" s="524" t="s">
        <v>161</v>
      </c>
      <c r="K95" s="338">
        <v>1</v>
      </c>
      <c r="L95" s="347"/>
      <c r="M95" s="226"/>
    </row>
    <row r="96" spans="1:18" s="44" customFormat="1" ht="15" customHeight="1" x14ac:dyDescent="0.35">
      <c r="A96" s="73"/>
      <c r="B96" s="5"/>
      <c r="C96" s="74"/>
      <c r="D96" s="804"/>
      <c r="E96" s="655" t="s">
        <v>117</v>
      </c>
      <c r="F96" s="932"/>
      <c r="G96" s="933"/>
      <c r="H96" s="934"/>
      <c r="I96" s="935"/>
      <c r="J96" s="795" t="s">
        <v>162</v>
      </c>
      <c r="K96" s="338"/>
      <c r="L96" s="347">
        <v>1</v>
      </c>
      <c r="M96" s="244"/>
    </row>
    <row r="97" spans="1:14" s="44" customFormat="1" ht="15" customHeight="1" x14ac:dyDescent="0.35">
      <c r="A97" s="73"/>
      <c r="B97" s="5"/>
      <c r="C97" s="74"/>
      <c r="D97" s="813"/>
      <c r="E97" s="649" t="s">
        <v>154</v>
      </c>
      <c r="F97" s="936"/>
      <c r="G97" s="937"/>
      <c r="H97" s="857"/>
      <c r="I97" s="842"/>
      <c r="J97" s="531" t="s">
        <v>163</v>
      </c>
      <c r="K97" s="533">
        <v>2</v>
      </c>
      <c r="L97" s="534">
        <v>2</v>
      </c>
      <c r="M97" s="532"/>
    </row>
    <row r="98" spans="1:14" s="10" customFormat="1" ht="13.5" customHeight="1" x14ac:dyDescent="0.35">
      <c r="A98" s="1049"/>
      <c r="B98" s="1052"/>
      <c r="C98" s="1055"/>
      <c r="D98" s="1073" t="s">
        <v>73</v>
      </c>
      <c r="E98" s="72" t="s">
        <v>90</v>
      </c>
      <c r="F98" s="929" t="s">
        <v>213</v>
      </c>
      <c r="G98" s="859">
        <v>20</v>
      </c>
      <c r="H98" s="837"/>
      <c r="I98" s="865"/>
      <c r="J98" s="1088" t="s">
        <v>74</v>
      </c>
      <c r="K98" s="333"/>
      <c r="L98" s="341"/>
      <c r="M98" s="786"/>
    </row>
    <row r="99" spans="1:14" s="10" customFormat="1" ht="13.5" customHeight="1" x14ac:dyDescent="0.35">
      <c r="A99" s="1050"/>
      <c r="B99" s="1053"/>
      <c r="C99" s="1056"/>
      <c r="D99" s="1074"/>
      <c r="E99" s="43" t="s">
        <v>154</v>
      </c>
      <c r="F99" s="929" t="s">
        <v>212</v>
      </c>
      <c r="G99" s="844">
        <v>50</v>
      </c>
      <c r="H99" s="845"/>
      <c r="I99" s="855"/>
      <c r="J99" s="1089"/>
      <c r="K99" s="303"/>
      <c r="L99" s="196"/>
      <c r="M99" s="802"/>
    </row>
    <row r="100" spans="1:14" s="10" customFormat="1" ht="13.5" customHeight="1" x14ac:dyDescent="0.35">
      <c r="A100" s="1050"/>
      <c r="B100" s="1053"/>
      <c r="C100" s="1056"/>
      <c r="D100" s="1074"/>
      <c r="E100" s="43" t="s">
        <v>91</v>
      </c>
      <c r="F100" s="929"/>
      <c r="G100" s="854"/>
      <c r="H100" s="845"/>
      <c r="I100" s="855"/>
      <c r="J100" s="793" t="s">
        <v>186</v>
      </c>
      <c r="K100" s="338">
        <v>1</v>
      </c>
      <c r="L100" s="347"/>
      <c r="M100" s="226"/>
    </row>
    <row r="101" spans="1:14" s="10" customFormat="1" ht="13.5" customHeight="1" x14ac:dyDescent="0.35">
      <c r="A101" s="1050"/>
      <c r="B101" s="1053"/>
      <c r="C101" s="1056"/>
      <c r="D101" s="1074"/>
      <c r="E101" s="640" t="s">
        <v>98</v>
      </c>
      <c r="F101" s="929"/>
      <c r="G101" s="854"/>
      <c r="H101" s="845"/>
      <c r="I101" s="855"/>
      <c r="J101" s="558"/>
      <c r="K101" s="303"/>
      <c r="L101" s="196"/>
      <c r="M101" s="226"/>
    </row>
    <row r="102" spans="1:14" s="10" customFormat="1" ht="14.5" customHeight="1" x14ac:dyDescent="0.35">
      <c r="A102" s="1050"/>
      <c r="B102" s="1053"/>
      <c r="C102" s="1056"/>
      <c r="D102" s="1074"/>
      <c r="E102" s="572" t="s">
        <v>30</v>
      </c>
      <c r="F102" s="929"/>
      <c r="G102" s="854"/>
      <c r="H102" s="845"/>
      <c r="I102" s="855"/>
      <c r="J102" s="558"/>
      <c r="K102" s="303"/>
      <c r="L102" s="196"/>
      <c r="M102" s="226"/>
    </row>
    <row r="103" spans="1:14" s="10" customFormat="1" ht="15" customHeight="1" x14ac:dyDescent="0.35">
      <c r="A103" s="1050"/>
      <c r="B103" s="1053"/>
      <c r="C103" s="1056"/>
      <c r="D103" s="1030" t="s">
        <v>171</v>
      </c>
      <c r="E103" s="72" t="s">
        <v>91</v>
      </c>
      <c r="F103" s="938" t="s">
        <v>213</v>
      </c>
      <c r="G103" s="836">
        <v>162.5</v>
      </c>
      <c r="H103" s="837"/>
      <c r="I103" s="865"/>
      <c r="J103" s="1094" t="s">
        <v>187</v>
      </c>
      <c r="K103" s="565">
        <v>100</v>
      </c>
      <c r="L103" s="341"/>
      <c r="M103" s="783"/>
    </row>
    <row r="104" spans="1:14" s="10" customFormat="1" ht="15" customHeight="1" x14ac:dyDescent="0.35">
      <c r="A104" s="1050"/>
      <c r="B104" s="1053"/>
      <c r="C104" s="1056"/>
      <c r="D104" s="1032"/>
      <c r="E104" s="572" t="s">
        <v>30</v>
      </c>
      <c r="F104" s="939" t="s">
        <v>212</v>
      </c>
      <c r="G104" s="854">
        <v>553.9</v>
      </c>
      <c r="H104" s="845">
        <v>1055</v>
      </c>
      <c r="I104" s="855"/>
      <c r="J104" s="1095"/>
      <c r="L104" s="908"/>
      <c r="M104" s="969"/>
      <c r="N104" s="559"/>
    </row>
    <row r="105" spans="1:14" s="10" customFormat="1" ht="15" customHeight="1" x14ac:dyDescent="0.35">
      <c r="A105" s="1050"/>
      <c r="B105" s="1053"/>
      <c r="C105" s="1056"/>
      <c r="D105" s="1032"/>
      <c r="E105" s="43" t="s">
        <v>154</v>
      </c>
      <c r="F105" s="940" t="s">
        <v>215</v>
      </c>
      <c r="G105" s="854">
        <v>68.3</v>
      </c>
      <c r="H105" s="845"/>
      <c r="I105" s="855"/>
      <c r="J105" s="1066" t="s">
        <v>188</v>
      </c>
      <c r="K105" s="338">
        <v>40</v>
      </c>
      <c r="L105" s="347">
        <v>100</v>
      </c>
      <c r="M105" s="801"/>
    </row>
    <row r="106" spans="1:14" s="10" customFormat="1" ht="15" customHeight="1" x14ac:dyDescent="0.35">
      <c r="A106" s="1050"/>
      <c r="B106" s="1053"/>
      <c r="C106" s="1056"/>
      <c r="D106" s="1032"/>
      <c r="E106" s="640" t="s">
        <v>98</v>
      </c>
      <c r="F106" s="939" t="s">
        <v>216</v>
      </c>
      <c r="G106" s="854">
        <v>6.2</v>
      </c>
      <c r="H106" s="845"/>
      <c r="I106" s="855"/>
      <c r="J106" s="1096"/>
      <c r="K106" s="590"/>
      <c r="L106" s="588"/>
      <c r="M106" s="589"/>
      <c r="N106" s="559"/>
    </row>
    <row r="107" spans="1:14" s="10" customFormat="1" ht="15" customHeight="1" x14ac:dyDescent="0.35">
      <c r="A107" s="1050"/>
      <c r="B107" s="1053"/>
      <c r="C107" s="1056"/>
      <c r="D107" s="1032"/>
      <c r="E107" s="640"/>
      <c r="F107" s="929" t="s">
        <v>217</v>
      </c>
      <c r="G107" s="854">
        <v>45.9</v>
      </c>
      <c r="H107" s="845"/>
      <c r="I107" s="855"/>
      <c r="J107" s="583"/>
      <c r="K107" s="590"/>
      <c r="L107" s="606"/>
      <c r="M107" s="589"/>
    </row>
    <row r="108" spans="1:14" s="10" customFormat="1" ht="15" customHeight="1" x14ac:dyDescent="0.35">
      <c r="A108" s="1050"/>
      <c r="B108" s="1053"/>
      <c r="C108" s="1056"/>
      <c r="D108" s="1032"/>
      <c r="E108" s="640"/>
      <c r="F108" s="929" t="s">
        <v>218</v>
      </c>
      <c r="G108" s="854">
        <v>4.0999999999999996</v>
      </c>
      <c r="H108" s="845"/>
      <c r="I108" s="855"/>
      <c r="J108" s="907"/>
      <c r="K108" s="909"/>
      <c r="L108" s="588"/>
      <c r="M108" s="710"/>
    </row>
    <row r="109" spans="1:14" s="10" customFormat="1" ht="15" customHeight="1" x14ac:dyDescent="0.35">
      <c r="A109" s="1050"/>
      <c r="B109" s="1053"/>
      <c r="C109" s="1056"/>
      <c r="D109" s="1081" t="s">
        <v>130</v>
      </c>
      <c r="E109" s="72" t="s">
        <v>90</v>
      </c>
      <c r="F109" s="835" t="s">
        <v>213</v>
      </c>
      <c r="G109" s="941">
        <v>6</v>
      </c>
      <c r="H109" s="942"/>
      <c r="I109" s="943"/>
      <c r="J109" s="798" t="s">
        <v>153</v>
      </c>
      <c r="K109" s="303">
        <v>1</v>
      </c>
      <c r="L109" s="374"/>
      <c r="M109" s="445"/>
    </row>
    <row r="110" spans="1:14" s="10" customFormat="1" ht="15" customHeight="1" x14ac:dyDescent="0.35">
      <c r="A110" s="1050"/>
      <c r="B110" s="1053"/>
      <c r="C110" s="1056"/>
      <c r="D110" s="1082"/>
      <c r="E110" s="43" t="s">
        <v>91</v>
      </c>
      <c r="F110" s="929" t="s">
        <v>212</v>
      </c>
      <c r="G110" s="944"/>
      <c r="H110" s="945">
        <f>202-102</f>
        <v>100</v>
      </c>
      <c r="I110" s="945">
        <v>202</v>
      </c>
      <c r="J110" s="1084" t="s">
        <v>165</v>
      </c>
      <c r="K110" s="338"/>
      <c r="L110" s="196">
        <v>50</v>
      </c>
      <c r="M110" s="801">
        <v>100</v>
      </c>
    </row>
    <row r="111" spans="1:14" s="10" customFormat="1" ht="15" customHeight="1" x14ac:dyDescent="0.35">
      <c r="A111" s="1050"/>
      <c r="B111" s="1053"/>
      <c r="C111" s="1056"/>
      <c r="D111" s="1082"/>
      <c r="E111" s="43" t="s">
        <v>154</v>
      </c>
      <c r="F111" s="929"/>
      <c r="G111" s="946"/>
      <c r="H111" s="947"/>
      <c r="I111" s="948"/>
      <c r="J111" s="1085"/>
      <c r="K111" s="303"/>
      <c r="L111" s="196"/>
      <c r="M111" s="226"/>
    </row>
    <row r="112" spans="1:14" s="10" customFormat="1" ht="15" customHeight="1" x14ac:dyDescent="0.35">
      <c r="A112" s="1050"/>
      <c r="B112" s="1053"/>
      <c r="C112" s="1056"/>
      <c r="D112" s="1082"/>
      <c r="E112" s="43" t="s">
        <v>30</v>
      </c>
      <c r="F112" s="929"/>
      <c r="G112" s="946"/>
      <c r="H112" s="947"/>
      <c r="I112" s="948"/>
      <c r="J112" s="1085"/>
      <c r="K112" s="303"/>
      <c r="L112" s="196"/>
      <c r="M112" s="226"/>
    </row>
    <row r="113" spans="1:18" s="10" customFormat="1" ht="15" customHeight="1" x14ac:dyDescent="0.35">
      <c r="A113" s="1050"/>
      <c r="B113" s="1053"/>
      <c r="C113" s="1056"/>
      <c r="D113" s="1083"/>
      <c r="E113" s="640" t="s">
        <v>98</v>
      </c>
      <c r="F113" s="929"/>
      <c r="G113" s="946"/>
      <c r="H113" s="947"/>
      <c r="I113" s="948"/>
      <c r="J113" s="1086"/>
      <c r="K113" s="303"/>
      <c r="L113" s="196"/>
      <c r="M113" s="226"/>
    </row>
    <row r="114" spans="1:18" s="44" customFormat="1" ht="18" customHeight="1" thickBot="1" x14ac:dyDescent="0.4">
      <c r="A114" s="1051"/>
      <c r="B114" s="1054"/>
      <c r="C114" s="1057"/>
      <c r="D114" s="132"/>
      <c r="E114" s="133"/>
      <c r="F114" s="149" t="s">
        <v>19</v>
      </c>
      <c r="G114" s="317">
        <f>+G75+G76+G77+G78+G79+G80+G81+G82+G83</f>
        <v>1722.2</v>
      </c>
      <c r="H114" s="317">
        <f t="shared" ref="H114:I114" si="30">+H75+H76+H77+H78+H79+H80+H81+H82+H83</f>
        <v>1382.1</v>
      </c>
      <c r="I114" s="317">
        <f t="shared" si="30"/>
        <v>280.8</v>
      </c>
      <c r="J114" s="387"/>
      <c r="K114" s="305"/>
      <c r="L114" s="311"/>
      <c r="M114" s="122"/>
    </row>
    <row r="115" spans="1:18" s="44" customFormat="1" ht="15" customHeight="1" x14ac:dyDescent="0.35">
      <c r="A115" s="15" t="s">
        <v>10</v>
      </c>
      <c r="B115" s="16" t="s">
        <v>27</v>
      </c>
      <c r="C115" s="40" t="s">
        <v>27</v>
      </c>
      <c r="D115" s="1060" t="s">
        <v>71</v>
      </c>
      <c r="E115" s="654" t="s">
        <v>91</v>
      </c>
      <c r="F115" s="199" t="s">
        <v>31</v>
      </c>
      <c r="G115" s="892">
        <v>180</v>
      </c>
      <c r="H115" s="833">
        <v>574.4</v>
      </c>
      <c r="I115" s="833">
        <v>886</v>
      </c>
      <c r="J115" s="388"/>
      <c r="K115" s="250"/>
      <c r="L115" s="380"/>
      <c r="M115" s="246"/>
      <c r="O115" s="900" t="s">
        <v>31</v>
      </c>
      <c r="P115" s="965">
        <f>+G118+G121+G123+G125+G128+G131+G134+G137</f>
        <v>180</v>
      </c>
      <c r="Q115" s="965">
        <f t="shared" ref="Q115:R115" si="31">+H118+H121+H123+H125+H128+H131+H134+H137</f>
        <v>574.4</v>
      </c>
      <c r="R115" s="965">
        <f t="shared" si="31"/>
        <v>886</v>
      </c>
    </row>
    <row r="116" spans="1:18" s="44" customFormat="1" ht="15" customHeight="1" x14ac:dyDescent="0.35">
      <c r="A116" s="788"/>
      <c r="B116" s="789"/>
      <c r="C116" s="790"/>
      <c r="D116" s="1061"/>
      <c r="E116" s="650"/>
      <c r="F116" s="168" t="s">
        <v>167</v>
      </c>
      <c r="G116" s="114">
        <v>150</v>
      </c>
      <c r="H116" s="111">
        <v>380</v>
      </c>
      <c r="I116" s="111">
        <v>570</v>
      </c>
      <c r="J116" s="780"/>
      <c r="K116" s="949"/>
      <c r="L116" s="776"/>
      <c r="M116" s="950"/>
      <c r="O116" s="900" t="s">
        <v>167</v>
      </c>
      <c r="P116" s="965">
        <f>+G122</f>
        <v>150</v>
      </c>
      <c r="Q116" s="965">
        <f t="shared" ref="Q116:R116" si="32">+H122</f>
        <v>380</v>
      </c>
      <c r="R116" s="965">
        <f t="shared" si="32"/>
        <v>570</v>
      </c>
    </row>
    <row r="117" spans="1:18" s="44" customFormat="1" ht="15.65" customHeight="1" x14ac:dyDescent="0.35">
      <c r="A117" s="788"/>
      <c r="B117" s="789"/>
      <c r="C117" s="790"/>
      <c r="D117" s="1087"/>
      <c r="E117" s="648"/>
      <c r="F117" s="200" t="s">
        <v>67</v>
      </c>
      <c r="G117" s="202">
        <v>2.7</v>
      </c>
      <c r="H117" s="198"/>
      <c r="I117" s="198"/>
      <c r="J117" s="800"/>
      <c r="K117" s="275"/>
      <c r="L117" s="775"/>
      <c r="M117" s="247"/>
      <c r="O117" s="900" t="s">
        <v>67</v>
      </c>
      <c r="P117" s="965">
        <f>+G120</f>
        <v>2.7</v>
      </c>
      <c r="Q117" s="965">
        <f t="shared" ref="Q117:R117" si="33">+H120</f>
        <v>0</v>
      </c>
      <c r="R117" s="965">
        <f t="shared" si="33"/>
        <v>0</v>
      </c>
    </row>
    <row r="118" spans="1:18" s="44" customFormat="1" ht="16.5" customHeight="1" x14ac:dyDescent="0.35">
      <c r="A118" s="76"/>
      <c r="B118" s="809"/>
      <c r="C118" s="144"/>
      <c r="D118" s="1030" t="s">
        <v>178</v>
      </c>
      <c r="E118" s="792" t="s">
        <v>98</v>
      </c>
      <c r="F118" s="835" t="s">
        <v>212</v>
      </c>
      <c r="G118" s="859">
        <f>119+14.3-33.3</f>
        <v>100.00000000000001</v>
      </c>
      <c r="H118" s="837">
        <v>33.299999999999997</v>
      </c>
      <c r="I118" s="865"/>
      <c r="J118" s="779" t="s">
        <v>150</v>
      </c>
      <c r="K118" s="684"/>
      <c r="L118" s="341">
        <v>1</v>
      </c>
      <c r="M118" s="783"/>
      <c r="N118" s="10"/>
      <c r="O118" s="968"/>
      <c r="P118" s="965">
        <f>+P115+P116+P117</f>
        <v>332.7</v>
      </c>
      <c r="Q118" s="965">
        <f t="shared" ref="Q118:R118" si="34">+Q115+Q116+Q117</f>
        <v>954.4</v>
      </c>
      <c r="R118" s="965">
        <f t="shared" si="34"/>
        <v>1456</v>
      </c>
    </row>
    <row r="119" spans="1:18" s="44" customFormat="1" ht="16.5" customHeight="1" x14ac:dyDescent="0.35">
      <c r="A119" s="76"/>
      <c r="B119" s="809"/>
      <c r="C119" s="144"/>
      <c r="D119" s="1032"/>
      <c r="E119" s="648" t="s">
        <v>30</v>
      </c>
      <c r="F119" s="853"/>
      <c r="G119" s="854"/>
      <c r="H119" s="845"/>
      <c r="I119" s="855"/>
      <c r="J119" s="780"/>
      <c r="K119" s="684"/>
      <c r="L119" s="196"/>
      <c r="M119" s="784"/>
      <c r="N119" s="10"/>
      <c r="O119" s="968"/>
      <c r="P119" s="965"/>
      <c r="Q119" s="965"/>
      <c r="R119" s="965"/>
    </row>
    <row r="120" spans="1:18" s="44" customFormat="1" ht="16.5" customHeight="1" x14ac:dyDescent="0.35">
      <c r="A120" s="76"/>
      <c r="B120" s="809"/>
      <c r="C120" s="144"/>
      <c r="D120" s="1031"/>
      <c r="E120" s="58" t="s">
        <v>156</v>
      </c>
      <c r="F120" s="853" t="s">
        <v>213</v>
      </c>
      <c r="G120" s="840">
        <v>2.7</v>
      </c>
      <c r="H120" s="857"/>
      <c r="I120" s="842"/>
      <c r="J120" s="800"/>
      <c r="K120" s="334"/>
      <c r="L120" s="196"/>
      <c r="M120" s="784"/>
      <c r="O120" s="900"/>
      <c r="P120" s="965">
        <f>+P118-G140</f>
        <v>0</v>
      </c>
      <c r="Q120" s="965">
        <f t="shared" ref="Q120:R120" si="35">+Q118-H140</f>
        <v>0</v>
      </c>
      <c r="R120" s="965">
        <f t="shared" si="35"/>
        <v>0</v>
      </c>
    </row>
    <row r="121" spans="1:18" s="44" customFormat="1" ht="27" customHeight="1" x14ac:dyDescent="0.35">
      <c r="A121" s="76"/>
      <c r="B121" s="809"/>
      <c r="C121" s="144"/>
      <c r="D121" s="1076" t="s">
        <v>147</v>
      </c>
      <c r="E121" s="640" t="s">
        <v>166</v>
      </c>
      <c r="F121" s="835" t="s">
        <v>212</v>
      </c>
      <c r="G121" s="859">
        <v>40</v>
      </c>
      <c r="H121" s="837">
        <v>70</v>
      </c>
      <c r="I121" s="883">
        <v>30</v>
      </c>
      <c r="J121" s="667" t="s">
        <v>177</v>
      </c>
      <c r="K121" s="444">
        <v>2</v>
      </c>
      <c r="L121" s="341"/>
      <c r="M121" s="445"/>
      <c r="O121" s="900"/>
      <c r="P121" s="900"/>
      <c r="Q121" s="900"/>
      <c r="R121" s="900"/>
    </row>
    <row r="122" spans="1:18" s="44" customFormat="1" ht="27" customHeight="1" x14ac:dyDescent="0.35">
      <c r="A122" s="76"/>
      <c r="B122" s="809"/>
      <c r="C122" s="144"/>
      <c r="D122" s="1077"/>
      <c r="E122" s="648" t="s">
        <v>30</v>
      </c>
      <c r="F122" s="839" t="s">
        <v>219</v>
      </c>
      <c r="G122" s="840">
        <v>150</v>
      </c>
      <c r="H122" s="857">
        <v>380</v>
      </c>
      <c r="I122" s="842">
        <v>570</v>
      </c>
      <c r="J122" s="780" t="s">
        <v>151</v>
      </c>
      <c r="K122" s="771">
        <v>15</v>
      </c>
      <c r="L122" s="534">
        <v>25</v>
      </c>
      <c r="M122" s="749">
        <v>60</v>
      </c>
      <c r="N122" s="10"/>
      <c r="O122" s="10"/>
    </row>
    <row r="123" spans="1:18" s="44" customFormat="1" ht="16.75" customHeight="1" x14ac:dyDescent="0.35">
      <c r="A123" s="76"/>
      <c r="B123" s="809"/>
      <c r="C123" s="144"/>
      <c r="D123" s="1030" t="s">
        <v>148</v>
      </c>
      <c r="E123" s="792" t="s">
        <v>168</v>
      </c>
      <c r="F123" s="835" t="s">
        <v>212</v>
      </c>
      <c r="G123" s="859"/>
      <c r="H123" s="837">
        <v>30.6</v>
      </c>
      <c r="I123" s="883">
        <v>100</v>
      </c>
      <c r="J123" s="564" t="s">
        <v>150</v>
      </c>
      <c r="K123" s="565"/>
      <c r="L123" s="341"/>
      <c r="M123" s="783">
        <v>1</v>
      </c>
    </row>
    <row r="124" spans="1:18" s="44" customFormat="1" ht="29.5" customHeight="1" x14ac:dyDescent="0.35">
      <c r="A124" s="76"/>
      <c r="B124" s="809"/>
      <c r="C124" s="144"/>
      <c r="D124" s="1031"/>
      <c r="E124" s="58" t="s">
        <v>179</v>
      </c>
      <c r="F124" s="839"/>
      <c r="G124" s="951"/>
      <c r="H124" s="845"/>
      <c r="I124" s="842"/>
      <c r="J124" s="291"/>
      <c r="K124" s="334"/>
      <c r="L124" s="563"/>
      <c r="M124" s="785"/>
    </row>
    <row r="125" spans="1:18" s="44" customFormat="1" ht="15.5" customHeight="1" x14ac:dyDescent="0.35">
      <c r="A125" s="76"/>
      <c r="B125" s="809"/>
      <c r="C125" s="144"/>
      <c r="D125" s="1030" t="s">
        <v>169</v>
      </c>
      <c r="E125" s="640" t="s">
        <v>98</v>
      </c>
      <c r="F125" s="835" t="s">
        <v>212</v>
      </c>
      <c r="G125" s="859">
        <v>5</v>
      </c>
      <c r="H125" s="837">
        <v>20</v>
      </c>
      <c r="I125" s="883"/>
      <c r="J125" s="564" t="s">
        <v>150</v>
      </c>
      <c r="K125" s="565"/>
      <c r="L125" s="566">
        <v>1</v>
      </c>
      <c r="M125" s="783"/>
    </row>
    <row r="126" spans="1:18" s="44" customFormat="1" ht="15.5" customHeight="1" x14ac:dyDescent="0.35">
      <c r="A126" s="76"/>
      <c r="B126" s="809"/>
      <c r="C126" s="144"/>
      <c r="D126" s="1032"/>
      <c r="E126" s="648" t="s">
        <v>156</v>
      </c>
      <c r="F126" s="853"/>
      <c r="G126" s="951"/>
      <c r="H126" s="845"/>
      <c r="I126" s="951"/>
      <c r="J126" s="551"/>
      <c r="K126" s="303"/>
      <c r="L126" s="196"/>
      <c r="M126" s="784"/>
    </row>
    <row r="127" spans="1:18" s="44" customFormat="1" ht="21" customHeight="1" x14ac:dyDescent="0.35">
      <c r="A127" s="76"/>
      <c r="B127" s="809"/>
      <c r="C127" s="144"/>
      <c r="D127" s="1031"/>
      <c r="E127" s="58" t="s">
        <v>30</v>
      </c>
      <c r="F127" s="839"/>
      <c r="G127" s="951"/>
      <c r="H127" s="845"/>
      <c r="I127" s="842"/>
      <c r="J127" s="291"/>
      <c r="K127" s="334"/>
      <c r="L127" s="563"/>
      <c r="M127" s="785"/>
    </row>
    <row r="128" spans="1:18" s="44" customFormat="1" ht="16.25" customHeight="1" x14ac:dyDescent="0.35">
      <c r="A128" s="76"/>
      <c r="B128" s="809"/>
      <c r="C128" s="144"/>
      <c r="D128" s="1030" t="s">
        <v>170</v>
      </c>
      <c r="E128" s="640" t="s">
        <v>98</v>
      </c>
      <c r="F128" s="835" t="s">
        <v>212</v>
      </c>
      <c r="G128" s="859">
        <v>5</v>
      </c>
      <c r="H128" s="837">
        <v>30</v>
      </c>
      <c r="I128" s="883"/>
      <c r="J128" s="564" t="s">
        <v>150</v>
      </c>
      <c r="K128" s="565"/>
      <c r="L128" s="566">
        <v>1</v>
      </c>
      <c r="M128" s="783"/>
    </row>
    <row r="129" spans="1:18" s="44" customFormat="1" ht="16.25" customHeight="1" x14ac:dyDescent="0.35">
      <c r="A129" s="76"/>
      <c r="B129" s="809"/>
      <c r="C129" s="144"/>
      <c r="D129" s="1032"/>
      <c r="E129" s="648" t="s">
        <v>156</v>
      </c>
      <c r="F129" s="853"/>
      <c r="G129" s="951"/>
      <c r="H129" s="845"/>
      <c r="I129" s="951"/>
      <c r="J129" s="551"/>
      <c r="K129" s="444"/>
      <c r="L129" s="203"/>
      <c r="M129" s="784"/>
    </row>
    <row r="130" spans="1:18" s="44" customFormat="1" ht="16.25" customHeight="1" x14ac:dyDescent="0.35">
      <c r="A130" s="76"/>
      <c r="B130" s="809"/>
      <c r="C130" s="144"/>
      <c r="D130" s="1031"/>
      <c r="E130" s="58" t="s">
        <v>30</v>
      </c>
      <c r="F130" s="839"/>
      <c r="G130" s="951"/>
      <c r="H130" s="845"/>
      <c r="I130" s="842"/>
      <c r="J130" s="291"/>
      <c r="K130" s="334"/>
      <c r="L130" s="342"/>
      <c r="M130" s="785"/>
    </row>
    <row r="131" spans="1:18" s="44" customFormat="1" ht="15.5" customHeight="1" x14ac:dyDescent="0.35">
      <c r="A131" s="76"/>
      <c r="B131" s="809"/>
      <c r="C131" s="144"/>
      <c r="D131" s="1030" t="s">
        <v>202</v>
      </c>
      <c r="E131" s="640" t="s">
        <v>98</v>
      </c>
      <c r="F131" s="853" t="s">
        <v>212</v>
      </c>
      <c r="G131" s="859">
        <v>20</v>
      </c>
      <c r="H131" s="837">
        <v>234</v>
      </c>
      <c r="I131" s="883">
        <v>536</v>
      </c>
      <c r="J131" s="562" t="s">
        <v>150</v>
      </c>
      <c r="K131" s="444"/>
      <c r="L131" s="203">
        <v>1</v>
      </c>
      <c r="M131" s="445"/>
    </row>
    <row r="132" spans="1:18" s="44" customFormat="1" ht="15.5" customHeight="1" x14ac:dyDescent="0.35">
      <c r="A132" s="76"/>
      <c r="B132" s="809"/>
      <c r="C132" s="144"/>
      <c r="D132" s="1032"/>
      <c r="E132" s="648" t="s">
        <v>156</v>
      </c>
      <c r="F132" s="853"/>
      <c r="G132" s="951"/>
      <c r="H132" s="845"/>
      <c r="I132" s="855"/>
      <c r="J132" s="291" t="s">
        <v>88</v>
      </c>
      <c r="K132" s="338"/>
      <c r="L132" s="347">
        <v>30</v>
      </c>
      <c r="M132" s="784">
        <v>100</v>
      </c>
    </row>
    <row r="133" spans="1:18" s="44" customFormat="1" ht="15.5" customHeight="1" x14ac:dyDescent="0.35">
      <c r="A133" s="76"/>
      <c r="B133" s="809"/>
      <c r="C133" s="144"/>
      <c r="D133" s="775"/>
      <c r="E133" s="58" t="s">
        <v>30</v>
      </c>
      <c r="F133" s="853"/>
      <c r="G133" s="840"/>
      <c r="H133" s="845"/>
      <c r="I133" s="842"/>
      <c r="J133" s="320"/>
      <c r="K133" s="334"/>
      <c r="L133" s="203"/>
      <c r="M133" s="784"/>
    </row>
    <row r="134" spans="1:18" s="44" customFormat="1" ht="15.5" customHeight="1" x14ac:dyDescent="0.35">
      <c r="A134" s="76"/>
      <c r="B134" s="809"/>
      <c r="C134" s="144"/>
      <c r="D134" s="1030" t="s">
        <v>180</v>
      </c>
      <c r="E134" s="640" t="s">
        <v>98</v>
      </c>
      <c r="F134" s="835" t="s">
        <v>212</v>
      </c>
      <c r="G134" s="859">
        <v>10</v>
      </c>
      <c r="H134" s="837">
        <v>133</v>
      </c>
      <c r="I134" s="883">
        <v>220</v>
      </c>
      <c r="J134" s="562" t="s">
        <v>150</v>
      </c>
      <c r="K134" s="444"/>
      <c r="L134" s="341">
        <v>1</v>
      </c>
      <c r="M134" s="445"/>
    </row>
    <row r="135" spans="1:18" s="44" customFormat="1" ht="15.5" customHeight="1" x14ac:dyDescent="0.35">
      <c r="A135" s="76"/>
      <c r="B135" s="809"/>
      <c r="C135" s="144"/>
      <c r="D135" s="1032"/>
      <c r="E135" s="648" t="s">
        <v>156</v>
      </c>
      <c r="F135" s="853"/>
      <c r="G135" s="951"/>
      <c r="H135" s="845"/>
      <c r="I135" s="855"/>
      <c r="J135" s="291" t="s">
        <v>88</v>
      </c>
      <c r="K135" s="338"/>
      <c r="L135" s="347">
        <v>40</v>
      </c>
      <c r="M135" s="784">
        <v>100</v>
      </c>
    </row>
    <row r="136" spans="1:18" s="44" customFormat="1" ht="15.5" customHeight="1" x14ac:dyDescent="0.35">
      <c r="A136" s="76"/>
      <c r="B136" s="809"/>
      <c r="C136" s="144"/>
      <c r="D136" s="775"/>
      <c r="E136" s="58" t="s">
        <v>30</v>
      </c>
      <c r="F136" s="853"/>
      <c r="G136" s="951"/>
      <c r="H136" s="845"/>
      <c r="I136" s="855"/>
      <c r="J136" s="291"/>
      <c r="K136" s="444"/>
      <c r="L136" s="203"/>
      <c r="M136" s="784"/>
    </row>
    <row r="137" spans="1:18" s="44" customFormat="1" ht="18.5" customHeight="1" x14ac:dyDescent="0.35">
      <c r="A137" s="76"/>
      <c r="B137" s="809"/>
      <c r="C137" s="144"/>
      <c r="D137" s="1030" t="s">
        <v>149</v>
      </c>
      <c r="E137" s="792" t="s">
        <v>98</v>
      </c>
      <c r="F137" s="835" t="s">
        <v>212</v>
      </c>
      <c r="G137" s="883"/>
      <c r="H137" s="837">
        <v>23.5</v>
      </c>
      <c r="I137" s="865"/>
      <c r="J137" s="779" t="s">
        <v>160</v>
      </c>
      <c r="K137" s="333"/>
      <c r="L137" s="566">
        <v>1</v>
      </c>
      <c r="M137" s="783"/>
    </row>
    <row r="138" spans="1:18" s="44" customFormat="1" ht="18.5" customHeight="1" x14ac:dyDescent="0.35">
      <c r="A138" s="76"/>
      <c r="B138" s="809"/>
      <c r="C138" s="144"/>
      <c r="D138" s="1032"/>
      <c r="E138" s="648" t="s">
        <v>156</v>
      </c>
      <c r="F138" s="853"/>
      <c r="G138" s="854"/>
      <c r="H138" s="845"/>
      <c r="I138" s="951"/>
      <c r="J138" s="780"/>
      <c r="K138" s="444"/>
      <c r="L138" s="196"/>
      <c r="M138" s="784"/>
    </row>
    <row r="139" spans="1:18" s="44" customFormat="1" ht="18.5" customHeight="1" x14ac:dyDescent="0.35">
      <c r="A139" s="76"/>
      <c r="B139" s="809"/>
      <c r="C139" s="144"/>
      <c r="D139" s="1031"/>
      <c r="E139" s="648" t="s">
        <v>30</v>
      </c>
      <c r="F139" s="853"/>
      <c r="G139" s="840"/>
      <c r="H139" s="857"/>
      <c r="I139" s="842"/>
      <c r="J139" s="320"/>
      <c r="K139" s="334"/>
      <c r="L139" s="342"/>
      <c r="M139" s="785"/>
    </row>
    <row r="140" spans="1:18" s="44" customFormat="1" ht="18" customHeight="1" thickBot="1" x14ac:dyDescent="0.35">
      <c r="A140" s="96"/>
      <c r="B140" s="97"/>
      <c r="C140" s="38"/>
      <c r="D140" s="156"/>
      <c r="E140" s="154"/>
      <c r="F140" s="149" t="s">
        <v>19</v>
      </c>
      <c r="G140" s="351">
        <f>+G115+G116+G117</f>
        <v>332.7</v>
      </c>
      <c r="H140" s="120">
        <f>+H115+H116+H117</f>
        <v>954.4</v>
      </c>
      <c r="I140" s="120">
        <f>+I115+I116+I117</f>
        <v>1456</v>
      </c>
      <c r="J140" s="389"/>
      <c r="K140" s="379"/>
      <c r="L140" s="381"/>
      <c r="M140" s="455"/>
    </row>
    <row r="141" spans="1:18" s="44" customFormat="1" ht="15" customHeight="1" x14ac:dyDescent="0.35">
      <c r="A141" s="15" t="s">
        <v>10</v>
      </c>
      <c r="B141" s="16" t="s">
        <v>27</v>
      </c>
      <c r="C141" s="40" t="s">
        <v>29</v>
      </c>
      <c r="D141" s="794" t="s">
        <v>42</v>
      </c>
      <c r="E141" s="955"/>
      <c r="F141" s="68" t="s">
        <v>31</v>
      </c>
      <c r="G141" s="892">
        <v>65.3</v>
      </c>
      <c r="H141" s="833">
        <v>30.3</v>
      </c>
      <c r="I141" s="892">
        <v>30.3</v>
      </c>
      <c r="J141" s="388"/>
      <c r="K141" s="250"/>
      <c r="L141" s="380"/>
      <c r="M141" s="246"/>
      <c r="O141" s="900" t="s">
        <v>31</v>
      </c>
      <c r="P141" s="965">
        <f>+G145</f>
        <v>65.3</v>
      </c>
      <c r="Q141" s="965">
        <f t="shared" ref="Q141:R141" si="36">+H145</f>
        <v>30.3</v>
      </c>
      <c r="R141" s="965">
        <f t="shared" si="36"/>
        <v>30.3</v>
      </c>
    </row>
    <row r="142" spans="1:18" s="44" customFormat="1" ht="15" customHeight="1" x14ac:dyDescent="0.35">
      <c r="A142" s="788"/>
      <c r="B142" s="789"/>
      <c r="C142" s="790"/>
      <c r="D142" s="954"/>
      <c r="E142" s="956"/>
      <c r="F142" s="68" t="s">
        <v>22</v>
      </c>
      <c r="G142" s="114">
        <v>49.4</v>
      </c>
      <c r="H142" s="114">
        <v>42.6</v>
      </c>
      <c r="I142" s="23">
        <v>49.4</v>
      </c>
      <c r="J142" s="780"/>
      <c r="K142" s="949"/>
      <c r="L142" s="776"/>
      <c r="M142" s="957"/>
      <c r="O142" s="900" t="s">
        <v>22</v>
      </c>
      <c r="P142" s="965">
        <f>+G144+G146</f>
        <v>49.4</v>
      </c>
      <c r="Q142" s="965">
        <f t="shared" ref="Q142:R142" si="37">+H144+H146</f>
        <v>42.6</v>
      </c>
      <c r="R142" s="965">
        <f t="shared" si="37"/>
        <v>49.4</v>
      </c>
    </row>
    <row r="143" spans="1:18" s="44" customFormat="1" ht="15" customHeight="1" x14ac:dyDescent="0.35">
      <c r="A143" s="788"/>
      <c r="B143" s="789"/>
      <c r="C143" s="790"/>
      <c r="D143" s="953"/>
      <c r="E143" s="640"/>
      <c r="F143" s="168" t="s">
        <v>182</v>
      </c>
      <c r="G143" s="766">
        <v>20</v>
      </c>
      <c r="H143" s="958">
        <v>20</v>
      </c>
      <c r="I143" s="959">
        <v>20</v>
      </c>
      <c r="J143" s="780"/>
      <c r="K143" s="949"/>
      <c r="L143" s="776"/>
      <c r="M143" s="950"/>
      <c r="O143" s="900" t="s">
        <v>182</v>
      </c>
      <c r="P143" s="965">
        <f>+G147</f>
        <v>20</v>
      </c>
      <c r="Q143" s="965">
        <f t="shared" ref="Q143:R143" si="38">+H147</f>
        <v>20</v>
      </c>
      <c r="R143" s="965">
        <f t="shared" si="38"/>
        <v>20</v>
      </c>
    </row>
    <row r="144" spans="1:18" s="44" customFormat="1" ht="14.5" customHeight="1" x14ac:dyDescent="0.35">
      <c r="A144" s="1104"/>
      <c r="B144" s="1105"/>
      <c r="C144" s="1090"/>
      <c r="D144" s="1091" t="s">
        <v>59</v>
      </c>
      <c r="E144" s="280" t="s">
        <v>98</v>
      </c>
      <c r="F144" s="858" t="s">
        <v>209</v>
      </c>
      <c r="G144" s="859">
        <v>30</v>
      </c>
      <c r="H144" s="837">
        <v>30</v>
      </c>
      <c r="I144" s="865">
        <v>30</v>
      </c>
      <c r="J144" s="1023" t="s">
        <v>76</v>
      </c>
      <c r="K144" s="629">
        <v>1.5</v>
      </c>
      <c r="L144" s="630">
        <v>1.2</v>
      </c>
      <c r="M144" s="628">
        <v>1.2</v>
      </c>
      <c r="O144" s="900"/>
      <c r="P144" s="965">
        <f>+P141+P142+P143</f>
        <v>134.69999999999999</v>
      </c>
      <c r="Q144" s="965">
        <f t="shared" ref="Q144:R144" si="39">+Q141+Q142+Q143</f>
        <v>92.9</v>
      </c>
      <c r="R144" s="965">
        <f t="shared" si="39"/>
        <v>99.7</v>
      </c>
    </row>
    <row r="145" spans="1:18" s="44" customFormat="1" ht="14.5" customHeight="1" x14ac:dyDescent="0.35">
      <c r="A145" s="1104"/>
      <c r="B145" s="1105"/>
      <c r="C145" s="1090"/>
      <c r="D145" s="1092"/>
      <c r="E145" s="640" t="s">
        <v>154</v>
      </c>
      <c r="F145" s="898" t="s">
        <v>212</v>
      </c>
      <c r="G145" s="840">
        <v>65.3</v>
      </c>
      <c r="H145" s="857">
        <v>30.3</v>
      </c>
      <c r="I145" s="842">
        <v>30.3</v>
      </c>
      <c r="J145" s="1093"/>
      <c r="K145" s="410"/>
      <c r="L145" s="413"/>
      <c r="M145" s="254"/>
      <c r="O145" s="900"/>
      <c r="P145" s="965">
        <f>+P144-G150</f>
        <v>0</v>
      </c>
      <c r="Q145" s="965">
        <f t="shared" ref="Q145:R145" si="40">+Q144-H150</f>
        <v>0</v>
      </c>
      <c r="R145" s="965">
        <f t="shared" si="40"/>
        <v>0</v>
      </c>
    </row>
    <row r="146" spans="1:18" s="44" customFormat="1" ht="26.25" customHeight="1" x14ac:dyDescent="0.35">
      <c r="A146" s="1097"/>
      <c r="B146" s="1098"/>
      <c r="C146" s="1099"/>
      <c r="D146" s="1030" t="s">
        <v>87</v>
      </c>
      <c r="E146" s="280" t="s">
        <v>98</v>
      </c>
      <c r="F146" s="835" t="s">
        <v>209</v>
      </c>
      <c r="G146" s="859">
        <v>19.399999999999999</v>
      </c>
      <c r="H146" s="836">
        <v>12.6</v>
      </c>
      <c r="I146" s="836">
        <v>19.399999999999999</v>
      </c>
      <c r="J146" s="805" t="s">
        <v>199</v>
      </c>
      <c r="K146" s="373">
        <v>1400</v>
      </c>
      <c r="L146" s="375">
        <v>1400</v>
      </c>
      <c r="M146" s="245">
        <v>1400</v>
      </c>
    </row>
    <row r="147" spans="1:18" s="44" customFormat="1" ht="14.25" customHeight="1" x14ac:dyDescent="0.35">
      <c r="A147" s="1049"/>
      <c r="B147" s="1052"/>
      <c r="C147" s="1100"/>
      <c r="D147" s="1157"/>
      <c r="E147" s="640" t="s">
        <v>154</v>
      </c>
      <c r="F147" s="853" t="s">
        <v>210</v>
      </c>
      <c r="G147" s="854">
        <v>20</v>
      </c>
      <c r="H147" s="951">
        <v>20</v>
      </c>
      <c r="I147" s="855">
        <v>20</v>
      </c>
      <c r="J147" s="1158" t="s">
        <v>200</v>
      </c>
      <c r="K147" s="457">
        <v>3.7</v>
      </c>
      <c r="L147" s="458">
        <v>3.7</v>
      </c>
      <c r="M147" s="253">
        <v>3.7</v>
      </c>
    </row>
    <row r="148" spans="1:18" s="44" customFormat="1" ht="13.5" customHeight="1" x14ac:dyDescent="0.35">
      <c r="A148" s="1049"/>
      <c r="B148" s="1052"/>
      <c r="C148" s="1100"/>
      <c r="D148" s="1157"/>
      <c r="E148" s="952"/>
      <c r="F148" s="932"/>
      <c r="G148" s="960"/>
      <c r="H148" s="934"/>
      <c r="I148" s="935"/>
      <c r="J148" s="1159"/>
      <c r="K148" s="452"/>
      <c r="L148" s="376"/>
      <c r="M148" s="453"/>
    </row>
    <row r="149" spans="1:18" s="44" customFormat="1" ht="16.5" customHeight="1" x14ac:dyDescent="0.35">
      <c r="A149" s="1049"/>
      <c r="B149" s="1052"/>
      <c r="C149" s="1100"/>
      <c r="D149" s="1071"/>
      <c r="E149" s="217"/>
      <c r="F149" s="839"/>
      <c r="G149" s="856"/>
      <c r="H149" s="856"/>
      <c r="I149" s="856"/>
      <c r="J149" s="459" t="s">
        <v>152</v>
      </c>
      <c r="K149" s="411">
        <v>1</v>
      </c>
      <c r="L149" s="461"/>
      <c r="M149" s="252">
        <v>1</v>
      </c>
    </row>
    <row r="150" spans="1:18" s="44" customFormat="1" ht="18" customHeight="1" thickBot="1" x14ac:dyDescent="0.35">
      <c r="A150" s="96"/>
      <c r="B150" s="97"/>
      <c r="C150" s="38"/>
      <c r="D150" s="456"/>
      <c r="E150" s="159"/>
      <c r="F150" s="46" t="s">
        <v>19</v>
      </c>
      <c r="G150" s="115">
        <f>+G141+G142+G143</f>
        <v>134.69999999999999</v>
      </c>
      <c r="H150" s="115">
        <f>+H141+H142+H143</f>
        <v>92.9</v>
      </c>
      <c r="I150" s="115">
        <f>+I141+I142+I143</f>
        <v>99.7</v>
      </c>
      <c r="J150" s="398"/>
      <c r="K150" s="379"/>
      <c r="L150" s="381"/>
      <c r="M150" s="248"/>
    </row>
    <row r="151" spans="1:18" s="44" customFormat="1" ht="15" customHeight="1" thickBot="1" x14ac:dyDescent="0.4">
      <c r="A151" s="11" t="s">
        <v>10</v>
      </c>
      <c r="B151" s="9" t="s">
        <v>27</v>
      </c>
      <c r="C151" s="1034" t="s">
        <v>32</v>
      </c>
      <c r="D151" s="1034"/>
      <c r="E151" s="1034"/>
      <c r="F151" s="1034"/>
      <c r="G151" s="401">
        <f>G150+G140+G114+G74</f>
        <v>2391.7999999999997</v>
      </c>
      <c r="H151" s="121">
        <f>H150+H140+H114+H74</f>
        <v>2728.7</v>
      </c>
      <c r="I151" s="325">
        <f>I150+I140+I114+I74</f>
        <v>1872</v>
      </c>
      <c r="J151" s="1036"/>
      <c r="K151" s="1037"/>
      <c r="L151" s="1037"/>
      <c r="M151" s="1038"/>
    </row>
    <row r="152" spans="1:18" s="44" customFormat="1" ht="15" customHeight="1" thickBot="1" x14ac:dyDescent="0.4">
      <c r="A152" s="8" t="s">
        <v>10</v>
      </c>
      <c r="B152" s="9" t="s">
        <v>29</v>
      </c>
      <c r="C152" s="1160" t="s">
        <v>65</v>
      </c>
      <c r="D152" s="1161"/>
      <c r="E152" s="1161"/>
      <c r="F152" s="1161"/>
      <c r="G152" s="1161"/>
      <c r="H152" s="1161"/>
      <c r="I152" s="1161"/>
      <c r="J152" s="1161"/>
      <c r="K152" s="1161"/>
      <c r="L152" s="1161"/>
      <c r="M152" s="1162"/>
    </row>
    <row r="153" spans="1:18" s="44" customFormat="1" ht="15.5" customHeight="1" x14ac:dyDescent="0.35">
      <c r="A153" s="15" t="s">
        <v>10</v>
      </c>
      <c r="B153" s="170" t="s">
        <v>29</v>
      </c>
      <c r="C153" s="171" t="s">
        <v>10</v>
      </c>
      <c r="D153" s="1060" t="s">
        <v>89</v>
      </c>
      <c r="E153" s="609"/>
      <c r="F153" s="199" t="s">
        <v>31</v>
      </c>
      <c r="G153" s="892">
        <v>616.5</v>
      </c>
      <c r="H153" s="833"/>
      <c r="I153" s="834"/>
      <c r="J153" s="388"/>
      <c r="K153" s="250"/>
      <c r="L153" s="380"/>
      <c r="M153" s="246"/>
      <c r="O153" s="900" t="s">
        <v>31</v>
      </c>
      <c r="P153" s="965">
        <f>+G155+G159</f>
        <v>616.5</v>
      </c>
      <c r="Q153" s="965">
        <f t="shared" ref="Q153:R153" si="41">+H155+H159</f>
        <v>0</v>
      </c>
      <c r="R153" s="965">
        <f t="shared" si="41"/>
        <v>0</v>
      </c>
    </row>
    <row r="154" spans="1:18" s="44" customFormat="1" ht="15.5" customHeight="1" x14ac:dyDescent="0.35">
      <c r="A154" s="788"/>
      <c r="B154" s="961"/>
      <c r="C154" s="962"/>
      <c r="D154" s="1061"/>
      <c r="E154" s="640"/>
      <c r="F154" s="68" t="s">
        <v>67</v>
      </c>
      <c r="G154" s="535">
        <v>311.8</v>
      </c>
      <c r="H154" s="111"/>
      <c r="I154" s="140"/>
      <c r="J154" s="780"/>
      <c r="K154" s="949"/>
      <c r="L154" s="776"/>
      <c r="M154" s="957"/>
      <c r="O154" s="900" t="s">
        <v>67</v>
      </c>
      <c r="P154" s="965">
        <f>+G156</f>
        <v>311.8</v>
      </c>
      <c r="Q154" s="965">
        <f t="shared" ref="Q154:R154" si="42">+H156</f>
        <v>0</v>
      </c>
      <c r="R154" s="965">
        <f t="shared" si="42"/>
        <v>0</v>
      </c>
    </row>
    <row r="155" spans="1:18" s="42" customFormat="1" ht="15.75" customHeight="1" x14ac:dyDescent="0.35">
      <c r="A155" s="76"/>
      <c r="B155" s="811"/>
      <c r="C155" s="812"/>
      <c r="D155" s="1030" t="s">
        <v>99</v>
      </c>
      <c r="E155" s="792" t="s">
        <v>30</v>
      </c>
      <c r="F155" s="835" t="s">
        <v>212</v>
      </c>
      <c r="G155" s="859">
        <f>226.3+165.4+24.8</f>
        <v>416.50000000000006</v>
      </c>
      <c r="H155" s="837"/>
      <c r="I155" s="865"/>
      <c r="J155" s="285" t="s">
        <v>88</v>
      </c>
      <c r="K155" s="361">
        <v>100</v>
      </c>
      <c r="L155" s="366"/>
      <c r="M155" s="236"/>
      <c r="O155" s="966"/>
      <c r="P155" s="967">
        <f>+P153+P154</f>
        <v>928.3</v>
      </c>
      <c r="Q155" s="967">
        <f t="shared" ref="Q155:R155" si="43">+Q153+Q154</f>
        <v>0</v>
      </c>
      <c r="R155" s="967">
        <f t="shared" si="43"/>
        <v>0</v>
      </c>
    </row>
    <row r="156" spans="1:18" s="42" customFormat="1" ht="15.75" customHeight="1" x14ac:dyDescent="0.35">
      <c r="A156" s="76"/>
      <c r="B156" s="811"/>
      <c r="C156" s="812"/>
      <c r="D156" s="1153"/>
      <c r="E156" s="650" t="s">
        <v>117</v>
      </c>
      <c r="F156" s="860" t="s">
        <v>213</v>
      </c>
      <c r="G156" s="854">
        <v>311.8</v>
      </c>
      <c r="H156" s="845"/>
      <c r="I156" s="855"/>
      <c r="J156" s="583"/>
      <c r="K156" s="590"/>
      <c r="L156" s="606"/>
      <c r="M156" s="605"/>
      <c r="O156" s="966"/>
      <c r="P156" s="967">
        <f>+P155-G162</f>
        <v>0</v>
      </c>
      <c r="Q156" s="967">
        <f t="shared" ref="Q156:R156" si="44">+Q155-H162</f>
        <v>0</v>
      </c>
      <c r="R156" s="967">
        <f t="shared" si="44"/>
        <v>0</v>
      </c>
    </row>
    <row r="157" spans="1:18" s="42" customFormat="1" ht="15.75" customHeight="1" x14ac:dyDescent="0.35">
      <c r="A157" s="76"/>
      <c r="B157" s="811"/>
      <c r="C157" s="812"/>
      <c r="D157" s="1153"/>
      <c r="E157" s="655" t="s">
        <v>154</v>
      </c>
      <c r="F157" s="860"/>
      <c r="G157" s="854"/>
      <c r="H157" s="845"/>
      <c r="I157" s="931"/>
      <c r="J157" s="583"/>
      <c r="K157" s="590"/>
      <c r="L157" s="606"/>
      <c r="M157" s="605"/>
    </row>
    <row r="158" spans="1:18" s="42" customFormat="1" ht="14.15" customHeight="1" x14ac:dyDescent="0.35">
      <c r="A158" s="76"/>
      <c r="B158" s="811"/>
      <c r="C158" s="812"/>
      <c r="D158" s="1087"/>
      <c r="E158" s="641" t="s">
        <v>98</v>
      </c>
      <c r="F158" s="839"/>
      <c r="G158" s="840"/>
      <c r="H158" s="857"/>
      <c r="I158" s="963"/>
      <c r="J158" s="607"/>
      <c r="K158" s="304"/>
      <c r="L158" s="310"/>
      <c r="M158" s="227"/>
    </row>
    <row r="159" spans="1:18" s="42" customFormat="1" ht="15" customHeight="1" x14ac:dyDescent="0.35">
      <c r="A159" s="76"/>
      <c r="B159" s="811"/>
      <c r="C159" s="150"/>
      <c r="D159" s="1073" t="s">
        <v>112</v>
      </c>
      <c r="E159" s="651" t="s">
        <v>30</v>
      </c>
      <c r="F159" s="930" t="s">
        <v>212</v>
      </c>
      <c r="G159" s="859">
        <v>200</v>
      </c>
      <c r="H159" s="837"/>
      <c r="I159" s="865"/>
      <c r="J159" s="357" t="s">
        <v>107</v>
      </c>
      <c r="K159" s="333">
        <v>100</v>
      </c>
      <c r="L159" s="341"/>
      <c r="M159" s="786"/>
    </row>
    <row r="160" spans="1:18" s="42" customFormat="1" ht="15" customHeight="1" x14ac:dyDescent="0.35">
      <c r="A160" s="76"/>
      <c r="B160" s="811"/>
      <c r="C160" s="150"/>
      <c r="D160" s="1074"/>
      <c r="E160" s="572" t="s">
        <v>154</v>
      </c>
      <c r="F160" s="929"/>
      <c r="G160" s="854"/>
      <c r="H160" s="845"/>
      <c r="I160" s="855"/>
      <c r="J160" s="291"/>
      <c r="K160" s="303"/>
      <c r="L160" s="196"/>
      <c r="M160" s="226"/>
    </row>
    <row r="161" spans="1:38" s="42" customFormat="1" ht="15" customHeight="1" x14ac:dyDescent="0.35">
      <c r="A161" s="76"/>
      <c r="B161" s="811"/>
      <c r="C161" s="150"/>
      <c r="D161" s="1075"/>
      <c r="E161" s="656" t="s">
        <v>98</v>
      </c>
      <c r="F161" s="964"/>
      <c r="G161" s="840"/>
      <c r="H161" s="857"/>
      <c r="I161" s="963"/>
      <c r="J161" s="796"/>
      <c r="K161" s="303"/>
      <c r="L161" s="196"/>
      <c r="M161" s="226"/>
    </row>
    <row r="162" spans="1:38" s="44" customFormat="1" ht="15" customHeight="1" thickBot="1" x14ac:dyDescent="0.35">
      <c r="A162" s="96"/>
      <c r="B162" s="97"/>
      <c r="C162" s="139"/>
      <c r="D162" s="782"/>
      <c r="E162" s="151"/>
      <c r="F162" s="167" t="s">
        <v>19</v>
      </c>
      <c r="G162" s="403">
        <f>+G153+G154</f>
        <v>928.3</v>
      </c>
      <c r="H162" s="123">
        <f>+H153+H154</f>
        <v>0</v>
      </c>
      <c r="I162" s="371">
        <f>+I153+I154</f>
        <v>0</v>
      </c>
      <c r="J162" s="389"/>
      <c r="K162" s="305"/>
      <c r="L162" s="311"/>
      <c r="M162" s="122"/>
    </row>
    <row r="163" spans="1:38" s="44" customFormat="1" ht="15" customHeight="1" thickBot="1" x14ac:dyDescent="0.4">
      <c r="A163" s="34" t="s">
        <v>10</v>
      </c>
      <c r="B163" s="75" t="s">
        <v>29</v>
      </c>
      <c r="C163" s="1154" t="s">
        <v>32</v>
      </c>
      <c r="D163" s="1155"/>
      <c r="E163" s="1155"/>
      <c r="F163" s="1156"/>
      <c r="G163" s="404">
        <f t="shared" ref="G163:I163" si="45">G162</f>
        <v>928.3</v>
      </c>
      <c r="H163" s="407">
        <f t="shared" si="45"/>
        <v>0</v>
      </c>
      <c r="I163" s="402">
        <f t="shared" si="45"/>
        <v>0</v>
      </c>
      <c r="J163" s="1036"/>
      <c r="K163" s="1037"/>
      <c r="L163" s="1037"/>
      <c r="M163" s="1038"/>
    </row>
    <row r="164" spans="1:38" s="44" customFormat="1" ht="15" customHeight="1" thickBot="1" x14ac:dyDescent="0.4">
      <c r="A164" s="11" t="s">
        <v>10</v>
      </c>
      <c r="B164" s="1141" t="s">
        <v>44</v>
      </c>
      <c r="C164" s="1142"/>
      <c r="D164" s="1142"/>
      <c r="E164" s="1142"/>
      <c r="F164" s="1143"/>
      <c r="G164" s="405">
        <f>G151+G61+G37+G163</f>
        <v>10241.299999999999</v>
      </c>
      <c r="H164" s="408">
        <f>H151+H61+H37+H163</f>
        <v>8866.6</v>
      </c>
      <c r="I164" s="772">
        <f>I151+I61+I37+I163</f>
        <v>7523.5</v>
      </c>
      <c r="J164" s="1144"/>
      <c r="K164" s="1145"/>
      <c r="L164" s="1145"/>
      <c r="M164" s="1146"/>
    </row>
    <row r="165" spans="1:38" s="44" customFormat="1" ht="15" customHeight="1" thickBot="1" x14ac:dyDescent="0.4">
      <c r="A165" s="19" t="s">
        <v>14</v>
      </c>
      <c r="B165" s="1147" t="s">
        <v>45</v>
      </c>
      <c r="C165" s="1148"/>
      <c r="D165" s="1148"/>
      <c r="E165" s="1148"/>
      <c r="F165" s="1149"/>
      <c r="G165" s="406">
        <f t="shared" ref="G165:I165" si="46">G164</f>
        <v>10241.299999999999</v>
      </c>
      <c r="H165" s="409">
        <f t="shared" si="46"/>
        <v>8866.6</v>
      </c>
      <c r="I165" s="773">
        <f t="shared" si="46"/>
        <v>7523.5</v>
      </c>
      <c r="J165" s="1150"/>
      <c r="K165" s="1151"/>
      <c r="L165" s="1151"/>
      <c r="M165" s="1152"/>
    </row>
    <row r="166" spans="1:38" s="815" customFormat="1" ht="17.25" customHeight="1" x14ac:dyDescent="0.35">
      <c r="A166" s="1109" t="s">
        <v>222</v>
      </c>
      <c r="B166" s="1109"/>
      <c r="C166" s="1109"/>
      <c r="D166" s="1109"/>
      <c r="E166" s="1109"/>
      <c r="F166" s="1109"/>
      <c r="G166" s="1109"/>
      <c r="H166" s="1109"/>
      <c r="I166" s="1109"/>
      <c r="J166" s="1109"/>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row>
    <row r="167" spans="1:38" s="35" customFormat="1" ht="15" customHeight="1" x14ac:dyDescent="0.35">
      <c r="A167" s="61"/>
      <c r="B167" s="161"/>
      <c r="C167" s="161"/>
      <c r="D167" s="161"/>
      <c r="E167" s="162"/>
      <c r="F167" s="161"/>
      <c r="G167" s="163"/>
      <c r="H167" s="163"/>
      <c r="I167" s="163"/>
      <c r="J167" s="164"/>
      <c r="K167" s="61"/>
      <c r="L167" s="61"/>
      <c r="M167" s="61"/>
      <c r="N167" s="44"/>
      <c r="O167" s="44"/>
      <c r="P167" s="44"/>
      <c r="Q167" s="44"/>
      <c r="R167" s="44"/>
      <c r="S167" s="44"/>
      <c r="T167" s="44"/>
      <c r="U167" s="44"/>
      <c r="V167" s="44"/>
      <c r="W167" s="44"/>
      <c r="X167" s="44"/>
      <c r="Y167" s="44"/>
    </row>
    <row r="168" spans="1:38" s="20" customFormat="1" ht="16.5" customHeight="1" thickBot="1" x14ac:dyDescent="0.4">
      <c r="A168" s="1128" t="s">
        <v>46</v>
      </c>
      <c r="B168" s="1128"/>
      <c r="C168" s="1128"/>
      <c r="D168" s="1128"/>
      <c r="E168" s="1128"/>
      <c r="F168" s="1128"/>
      <c r="G168" s="1128"/>
      <c r="H168" s="1128"/>
      <c r="I168" s="1128"/>
      <c r="J168" s="6"/>
      <c r="K168" s="6"/>
      <c r="L168" s="6"/>
      <c r="M168" s="6"/>
      <c r="N168" s="44"/>
      <c r="O168" s="44"/>
      <c r="P168" s="44"/>
      <c r="Q168" s="44"/>
      <c r="R168" s="44"/>
      <c r="S168" s="44"/>
      <c r="T168" s="44"/>
      <c r="U168" s="44"/>
      <c r="V168" s="44"/>
      <c r="W168" s="44"/>
      <c r="X168" s="44"/>
      <c r="Y168" s="44"/>
    </row>
    <row r="169" spans="1:38" s="44" customFormat="1" ht="86.75" customHeight="1" thickBot="1" x14ac:dyDescent="0.4">
      <c r="A169" s="1129" t="s">
        <v>47</v>
      </c>
      <c r="B169" s="1130"/>
      <c r="C169" s="1130"/>
      <c r="D169" s="1130"/>
      <c r="E169" s="1130"/>
      <c r="F169" s="1131"/>
      <c r="G169" s="417" t="s">
        <v>135</v>
      </c>
      <c r="H169" s="418" t="s">
        <v>194</v>
      </c>
      <c r="I169" s="419" t="s">
        <v>136</v>
      </c>
      <c r="J169" s="1"/>
      <c r="K169" s="1"/>
      <c r="L169" s="1"/>
      <c r="M169" s="1"/>
    </row>
    <row r="170" spans="1:38" s="44" customFormat="1" ht="15" customHeight="1" x14ac:dyDescent="0.35">
      <c r="A170" s="1132" t="s">
        <v>195</v>
      </c>
      <c r="B170" s="1133"/>
      <c r="C170" s="1133"/>
      <c r="D170" s="1133"/>
      <c r="E170" s="1133"/>
      <c r="F170" s="1134"/>
      <c r="G170" s="426">
        <f>G171+G178+G179+G181+G180+G182</f>
        <v>10171.5</v>
      </c>
      <c r="H170" s="433">
        <f>H171+H178+H179+H181+H180+H182</f>
        <v>8818.7999999999993</v>
      </c>
      <c r="I170" s="420">
        <f>I171+I178+I179+I181+I180+I182</f>
        <v>7503.4999999999991</v>
      </c>
      <c r="J170" s="21"/>
      <c r="K170" s="567"/>
      <c r="L170" s="567"/>
      <c r="M170" s="567"/>
    </row>
    <row r="171" spans="1:38" s="44" customFormat="1" ht="15" customHeight="1" x14ac:dyDescent="0.3">
      <c r="A171" s="1135" t="s">
        <v>48</v>
      </c>
      <c r="B171" s="1136"/>
      <c r="C171" s="1136"/>
      <c r="D171" s="1136"/>
      <c r="E171" s="1136"/>
      <c r="F171" s="1137"/>
      <c r="G171" s="427">
        <f>SUM(G172:G177)</f>
        <v>7708</v>
      </c>
      <c r="H171" s="434">
        <f>SUM(H172:H177)</f>
        <v>8270.2999999999993</v>
      </c>
      <c r="I171" s="421">
        <f>SUM(I172:I177)</f>
        <v>7034.7999999999993</v>
      </c>
      <c r="J171" s="21"/>
      <c r="K171" s="567"/>
      <c r="L171" s="567"/>
      <c r="M171" s="567"/>
    </row>
    <row r="172" spans="1:38" s="44" customFormat="1" ht="15" customHeight="1" x14ac:dyDescent="0.35">
      <c r="A172" s="1138" t="s">
        <v>49</v>
      </c>
      <c r="B172" s="1139"/>
      <c r="C172" s="1139"/>
      <c r="D172" s="1139"/>
      <c r="E172" s="1139"/>
      <c r="F172" s="1140"/>
      <c r="G172" s="428">
        <f>SUMIF(F16:F165,"SB",G16:G165)</f>
        <v>2271.5</v>
      </c>
      <c r="H172" s="435">
        <f>SUMIF(F16:F165,"SB",H16:H165)</f>
        <v>2590.1000000000004</v>
      </c>
      <c r="I172" s="422">
        <f>SUMIF(F16:F165,"SB",I16:I165)</f>
        <v>1187.3999999999999</v>
      </c>
      <c r="J172" s="21"/>
      <c r="K172" s="567"/>
      <c r="L172" s="567"/>
      <c r="M172" s="567"/>
    </row>
    <row r="173" spans="1:38" s="44" customFormat="1" ht="27.5" customHeight="1" x14ac:dyDescent="0.35">
      <c r="A173" s="1119" t="s">
        <v>141</v>
      </c>
      <c r="B173" s="1120"/>
      <c r="C173" s="1120"/>
      <c r="D173" s="1120"/>
      <c r="E173" s="1120"/>
      <c r="F173" s="1121"/>
      <c r="G173" s="429">
        <f>SUMIF(F16:F165,"SB(AA)",G16:G165)</f>
        <v>503.99999999999994</v>
      </c>
      <c r="H173" s="436">
        <f>SUMIF(F16:F165,"SB(AA)",H16:H165)</f>
        <v>592.20000000000005</v>
      </c>
      <c r="I173" s="423">
        <f>SUMIF(F16:F165,"SB(AA)",I16:I165)</f>
        <v>569.4</v>
      </c>
      <c r="J173" s="21"/>
      <c r="K173" s="567"/>
      <c r="L173" s="567"/>
      <c r="M173" s="567"/>
    </row>
    <row r="174" spans="1:38" s="44" customFormat="1" ht="15" customHeight="1" x14ac:dyDescent="0.35">
      <c r="A174" s="1122" t="s">
        <v>50</v>
      </c>
      <c r="B174" s="1123"/>
      <c r="C174" s="1123"/>
      <c r="D174" s="1123"/>
      <c r="E174" s="1123"/>
      <c r="F174" s="1124"/>
      <c r="G174" s="428">
        <f>SUMIF(F16:F165,"SB(VR)",G16:G165)</f>
        <v>4708</v>
      </c>
      <c r="H174" s="435">
        <f>SUMIF(F16:F165,"SB(VR)",H16:H165)</f>
        <v>4708</v>
      </c>
      <c r="I174" s="422">
        <f>SUMIF(F16:F165,"SB(VR)",I16:I165)</f>
        <v>4708</v>
      </c>
      <c r="J174" s="59"/>
      <c r="K174" s="567"/>
      <c r="L174" s="567"/>
      <c r="M174" s="567"/>
    </row>
    <row r="175" spans="1:38" s="44" customFormat="1" ht="15" customHeight="1" x14ac:dyDescent="0.35">
      <c r="A175" s="1122" t="s">
        <v>51</v>
      </c>
      <c r="B175" s="1123"/>
      <c r="C175" s="1123"/>
      <c r="D175" s="1123"/>
      <c r="E175" s="1123"/>
      <c r="F175" s="1124"/>
      <c r="G175" s="428">
        <f>SUMIF(F16:F165,"SB(VB)",G16:G165)</f>
        <v>6.2</v>
      </c>
      <c r="H175" s="435">
        <f>SUMIF(F16:F165,"SB(VB)",H16:H165)</f>
        <v>0</v>
      </c>
      <c r="I175" s="422">
        <f>SUMIF(F16:F165,"SB(VB)",I16:I165)</f>
        <v>0</v>
      </c>
      <c r="J175" s="21"/>
      <c r="K175" s="567"/>
      <c r="L175" s="567"/>
      <c r="M175" s="567"/>
    </row>
    <row r="176" spans="1:38" s="10" customFormat="1" ht="28.25" customHeight="1" x14ac:dyDescent="0.35">
      <c r="A176" s="1125" t="s">
        <v>198</v>
      </c>
      <c r="B176" s="1126"/>
      <c r="C176" s="1126"/>
      <c r="D176" s="1126"/>
      <c r="E176" s="1126"/>
      <c r="F176" s="1127"/>
      <c r="G176" s="568">
        <f>SUMIF(F16:F165,"SB(KPP)",G16:G165)</f>
        <v>150</v>
      </c>
      <c r="H176" s="570">
        <f>SUMIF(F16:F165,"SB(KPP)",H16:H165)</f>
        <v>380</v>
      </c>
      <c r="I176" s="569">
        <f>SUMIF(F16:F165,"SB(KPP)",I16:I165)</f>
        <v>570</v>
      </c>
      <c r="J176" s="567"/>
      <c r="K176" s="567"/>
      <c r="L176" s="567"/>
      <c r="M176" s="567"/>
    </row>
    <row r="177" spans="1:13" s="44" customFormat="1" ht="30" customHeight="1" x14ac:dyDescent="0.35">
      <c r="A177" s="1122" t="s">
        <v>197</v>
      </c>
      <c r="B177" s="1123"/>
      <c r="C177" s="1123"/>
      <c r="D177" s="1123"/>
      <c r="E177" s="1123"/>
      <c r="F177" s="1124"/>
      <c r="G177" s="428">
        <f>SUMIF(F16:F165,"SB(ES)",G16:G165)</f>
        <v>68.3</v>
      </c>
      <c r="H177" s="435">
        <f>SUMIF(F16:F165,"SB(ES)",H16:H165)</f>
        <v>0</v>
      </c>
      <c r="I177" s="422">
        <f>SUMIF(F16:F165,"SB(ES)",I16:I165)</f>
        <v>0</v>
      </c>
      <c r="J177" s="59"/>
      <c r="K177" s="567"/>
      <c r="L177" s="567"/>
      <c r="M177" s="567"/>
    </row>
    <row r="178" spans="1:13" s="44" customFormat="1" ht="27.5" customHeight="1" x14ac:dyDescent="0.35">
      <c r="A178" s="1110" t="s">
        <v>52</v>
      </c>
      <c r="B178" s="1111"/>
      <c r="C178" s="1111"/>
      <c r="D178" s="1111"/>
      <c r="E178" s="1111"/>
      <c r="F178" s="1112"/>
      <c r="G178" s="430">
        <f>SUMIF(F16:F165,"SB(AAL)",G16:G165)</f>
        <v>274.79999999999995</v>
      </c>
      <c r="H178" s="437">
        <f>SUMIF(F16:F165,"SB(AAL)",H16:H165)</f>
        <v>69</v>
      </c>
      <c r="I178" s="424">
        <f>SUMIF(F16:F165,"SB(AAL)",I16:I165)</f>
        <v>0</v>
      </c>
      <c r="J178" s="21"/>
      <c r="K178" s="567"/>
      <c r="L178" s="567"/>
      <c r="M178" s="567"/>
    </row>
    <row r="179" spans="1:13" s="44" customFormat="1" ht="29.75" customHeight="1" x14ac:dyDescent="0.35">
      <c r="A179" s="1113" t="s">
        <v>115</v>
      </c>
      <c r="B179" s="1114"/>
      <c r="C179" s="1114"/>
      <c r="D179" s="1114"/>
      <c r="E179" s="1114"/>
      <c r="F179" s="1115"/>
      <c r="G179" s="430">
        <f>SUMIF(F16:F165,"SB(ESL)",G16:G165)</f>
        <v>45.9</v>
      </c>
      <c r="H179" s="437">
        <f>SUMIF(F16:F165,"SB(ESL)",H16:H165)</f>
        <v>0</v>
      </c>
      <c r="I179" s="424">
        <f>SUMIF(F16:F165,"SB(ESL)",I16:I165)</f>
        <v>0</v>
      </c>
      <c r="J179" s="21"/>
      <c r="K179" s="567"/>
      <c r="L179" s="567"/>
      <c r="M179" s="567"/>
    </row>
    <row r="180" spans="1:13" s="44" customFormat="1" ht="15" customHeight="1" x14ac:dyDescent="0.35">
      <c r="A180" s="1110" t="s">
        <v>113</v>
      </c>
      <c r="B180" s="1111"/>
      <c r="C180" s="1111"/>
      <c r="D180" s="1111"/>
      <c r="E180" s="1111"/>
      <c r="F180" s="1112"/>
      <c r="G180" s="430">
        <f>SUMIF(F16:F165,"SB(VRL)",G16:G165)</f>
        <v>912.9</v>
      </c>
      <c r="H180" s="437">
        <f>SUMIF(F16:F165,"SB(VRL)",H16:H165)</f>
        <v>479.5</v>
      </c>
      <c r="I180" s="424">
        <f>SUMIF(F16:F165,"SB(VRL)",I16:I165)</f>
        <v>468.7</v>
      </c>
      <c r="J180" s="21"/>
      <c r="K180" s="567"/>
      <c r="L180" s="567"/>
      <c r="M180" s="567"/>
    </row>
    <row r="181" spans="1:13" s="44" customFormat="1" ht="15" customHeight="1" x14ac:dyDescent="0.35">
      <c r="A181" s="1110" t="s">
        <v>114</v>
      </c>
      <c r="B181" s="1111"/>
      <c r="C181" s="1111"/>
      <c r="D181" s="1111"/>
      <c r="E181" s="1111"/>
      <c r="F181" s="1112"/>
      <c r="G181" s="430">
        <f>SUMIF(F16:F165,"SB(L)",G16:G165)</f>
        <v>1225.8</v>
      </c>
      <c r="H181" s="437">
        <f>SUMIF(F16:F165,"SB(L)",H16:H165)</f>
        <v>0</v>
      </c>
      <c r="I181" s="424">
        <f>SUMIF(F16:F165,"SB(L)",I16:I165)</f>
        <v>0</v>
      </c>
      <c r="J181" s="21"/>
      <c r="K181" s="567"/>
      <c r="L181" s="567"/>
      <c r="M181" s="567"/>
    </row>
    <row r="182" spans="1:13" s="44" customFormat="1" ht="27.5" customHeight="1" x14ac:dyDescent="0.35">
      <c r="A182" s="1110" t="s">
        <v>97</v>
      </c>
      <c r="B182" s="1111"/>
      <c r="C182" s="1111"/>
      <c r="D182" s="1111"/>
      <c r="E182" s="1111"/>
      <c r="F182" s="1112"/>
      <c r="G182" s="430">
        <f>SUMIF(F16:F165,"SB(VBL)",G16:G165)</f>
        <v>4.0999999999999996</v>
      </c>
      <c r="H182" s="437">
        <f>SUMIF(F16:F165,"SB(VBL)",H16:H165)</f>
        <v>0</v>
      </c>
      <c r="I182" s="424">
        <f>SUMIF(F16:F165,"SB(VBL)",I16:I165)</f>
        <v>0</v>
      </c>
      <c r="J182" s="21"/>
      <c r="K182" s="567"/>
      <c r="L182" s="567"/>
      <c r="M182" s="567"/>
    </row>
    <row r="183" spans="1:13" s="44" customFormat="1" ht="15" customHeight="1" x14ac:dyDescent="0.35">
      <c r="A183" s="1116" t="s">
        <v>53</v>
      </c>
      <c r="B183" s="1117"/>
      <c r="C183" s="1117"/>
      <c r="D183" s="1117"/>
      <c r="E183" s="1117"/>
      <c r="F183" s="1118"/>
      <c r="G183" s="431">
        <f>SUM(G184:G185)</f>
        <v>69.8</v>
      </c>
      <c r="H183" s="438">
        <f>SUM(H184:H185)</f>
        <v>47.8</v>
      </c>
      <c r="I183" s="425">
        <f>SUM(I184:I185)</f>
        <v>20</v>
      </c>
      <c r="J183" s="21"/>
      <c r="K183" s="567"/>
      <c r="L183" s="567"/>
      <c r="M183" s="567"/>
    </row>
    <row r="184" spans="1:13" s="44" customFormat="1" ht="15" customHeight="1" x14ac:dyDescent="0.35">
      <c r="A184" s="1101" t="s">
        <v>55</v>
      </c>
      <c r="B184" s="1102"/>
      <c r="C184" s="1102"/>
      <c r="D184" s="1102"/>
      <c r="E184" s="1102"/>
      <c r="F184" s="1103"/>
      <c r="G184" s="428">
        <f>SUMIF(F16:F165,"LRVB",G16:G165)</f>
        <v>25.8</v>
      </c>
      <c r="H184" s="435">
        <f>SUMIF(F16:F165,"LRVB",H16:H165)</f>
        <v>25.8</v>
      </c>
      <c r="I184" s="422">
        <f>SUMIF(F16:F165,"LRVB",I16:I165)</f>
        <v>20</v>
      </c>
      <c r="J184" s="21"/>
      <c r="K184" s="567"/>
      <c r="L184" s="567"/>
      <c r="M184" s="567"/>
    </row>
    <row r="185" spans="1:13" s="44" customFormat="1" ht="15" customHeight="1" x14ac:dyDescent="0.35">
      <c r="A185" s="1101" t="s">
        <v>56</v>
      </c>
      <c r="B185" s="1102"/>
      <c r="C185" s="1102"/>
      <c r="D185" s="1102"/>
      <c r="E185" s="1102"/>
      <c r="F185" s="1103"/>
      <c r="G185" s="428">
        <f>SUMIF(F16:F165,"Kt",G16:G165)</f>
        <v>44</v>
      </c>
      <c r="H185" s="435">
        <f>SUMIF(F16:F165,"Kt",H16:H165)</f>
        <v>22</v>
      </c>
      <c r="I185" s="422">
        <f>SUMIF(F16:F165,"Kt",I16:I165)</f>
        <v>0</v>
      </c>
      <c r="J185" s="21"/>
      <c r="K185" s="567"/>
      <c r="L185" s="567"/>
      <c r="M185" s="567"/>
    </row>
    <row r="186" spans="1:13" s="44" customFormat="1" ht="15" customHeight="1" thickBot="1" x14ac:dyDescent="0.4">
      <c r="A186" s="1106" t="s">
        <v>57</v>
      </c>
      <c r="B186" s="1107"/>
      <c r="C186" s="1107"/>
      <c r="D186" s="1107"/>
      <c r="E186" s="1107"/>
      <c r="F186" s="1108"/>
      <c r="G186" s="439">
        <f>SUM(G170,G183)</f>
        <v>10241.299999999999</v>
      </c>
      <c r="H186" s="440">
        <f>SUM(H170,H183)</f>
        <v>8866.5999999999985</v>
      </c>
      <c r="I186" s="432">
        <f>SUM(I170,I183)</f>
        <v>7523.4999999999991</v>
      </c>
      <c r="J186" s="7"/>
      <c r="K186" s="41"/>
      <c r="L186" s="41"/>
      <c r="M186" s="41"/>
    </row>
    <row r="187" spans="1:13" s="44" customFormat="1" x14ac:dyDescent="0.35">
      <c r="A187" s="1"/>
      <c r="B187" s="1"/>
      <c r="C187" s="1"/>
      <c r="D187" s="1"/>
      <c r="E187" s="36"/>
      <c r="F187" s="221"/>
      <c r="G187" s="221"/>
      <c r="H187" s="221"/>
      <c r="I187" s="221"/>
      <c r="J187" s="21"/>
      <c r="K187" s="1"/>
      <c r="L187" s="1"/>
      <c r="M187" s="1"/>
    </row>
    <row r="189" spans="1:13" x14ac:dyDescent="0.3">
      <c r="G189" s="48"/>
      <c r="H189" s="48"/>
      <c r="I189" s="48"/>
      <c r="J189" s="48"/>
    </row>
    <row r="190" spans="1:13" x14ac:dyDescent="0.3">
      <c r="J190" s="48"/>
    </row>
    <row r="191" spans="1:13" x14ac:dyDescent="0.3">
      <c r="G191" s="48"/>
      <c r="H191" s="48"/>
      <c r="I191" s="48"/>
      <c r="J191" s="48"/>
    </row>
    <row r="192" spans="1:13" x14ac:dyDescent="0.3">
      <c r="G192" s="571"/>
      <c r="H192" s="571"/>
      <c r="I192" s="571"/>
    </row>
  </sheetData>
  <mergeCells count="125">
    <mergeCell ref="J163:M163"/>
    <mergeCell ref="B164:F164"/>
    <mergeCell ref="J164:M164"/>
    <mergeCell ref="B165:F165"/>
    <mergeCell ref="J165:M165"/>
    <mergeCell ref="D155:D158"/>
    <mergeCell ref="D159:D161"/>
    <mergeCell ref="C163:F163"/>
    <mergeCell ref="D146:D149"/>
    <mergeCell ref="J147:J148"/>
    <mergeCell ref="C151:F151"/>
    <mergeCell ref="J151:M151"/>
    <mergeCell ref="C152:M152"/>
    <mergeCell ref="A186:F186"/>
    <mergeCell ref="A166:J166"/>
    <mergeCell ref="A178:F178"/>
    <mergeCell ref="A179:F179"/>
    <mergeCell ref="A180:F180"/>
    <mergeCell ref="A181:F181"/>
    <mergeCell ref="A182:F182"/>
    <mergeCell ref="A183:F183"/>
    <mergeCell ref="A173:F173"/>
    <mergeCell ref="A174:F174"/>
    <mergeCell ref="A175:F175"/>
    <mergeCell ref="A176:F176"/>
    <mergeCell ref="A177:F177"/>
    <mergeCell ref="A168:I168"/>
    <mergeCell ref="A169:F169"/>
    <mergeCell ref="A170:F170"/>
    <mergeCell ref="A171:F171"/>
    <mergeCell ref="A172:F172"/>
    <mergeCell ref="A146:A149"/>
    <mergeCell ref="B146:B149"/>
    <mergeCell ref="C146:C149"/>
    <mergeCell ref="D128:D130"/>
    <mergeCell ref="D131:D132"/>
    <mergeCell ref="D134:D135"/>
    <mergeCell ref="D137:D139"/>
    <mergeCell ref="A184:F184"/>
    <mergeCell ref="A185:F185"/>
    <mergeCell ref="D153:D154"/>
    <mergeCell ref="A144:A145"/>
    <mergeCell ref="B144:B145"/>
    <mergeCell ref="D125:D127"/>
    <mergeCell ref="D109:D113"/>
    <mergeCell ref="J110:J113"/>
    <mergeCell ref="D115:D117"/>
    <mergeCell ref="D118:D120"/>
    <mergeCell ref="D98:D102"/>
    <mergeCell ref="J98:J99"/>
    <mergeCell ref="C144:C145"/>
    <mergeCell ref="D144:D145"/>
    <mergeCell ref="J144:J145"/>
    <mergeCell ref="J103:J104"/>
    <mergeCell ref="J105:J106"/>
    <mergeCell ref="J84:J88"/>
    <mergeCell ref="D89:D93"/>
    <mergeCell ref="J92:J93"/>
    <mergeCell ref="C62:M62"/>
    <mergeCell ref="D68:D69"/>
    <mergeCell ref="J68:J69"/>
    <mergeCell ref="D70:D72"/>
    <mergeCell ref="D121:D122"/>
    <mergeCell ref="D123:D124"/>
    <mergeCell ref="D75:D83"/>
    <mergeCell ref="A39:A44"/>
    <mergeCell ref="B39:B44"/>
    <mergeCell ref="C39:C44"/>
    <mergeCell ref="D43:D44"/>
    <mergeCell ref="A98:A114"/>
    <mergeCell ref="B98:B114"/>
    <mergeCell ref="C98:C114"/>
    <mergeCell ref="D103:D108"/>
    <mergeCell ref="D84:D88"/>
    <mergeCell ref="D39:D42"/>
    <mergeCell ref="D33:D36"/>
    <mergeCell ref="J45:J46"/>
    <mergeCell ref="D47:D48"/>
    <mergeCell ref="D56:D57"/>
    <mergeCell ref="C61:F61"/>
    <mergeCell ref="J61:M61"/>
    <mergeCell ref="C37:F37"/>
    <mergeCell ref="J37:M37"/>
    <mergeCell ref="C38:M38"/>
    <mergeCell ref="A28:A29"/>
    <mergeCell ref="B28:B29"/>
    <mergeCell ref="C28:C29"/>
    <mergeCell ref="A30:A31"/>
    <mergeCell ref="B30:B31"/>
    <mergeCell ref="C30:C31"/>
    <mergeCell ref="D30:D31"/>
    <mergeCell ref="A24:A26"/>
    <mergeCell ref="B24:B26"/>
    <mergeCell ref="C24:C26"/>
    <mergeCell ref="D24:D25"/>
    <mergeCell ref="D28:D29"/>
    <mergeCell ref="A12:M12"/>
    <mergeCell ref="E9:E11"/>
    <mergeCell ref="F9:F11"/>
    <mergeCell ref="G9:G11"/>
    <mergeCell ref="H9:H11"/>
    <mergeCell ref="E24:E26"/>
    <mergeCell ref="A13:M13"/>
    <mergeCell ref="B14:M14"/>
    <mergeCell ref="C15:M15"/>
    <mergeCell ref="A16:A21"/>
    <mergeCell ref="B16:B21"/>
    <mergeCell ref="C16:C21"/>
    <mergeCell ref="D20:D21"/>
    <mergeCell ref="J20:J21"/>
    <mergeCell ref="D16:D19"/>
    <mergeCell ref="J1:M1"/>
    <mergeCell ref="A4:M4"/>
    <mergeCell ref="A5:M5"/>
    <mergeCell ref="A6:M6"/>
    <mergeCell ref="L8:M8"/>
    <mergeCell ref="A9:A11"/>
    <mergeCell ref="B9:B11"/>
    <mergeCell ref="C9:C11"/>
    <mergeCell ref="D9:D11"/>
    <mergeCell ref="I9:I11"/>
    <mergeCell ref="J9:M9"/>
    <mergeCell ref="J10:J11"/>
    <mergeCell ref="K10:M10"/>
    <mergeCell ref="J2:M2"/>
  </mergeCells>
  <printOptions horizontalCentered="1"/>
  <pageMargins left="0.78740157480314965" right="0.39370078740157483" top="0.39370078740157483" bottom="0.39370078740157483" header="0" footer="0"/>
  <pageSetup paperSize="9" scale="65" orientation="portrait" r:id="rId1"/>
  <rowBreaks count="3" manualBreakCount="3">
    <brk id="55" max="12" man="1"/>
    <brk id="114" max="12" man="1"/>
    <brk id="167" max="12" man="1"/>
  </rowBreaks>
  <ignoredErrors>
    <ignoredError sqref="P142:R142 G164:I164"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89"/>
  <sheetViews>
    <sheetView zoomScaleNormal="100" zoomScaleSheetLayoutView="100" workbookViewId="0">
      <selection activeCell="M71" sqref="M71"/>
    </sheetView>
  </sheetViews>
  <sheetFormatPr defaultColWidth="9.1796875" defaultRowHeight="13" x14ac:dyDescent="0.3"/>
  <cols>
    <col min="1" max="1" width="2.81640625" style="49" customWidth="1"/>
    <col min="2" max="2" width="3.1796875" style="49" customWidth="1"/>
    <col min="3" max="3" width="2.81640625" style="49" customWidth="1"/>
    <col min="4" max="4" width="3.1796875" style="49" customWidth="1"/>
    <col min="5" max="5" width="32.1796875" style="49" customWidth="1"/>
    <col min="6" max="6" width="4.1796875" style="86" customWidth="1"/>
    <col min="7" max="7" width="13.81640625" style="49" customWidth="1"/>
    <col min="8" max="8" width="8" style="49" customWidth="1"/>
    <col min="9" max="12" width="10.1796875" style="49" customWidth="1"/>
    <col min="13" max="13" width="35.81640625" style="49" customWidth="1"/>
    <col min="14" max="17" width="7.1796875" style="49" customWidth="1"/>
    <col min="18" max="18" width="9.1796875" style="49"/>
    <col min="19" max="19" width="15.1796875" style="49" customWidth="1"/>
    <col min="20" max="20" width="7.453125" style="49" customWidth="1"/>
    <col min="21" max="16384" width="9.1796875" style="49"/>
  </cols>
  <sheetData>
    <row r="1" spans="1:17" s="10" customFormat="1" ht="15.5" x14ac:dyDescent="0.35">
      <c r="A1" s="42"/>
      <c r="B1" s="42"/>
      <c r="C1" s="42"/>
      <c r="D1" s="42"/>
      <c r="E1" s="42"/>
      <c r="F1" s="91"/>
      <c r="G1" s="84"/>
      <c r="H1" s="281"/>
      <c r="I1" s="42"/>
      <c r="J1" s="42"/>
      <c r="K1" s="42"/>
      <c r="L1" s="42"/>
      <c r="M1" s="1165" t="s">
        <v>204</v>
      </c>
      <c r="N1" s="1165"/>
      <c r="O1" s="1165"/>
      <c r="P1" s="1165"/>
      <c r="Q1" s="1165"/>
    </row>
    <row r="2" spans="1:17" s="10" customFormat="1" ht="15" customHeight="1" x14ac:dyDescent="0.35">
      <c r="A2" s="42"/>
      <c r="B2" s="42"/>
      <c r="C2" s="42"/>
      <c r="D2" s="42"/>
      <c r="E2" s="35"/>
      <c r="F2" s="92"/>
      <c r="G2" s="93"/>
      <c r="H2" s="94"/>
      <c r="I2" s="176"/>
      <c r="J2" s="176"/>
      <c r="K2" s="176"/>
      <c r="L2" s="176"/>
      <c r="M2" s="176"/>
      <c r="N2" s="176"/>
      <c r="O2" s="176"/>
      <c r="P2" s="176"/>
      <c r="Q2" s="176"/>
    </row>
    <row r="3" spans="1:17" s="42" customFormat="1" ht="15" customHeight="1" x14ac:dyDescent="0.35">
      <c r="A3" s="971" t="s">
        <v>131</v>
      </c>
      <c r="B3" s="971"/>
      <c r="C3" s="971"/>
      <c r="D3" s="971"/>
      <c r="E3" s="971"/>
      <c r="F3" s="971"/>
      <c r="G3" s="971"/>
      <c r="H3" s="971"/>
      <c r="I3" s="971"/>
      <c r="J3" s="971"/>
      <c r="K3" s="971"/>
      <c r="L3" s="971"/>
      <c r="M3" s="971"/>
      <c r="N3" s="971"/>
      <c r="O3" s="971"/>
      <c r="P3" s="971"/>
      <c r="Q3" s="971"/>
    </row>
    <row r="4" spans="1:17" s="44" customFormat="1" ht="15" customHeight="1" x14ac:dyDescent="0.35">
      <c r="A4" s="972" t="s">
        <v>0</v>
      </c>
      <c r="B4" s="972"/>
      <c r="C4" s="972"/>
      <c r="D4" s="972"/>
      <c r="E4" s="972"/>
      <c r="F4" s="972"/>
      <c r="G4" s="972"/>
      <c r="H4" s="972"/>
      <c r="I4" s="972"/>
      <c r="J4" s="972"/>
      <c r="K4" s="972"/>
      <c r="L4" s="972"/>
      <c r="M4" s="972"/>
      <c r="N4" s="972"/>
      <c r="O4" s="972"/>
      <c r="P4" s="972"/>
      <c r="Q4" s="972"/>
    </row>
    <row r="5" spans="1:17" s="44" customFormat="1" ht="15" customHeight="1" x14ac:dyDescent="0.35">
      <c r="A5" s="973" t="s">
        <v>1</v>
      </c>
      <c r="B5" s="973"/>
      <c r="C5" s="973"/>
      <c r="D5" s="973"/>
      <c r="E5" s="973"/>
      <c r="F5" s="973"/>
      <c r="G5" s="973"/>
      <c r="H5" s="973"/>
      <c r="I5" s="973"/>
      <c r="J5" s="973"/>
      <c r="K5" s="973"/>
      <c r="L5" s="973"/>
      <c r="M5" s="973"/>
      <c r="N5" s="973"/>
      <c r="O5" s="973"/>
      <c r="P5" s="973"/>
      <c r="Q5" s="973"/>
    </row>
    <row r="6" spans="1:17" s="44" customFormat="1" ht="13.5" customHeight="1" x14ac:dyDescent="0.35">
      <c r="A6" s="1"/>
      <c r="B6" s="1"/>
      <c r="C6" s="1"/>
      <c r="D6" s="1"/>
      <c r="E6" s="1"/>
      <c r="F6" s="36"/>
      <c r="G6" s="2"/>
      <c r="H6" s="36"/>
      <c r="I6" s="36"/>
      <c r="J6" s="36"/>
      <c r="K6" s="36"/>
      <c r="L6" s="36"/>
      <c r="N6" s="41"/>
      <c r="O6" s="41"/>
      <c r="P6" s="41"/>
      <c r="Q6" s="41"/>
    </row>
    <row r="7" spans="1:17" s="44" customFormat="1" ht="14.5" customHeight="1" thickBot="1" x14ac:dyDescent="0.4">
      <c r="A7" s="1"/>
      <c r="B7" s="1"/>
      <c r="C7" s="1"/>
      <c r="D7" s="1"/>
      <c r="E7" s="1"/>
      <c r="F7" s="36"/>
      <c r="G7" s="2"/>
      <c r="H7" s="36"/>
      <c r="I7" s="272"/>
      <c r="J7" s="272"/>
      <c r="K7" s="272"/>
      <c r="L7" s="272"/>
      <c r="O7" s="273"/>
      <c r="P7" s="974" t="s">
        <v>118</v>
      </c>
      <c r="Q7" s="974"/>
    </row>
    <row r="8" spans="1:17" s="44" customFormat="1" ht="23.25" customHeight="1" thickBot="1" x14ac:dyDescent="0.4">
      <c r="A8" s="975" t="s">
        <v>2</v>
      </c>
      <c r="B8" s="977" t="s">
        <v>3</v>
      </c>
      <c r="C8" s="977" t="s">
        <v>4</v>
      </c>
      <c r="D8" s="977" t="s">
        <v>5</v>
      </c>
      <c r="E8" s="979" t="s">
        <v>6</v>
      </c>
      <c r="F8" s="993" t="s">
        <v>132</v>
      </c>
      <c r="G8" s="1166" t="s">
        <v>133</v>
      </c>
      <c r="H8" s="996" t="s">
        <v>7</v>
      </c>
      <c r="I8" s="1170" t="s">
        <v>134</v>
      </c>
      <c r="J8" s="999" t="s">
        <v>135</v>
      </c>
      <c r="K8" s="1002" t="s">
        <v>194</v>
      </c>
      <c r="L8" s="981" t="s">
        <v>136</v>
      </c>
      <c r="M8" s="984" t="s">
        <v>119</v>
      </c>
      <c r="N8" s="985"/>
      <c r="O8" s="985"/>
      <c r="P8" s="985"/>
      <c r="Q8" s="986"/>
    </row>
    <row r="9" spans="1:17" s="44" customFormat="1" ht="18.75" customHeight="1" x14ac:dyDescent="0.35">
      <c r="A9" s="976"/>
      <c r="B9" s="978"/>
      <c r="C9" s="978"/>
      <c r="D9" s="978"/>
      <c r="E9" s="980"/>
      <c r="F9" s="994"/>
      <c r="G9" s="1167"/>
      <c r="H9" s="997"/>
      <c r="I9" s="1171"/>
      <c r="J9" s="1000"/>
      <c r="K9" s="1003"/>
      <c r="L9" s="982"/>
      <c r="M9" s="1169" t="s">
        <v>6</v>
      </c>
      <c r="N9" s="1163" t="s">
        <v>137</v>
      </c>
      <c r="O9" s="988" t="s">
        <v>125</v>
      </c>
      <c r="P9" s="988"/>
      <c r="Q9" s="989"/>
    </row>
    <row r="10" spans="1:17" s="44" customFormat="1" ht="89.25" customHeight="1" thickBot="1" x14ac:dyDescent="0.4">
      <c r="A10" s="976"/>
      <c r="B10" s="978"/>
      <c r="C10" s="978"/>
      <c r="D10" s="978"/>
      <c r="E10" s="980"/>
      <c r="F10" s="995"/>
      <c r="G10" s="1168"/>
      <c r="H10" s="998"/>
      <c r="I10" s="1172"/>
      <c r="J10" s="1001"/>
      <c r="K10" s="1004"/>
      <c r="L10" s="983"/>
      <c r="M10" s="987"/>
      <c r="N10" s="1164"/>
      <c r="O10" s="282" t="s">
        <v>138</v>
      </c>
      <c r="P10" s="283" t="s">
        <v>139</v>
      </c>
      <c r="Q10" s="284" t="s">
        <v>140</v>
      </c>
    </row>
    <row r="11" spans="1:17" s="3" customFormat="1" ht="15" customHeight="1" x14ac:dyDescent="0.25">
      <c r="A11" s="990" t="s">
        <v>8</v>
      </c>
      <c r="B11" s="991"/>
      <c r="C11" s="991"/>
      <c r="D11" s="991"/>
      <c r="E11" s="991"/>
      <c r="F11" s="991"/>
      <c r="G11" s="991"/>
      <c r="H11" s="991"/>
      <c r="I11" s="991"/>
      <c r="J11" s="991"/>
      <c r="K11" s="991"/>
      <c r="L11" s="991"/>
      <c r="M11" s="991"/>
      <c r="N11" s="991"/>
      <c r="O11" s="991"/>
      <c r="P11" s="991"/>
      <c r="Q11" s="992"/>
    </row>
    <row r="12" spans="1:17" s="3" customFormat="1" ht="15" customHeight="1" x14ac:dyDescent="0.25">
      <c r="A12" s="1006" t="s">
        <v>9</v>
      </c>
      <c r="B12" s="1007"/>
      <c r="C12" s="1007"/>
      <c r="D12" s="1007"/>
      <c r="E12" s="1007"/>
      <c r="F12" s="1007"/>
      <c r="G12" s="1007"/>
      <c r="H12" s="1007"/>
      <c r="I12" s="1007"/>
      <c r="J12" s="1007"/>
      <c r="K12" s="1007"/>
      <c r="L12" s="1007"/>
      <c r="M12" s="1007"/>
      <c r="N12" s="1007"/>
      <c r="O12" s="1007"/>
      <c r="P12" s="1007"/>
      <c r="Q12" s="1008"/>
    </row>
    <row r="13" spans="1:17" s="44" customFormat="1" ht="15" customHeight="1" x14ac:dyDescent="0.35">
      <c r="A13" s="116" t="s">
        <v>10</v>
      </c>
      <c r="B13" s="1009" t="s">
        <v>11</v>
      </c>
      <c r="C13" s="1010"/>
      <c r="D13" s="1010"/>
      <c r="E13" s="1010"/>
      <c r="F13" s="1010"/>
      <c r="G13" s="1010"/>
      <c r="H13" s="1010"/>
      <c r="I13" s="1010"/>
      <c r="J13" s="1010"/>
      <c r="K13" s="1010"/>
      <c r="L13" s="1010"/>
      <c r="M13" s="1010"/>
      <c r="N13" s="1010"/>
      <c r="O13" s="1011"/>
      <c r="P13" s="1011"/>
      <c r="Q13" s="1012"/>
    </row>
    <row r="14" spans="1:17" s="44" customFormat="1" ht="15" customHeight="1" thickBot="1" x14ac:dyDescent="0.4">
      <c r="A14" s="318" t="s">
        <v>10</v>
      </c>
      <c r="B14" s="277" t="s">
        <v>10</v>
      </c>
      <c r="C14" s="1013" t="s">
        <v>12</v>
      </c>
      <c r="D14" s="1014"/>
      <c r="E14" s="1014"/>
      <c r="F14" s="1014"/>
      <c r="G14" s="1014"/>
      <c r="H14" s="1014"/>
      <c r="I14" s="1014"/>
      <c r="J14" s="1014"/>
      <c r="K14" s="1014"/>
      <c r="L14" s="1014"/>
      <c r="M14" s="1014"/>
      <c r="N14" s="1014"/>
      <c r="O14" s="1015"/>
      <c r="P14" s="1015"/>
      <c r="Q14" s="1016"/>
    </row>
    <row r="15" spans="1:17" s="44" customFormat="1" ht="26.25" customHeight="1" x14ac:dyDescent="0.3">
      <c r="A15" s="1017" t="s">
        <v>10</v>
      </c>
      <c r="B15" s="1018" t="s">
        <v>10</v>
      </c>
      <c r="C15" s="1020" t="s">
        <v>10</v>
      </c>
      <c r="D15" s="99"/>
      <c r="E15" s="22" t="s">
        <v>13</v>
      </c>
      <c r="F15" s="194"/>
      <c r="G15" s="100"/>
      <c r="H15" s="53"/>
      <c r="I15" s="200"/>
      <c r="J15" s="319"/>
      <c r="K15" s="310"/>
      <c r="L15" s="310"/>
      <c r="M15" s="320"/>
      <c r="N15" s="321"/>
      <c r="O15" s="322"/>
      <c r="P15" s="323"/>
      <c r="Q15" s="321"/>
    </row>
    <row r="16" spans="1:17" s="44" customFormat="1" ht="15.65" customHeight="1" x14ac:dyDescent="0.35">
      <c r="A16" s="1017"/>
      <c r="B16" s="1019"/>
      <c r="C16" s="1020"/>
      <c r="D16" s="101" t="s">
        <v>10</v>
      </c>
      <c r="E16" s="1021" t="s">
        <v>15</v>
      </c>
      <c r="F16" s="465" t="s">
        <v>154</v>
      </c>
      <c r="G16" s="1173" t="s">
        <v>100</v>
      </c>
      <c r="H16" s="269" t="s">
        <v>16</v>
      </c>
      <c r="I16" s="261">
        <f>4758.2-1</f>
        <v>4757.2</v>
      </c>
      <c r="J16" s="312">
        <v>4708</v>
      </c>
      <c r="K16" s="296">
        <v>4708</v>
      </c>
      <c r="L16" s="295">
        <v>4708</v>
      </c>
      <c r="M16" s="1023" t="s">
        <v>62</v>
      </c>
      <c r="N16" s="620">
        <v>57.1</v>
      </c>
      <c r="O16" s="657">
        <v>58</v>
      </c>
      <c r="P16" s="658">
        <v>58</v>
      </c>
      <c r="Q16" s="659">
        <v>58</v>
      </c>
    </row>
    <row r="17" spans="1:18" s="44" customFormat="1" ht="15.65" customHeight="1" x14ac:dyDescent="0.35">
      <c r="A17" s="1017"/>
      <c r="B17" s="1019"/>
      <c r="C17" s="1020"/>
      <c r="D17" s="99"/>
      <c r="E17" s="1022"/>
      <c r="F17" s="58"/>
      <c r="G17" s="1174"/>
      <c r="H17" s="260" t="s">
        <v>17</v>
      </c>
      <c r="I17" s="270">
        <v>390.6</v>
      </c>
      <c r="J17" s="313">
        <f>5062.8-J16</f>
        <v>354.80000000000018</v>
      </c>
      <c r="K17" s="297">
        <v>354.80000000000018</v>
      </c>
      <c r="L17" s="298">
        <v>354.80000000000018</v>
      </c>
      <c r="M17" s="1024"/>
      <c r="N17" s="228"/>
      <c r="O17" s="299"/>
      <c r="P17" s="306"/>
      <c r="Q17" s="228"/>
    </row>
    <row r="18" spans="1:18" s="44" customFormat="1" ht="15.65" customHeight="1" x14ac:dyDescent="0.35">
      <c r="A18" s="102"/>
      <c r="B18" s="103"/>
      <c r="C18" s="104"/>
      <c r="D18" s="101" t="s">
        <v>20</v>
      </c>
      <c r="E18" s="1092" t="s">
        <v>18</v>
      </c>
      <c r="F18" s="462" t="s">
        <v>154</v>
      </c>
      <c r="G18" s="1175" t="s">
        <v>101</v>
      </c>
      <c r="H18" s="471" t="s">
        <v>16</v>
      </c>
      <c r="I18" s="473">
        <v>73</v>
      </c>
      <c r="J18" s="474"/>
      <c r="K18" s="475"/>
      <c r="L18" s="197"/>
      <c r="M18" s="1023" t="s">
        <v>62</v>
      </c>
      <c r="N18" s="621">
        <v>1.7</v>
      </c>
      <c r="O18" s="622">
        <v>1.8</v>
      </c>
      <c r="P18" s="623">
        <v>1.8</v>
      </c>
      <c r="Q18" s="621">
        <v>1.8</v>
      </c>
    </row>
    <row r="19" spans="1:18" s="44" customFormat="1" ht="15.65" customHeight="1" x14ac:dyDescent="0.35">
      <c r="A19" s="102"/>
      <c r="B19" s="103"/>
      <c r="C19" s="104"/>
      <c r="D19" s="99"/>
      <c r="E19" s="1092"/>
      <c r="F19" s="203"/>
      <c r="G19" s="1175"/>
      <c r="H19" s="472" t="s">
        <v>17</v>
      </c>
      <c r="I19" s="95">
        <v>13.9</v>
      </c>
      <c r="J19" s="114">
        <v>93.8</v>
      </c>
      <c r="K19" s="111">
        <v>93.8</v>
      </c>
      <c r="L19" s="476">
        <v>93.8</v>
      </c>
      <c r="M19" s="1093"/>
      <c r="N19" s="228"/>
      <c r="O19" s="299"/>
      <c r="P19" s="306"/>
      <c r="Q19" s="228"/>
    </row>
    <row r="20" spans="1:18" s="44" customFormat="1" ht="27.5" customHeight="1" x14ac:dyDescent="0.35">
      <c r="A20" s="102"/>
      <c r="B20" s="103"/>
      <c r="C20" s="105"/>
      <c r="D20" s="101" t="s">
        <v>27</v>
      </c>
      <c r="E20" s="774" t="s">
        <v>21</v>
      </c>
      <c r="F20" s="193" t="s">
        <v>154</v>
      </c>
      <c r="G20" s="106" t="s">
        <v>101</v>
      </c>
      <c r="H20" s="52"/>
      <c r="I20" s="210"/>
      <c r="J20" s="314"/>
      <c r="K20" s="110"/>
      <c r="L20" s="110"/>
      <c r="M20" s="285"/>
      <c r="N20" s="222"/>
      <c r="O20" s="300"/>
      <c r="P20" s="307"/>
      <c r="Q20" s="222"/>
    </row>
    <row r="21" spans="1:18" s="44" customFormat="1" ht="20" customHeight="1" x14ac:dyDescent="0.35">
      <c r="A21" s="1017"/>
      <c r="B21" s="1019"/>
      <c r="C21" s="1020"/>
      <c r="D21" s="98"/>
      <c r="E21" s="1028" t="s">
        <v>23</v>
      </c>
      <c r="F21" s="1005"/>
      <c r="G21" s="1176"/>
      <c r="H21" s="107" t="s">
        <v>22</v>
      </c>
      <c r="I21" s="267">
        <v>70</v>
      </c>
      <c r="J21" s="315">
        <v>70</v>
      </c>
      <c r="K21" s="112">
        <v>70</v>
      </c>
      <c r="L21" s="112">
        <v>70</v>
      </c>
      <c r="M21" s="286" t="s">
        <v>82</v>
      </c>
      <c r="N21" s="624">
        <v>1000</v>
      </c>
      <c r="O21" s="625">
        <v>540</v>
      </c>
      <c r="P21" s="626">
        <v>540</v>
      </c>
      <c r="Q21" s="624">
        <v>540</v>
      </c>
    </row>
    <row r="22" spans="1:18" s="44" customFormat="1" ht="16.5" customHeight="1" x14ac:dyDescent="0.35">
      <c r="A22" s="1017"/>
      <c r="B22" s="1019"/>
      <c r="C22" s="1020"/>
      <c r="D22" s="98"/>
      <c r="E22" s="1029"/>
      <c r="F22" s="1005"/>
      <c r="G22" s="1177"/>
      <c r="H22" s="108"/>
      <c r="I22" s="268"/>
      <c r="J22" s="316"/>
      <c r="K22" s="113"/>
      <c r="L22" s="113"/>
      <c r="M22" s="287" t="s">
        <v>24</v>
      </c>
      <c r="N22" s="223">
        <v>190</v>
      </c>
      <c r="O22" s="664">
        <v>190</v>
      </c>
      <c r="P22" s="665">
        <v>190</v>
      </c>
      <c r="Q22" s="223">
        <v>190</v>
      </c>
    </row>
    <row r="23" spans="1:18" s="44" customFormat="1" ht="16.5" customHeight="1" x14ac:dyDescent="0.35">
      <c r="A23" s="1017"/>
      <c r="B23" s="1019"/>
      <c r="C23" s="1020"/>
      <c r="D23" s="98"/>
      <c r="E23" s="62" t="s">
        <v>25</v>
      </c>
      <c r="F23" s="1005"/>
      <c r="G23" s="1177"/>
      <c r="H23" s="168" t="s">
        <v>22</v>
      </c>
      <c r="I23" s="95">
        <v>29.7</v>
      </c>
      <c r="J23" s="114">
        <v>36.1</v>
      </c>
      <c r="K23" s="111">
        <v>36.1</v>
      </c>
      <c r="L23" s="111">
        <v>36.1</v>
      </c>
      <c r="M23" s="288" t="s">
        <v>83</v>
      </c>
      <c r="N23" s="627">
        <v>3.5</v>
      </c>
      <c r="O23" s="661">
        <v>4</v>
      </c>
      <c r="P23" s="662">
        <v>4</v>
      </c>
      <c r="Q23" s="663">
        <v>4</v>
      </c>
      <c r="R23" s="41"/>
    </row>
    <row r="24" spans="1:18" s="44" customFormat="1" ht="14.5" customHeight="1" x14ac:dyDescent="0.35">
      <c r="A24" s="177"/>
      <c r="B24" s="178"/>
      <c r="C24" s="179"/>
      <c r="D24" s="98"/>
      <c r="E24" s="109"/>
      <c r="F24" s="204"/>
      <c r="G24" s="85"/>
      <c r="H24" s="200"/>
      <c r="I24" s="81"/>
      <c r="J24" s="202"/>
      <c r="K24" s="198"/>
      <c r="L24" s="198"/>
      <c r="M24" s="289"/>
      <c r="N24" s="224"/>
      <c r="O24" s="301"/>
      <c r="P24" s="308"/>
      <c r="Q24" s="224"/>
    </row>
    <row r="25" spans="1:18" s="44" customFormat="1" ht="16.5" customHeight="1" x14ac:dyDescent="0.35">
      <c r="A25" s="1017"/>
      <c r="B25" s="1019"/>
      <c r="C25" s="1020"/>
      <c r="D25" s="186" t="s">
        <v>29</v>
      </c>
      <c r="E25" s="1092" t="s">
        <v>28</v>
      </c>
      <c r="F25" s="193" t="s">
        <v>154</v>
      </c>
      <c r="G25" s="1175" t="s">
        <v>100</v>
      </c>
      <c r="H25" s="447" t="s">
        <v>16</v>
      </c>
      <c r="I25" s="489">
        <f>39.1+1</f>
        <v>40.1</v>
      </c>
      <c r="J25" s="474"/>
      <c r="K25" s="111"/>
      <c r="L25" s="378"/>
      <c r="M25" s="482"/>
      <c r="N25" s="480"/>
      <c r="O25" s="479"/>
      <c r="P25" s="478"/>
      <c r="Q25" s="477"/>
    </row>
    <row r="26" spans="1:18" s="44" customFormat="1" ht="28" customHeight="1" x14ac:dyDescent="0.35">
      <c r="A26" s="1017"/>
      <c r="B26" s="1019"/>
      <c r="C26" s="1020"/>
      <c r="D26" s="98"/>
      <c r="E26" s="1092"/>
      <c r="F26" s="462"/>
      <c r="G26" s="1175"/>
      <c r="H26" s="483" t="s">
        <v>17</v>
      </c>
      <c r="I26" s="95"/>
      <c r="J26" s="114">
        <v>15.9</v>
      </c>
      <c r="K26" s="146">
        <v>19.399999999999999</v>
      </c>
      <c r="L26" s="488">
        <v>20.100000000000001</v>
      </c>
      <c r="M26" s="481" t="s">
        <v>84</v>
      </c>
      <c r="N26" s="443">
        <v>6</v>
      </c>
      <c r="O26" s="339">
        <v>5</v>
      </c>
      <c r="P26" s="346">
        <v>5</v>
      </c>
      <c r="Q26" s="666">
        <v>6</v>
      </c>
    </row>
    <row r="27" spans="1:18" s="44" customFormat="1" ht="27" customHeight="1" x14ac:dyDescent="0.35">
      <c r="A27" s="1017"/>
      <c r="B27" s="1019"/>
      <c r="C27" s="1020"/>
      <c r="D27" s="98"/>
      <c r="E27" s="1092"/>
      <c r="F27" s="194"/>
      <c r="G27" s="1175"/>
      <c r="H27" s="68" t="s">
        <v>17</v>
      </c>
      <c r="I27" s="484"/>
      <c r="J27" s="485">
        <v>11.5</v>
      </c>
      <c r="K27" s="486">
        <v>11.5</v>
      </c>
      <c r="L27" s="487"/>
      <c r="M27" s="290" t="s">
        <v>80</v>
      </c>
      <c r="N27" s="225">
        <v>154</v>
      </c>
      <c r="O27" s="302">
        <v>50</v>
      </c>
      <c r="P27" s="309">
        <v>50</v>
      </c>
      <c r="Q27" s="225"/>
    </row>
    <row r="28" spans="1:18" s="44" customFormat="1" ht="26.25" customHeight="1" x14ac:dyDescent="0.35">
      <c r="A28" s="1017"/>
      <c r="B28" s="1019"/>
      <c r="C28" s="1020"/>
      <c r="D28" s="514" t="s">
        <v>14</v>
      </c>
      <c r="E28" s="1021" t="s">
        <v>78</v>
      </c>
      <c r="F28" s="644" t="s">
        <v>98</v>
      </c>
      <c r="G28" s="1178" t="s">
        <v>92</v>
      </c>
      <c r="H28" s="199" t="s">
        <v>17</v>
      </c>
      <c r="I28" s="536">
        <v>384.5</v>
      </c>
      <c r="J28" s="537">
        <v>427.2</v>
      </c>
      <c r="K28" s="538"/>
      <c r="L28" s="111"/>
      <c r="M28" s="505" t="s">
        <v>77</v>
      </c>
      <c r="N28" s="222">
        <v>170</v>
      </c>
      <c r="O28" s="361">
        <v>73</v>
      </c>
      <c r="P28" s="366"/>
      <c r="Q28" s="222"/>
    </row>
    <row r="29" spans="1:18" s="44" customFormat="1" ht="30" customHeight="1" x14ac:dyDescent="0.35">
      <c r="A29" s="1017"/>
      <c r="B29" s="1019"/>
      <c r="C29" s="1020"/>
      <c r="D29" s="98"/>
      <c r="E29" s="1027"/>
      <c r="F29" s="500" t="s">
        <v>220</v>
      </c>
      <c r="G29" s="1179"/>
      <c r="H29" s="200"/>
      <c r="I29" s="539"/>
      <c r="J29" s="540"/>
      <c r="K29" s="541"/>
      <c r="L29" s="541"/>
      <c r="M29" s="292"/>
      <c r="N29" s="200"/>
      <c r="O29" s="304"/>
      <c r="P29" s="310"/>
      <c r="Q29" s="709"/>
    </row>
    <row r="30" spans="1:18" s="44" customFormat="1" ht="20.5" customHeight="1" x14ac:dyDescent="0.35">
      <c r="A30" s="1017"/>
      <c r="B30" s="1019"/>
      <c r="C30" s="1020"/>
      <c r="D30" s="186" t="s">
        <v>75</v>
      </c>
      <c r="E30" s="1058" t="s">
        <v>103</v>
      </c>
      <c r="F30" s="194" t="s">
        <v>154</v>
      </c>
      <c r="G30" s="1178" t="s">
        <v>100</v>
      </c>
      <c r="H30" s="68" t="s">
        <v>16</v>
      </c>
      <c r="I30" s="95">
        <v>9.6999999999999993</v>
      </c>
      <c r="J30" s="474"/>
      <c r="K30" s="475"/>
      <c r="L30" s="111"/>
      <c r="M30" s="291" t="s">
        <v>102</v>
      </c>
      <c r="N30" s="226">
        <v>1</v>
      </c>
      <c r="O30" s="303">
        <v>1</v>
      </c>
      <c r="P30" s="196"/>
      <c r="Q30" s="226"/>
    </row>
    <row r="31" spans="1:18" s="44" customFormat="1" ht="20.5" customHeight="1" x14ac:dyDescent="0.35">
      <c r="A31" s="1017"/>
      <c r="B31" s="1019"/>
      <c r="C31" s="1020"/>
      <c r="D31" s="98"/>
      <c r="E31" s="1027"/>
      <c r="F31" s="203"/>
      <c r="G31" s="1179"/>
      <c r="H31" s="454" t="s">
        <v>17</v>
      </c>
      <c r="I31" s="484"/>
      <c r="J31" s="485">
        <v>9.6999999999999993</v>
      </c>
      <c r="K31" s="486"/>
      <c r="L31" s="476"/>
      <c r="M31" s="292"/>
      <c r="N31" s="227"/>
      <c r="O31" s="304"/>
      <c r="P31" s="310"/>
      <c r="Q31" s="227"/>
    </row>
    <row r="32" spans="1:18" s="44" customFormat="1" ht="20.5" customHeight="1" x14ac:dyDescent="0.35">
      <c r="A32" s="693"/>
      <c r="B32" s="694"/>
      <c r="C32" s="150"/>
      <c r="D32" s="692" t="s">
        <v>129</v>
      </c>
      <c r="E32" s="1030" t="s">
        <v>181</v>
      </c>
      <c r="F32" s="691" t="s">
        <v>156</v>
      </c>
      <c r="G32" s="1178" t="s">
        <v>100</v>
      </c>
      <c r="H32" s="695" t="s">
        <v>182</v>
      </c>
      <c r="I32" s="696"/>
      <c r="J32" s="697">
        <v>5.8</v>
      </c>
      <c r="K32" s="698">
        <v>5.8</v>
      </c>
      <c r="L32" s="378"/>
      <c r="M32" s="699" t="s">
        <v>183</v>
      </c>
      <c r="N32" s="695"/>
      <c r="O32" s="700">
        <v>35</v>
      </c>
      <c r="P32" s="701">
        <v>35</v>
      </c>
      <c r="Q32" s="702"/>
    </row>
    <row r="33" spans="1:17" s="44" customFormat="1" ht="20.5" customHeight="1" x14ac:dyDescent="0.35">
      <c r="A33" s="693"/>
      <c r="B33" s="694"/>
      <c r="C33" s="150"/>
      <c r="D33" s="50"/>
      <c r="E33" s="1032"/>
      <c r="F33" s="203"/>
      <c r="G33" s="1182"/>
      <c r="H33" s="68"/>
      <c r="I33" s="95"/>
      <c r="J33" s="535"/>
      <c r="K33" s="111"/>
      <c r="L33" s="140"/>
      <c r="M33" s="593"/>
      <c r="N33" s="222"/>
      <c r="O33" s="300"/>
      <c r="P33" s="307"/>
      <c r="Q33" s="222"/>
    </row>
    <row r="34" spans="1:17" s="44" customFormat="1" ht="20.5" customHeight="1" x14ac:dyDescent="0.35">
      <c r="A34" s="693"/>
      <c r="B34" s="694"/>
      <c r="C34" s="150"/>
      <c r="D34" s="50"/>
      <c r="E34" s="1031"/>
      <c r="F34" s="203"/>
      <c r="G34" s="690"/>
      <c r="H34" s="68"/>
      <c r="I34" s="95"/>
      <c r="J34" s="114"/>
      <c r="K34" s="111"/>
      <c r="L34" s="140"/>
      <c r="M34" s="593"/>
      <c r="N34" s="222"/>
      <c r="O34" s="300"/>
      <c r="P34" s="307"/>
      <c r="Q34" s="222"/>
    </row>
    <row r="35" spans="1:17" s="44" customFormat="1" ht="15.65" customHeight="1" thickBot="1" x14ac:dyDescent="0.35">
      <c r="A35" s="96"/>
      <c r="B35" s="97"/>
      <c r="C35" s="38"/>
      <c r="D35" s="124"/>
      <c r="E35" s="125"/>
      <c r="F35" s="126"/>
      <c r="G35" s="127"/>
      <c r="H35" s="149" t="s">
        <v>19</v>
      </c>
      <c r="I35" s="213">
        <f>SUM(I16:I34)</f>
        <v>5768.7</v>
      </c>
      <c r="J35" s="317">
        <f>SUM(J16:J34)</f>
        <v>5732.8</v>
      </c>
      <c r="K35" s="317">
        <f t="shared" ref="K35:L35" si="0">SUM(K16:K34)</f>
        <v>5299.4000000000005</v>
      </c>
      <c r="L35" s="317">
        <f t="shared" si="0"/>
        <v>5282.8000000000011</v>
      </c>
      <c r="M35" s="293"/>
      <c r="N35" s="122"/>
      <c r="O35" s="305"/>
      <c r="P35" s="311"/>
      <c r="Q35" s="122"/>
    </row>
    <row r="36" spans="1:17" s="44" customFormat="1" ht="15" customHeight="1" thickBot="1" x14ac:dyDescent="0.4">
      <c r="A36" s="8" t="s">
        <v>10</v>
      </c>
      <c r="B36" s="9" t="s">
        <v>10</v>
      </c>
      <c r="C36" s="1039" t="s">
        <v>32</v>
      </c>
      <c r="D36" s="1040"/>
      <c r="E36" s="1040"/>
      <c r="F36" s="1040"/>
      <c r="G36" s="1040"/>
      <c r="H36" s="1041"/>
      <c r="I36" s="219">
        <f>I35</f>
        <v>5768.7</v>
      </c>
      <c r="J36" s="324">
        <f t="shared" ref="J36:L36" si="1">J35</f>
        <v>5732.8</v>
      </c>
      <c r="K36" s="121">
        <f t="shared" si="1"/>
        <v>5299.4000000000005</v>
      </c>
      <c r="L36" s="325">
        <f t="shared" si="1"/>
        <v>5282.8000000000011</v>
      </c>
      <c r="M36" s="1036"/>
      <c r="N36" s="1037"/>
      <c r="O36" s="1037"/>
      <c r="P36" s="1037"/>
      <c r="Q36" s="1038"/>
    </row>
    <row r="37" spans="1:17" s="44" customFormat="1" ht="15" customHeight="1" thickBot="1" x14ac:dyDescent="0.4">
      <c r="A37" s="8" t="s">
        <v>10</v>
      </c>
      <c r="B37" s="215" t="s">
        <v>20</v>
      </c>
      <c r="C37" s="1042" t="s">
        <v>33</v>
      </c>
      <c r="D37" s="1043"/>
      <c r="E37" s="1043"/>
      <c r="F37" s="1043"/>
      <c r="G37" s="1043"/>
      <c r="H37" s="1043"/>
      <c r="I37" s="1043"/>
      <c r="J37" s="1043"/>
      <c r="K37" s="1043"/>
      <c r="L37" s="1043"/>
      <c r="M37" s="1043"/>
      <c r="N37" s="1043"/>
      <c r="O37" s="1043"/>
      <c r="P37" s="1043"/>
      <c r="Q37" s="1044"/>
    </row>
    <row r="38" spans="1:17" s="44" customFormat="1" ht="30.65" customHeight="1" x14ac:dyDescent="0.35">
      <c r="A38" s="1045" t="s">
        <v>10</v>
      </c>
      <c r="B38" s="1046" t="s">
        <v>20</v>
      </c>
      <c r="C38" s="1048" t="s">
        <v>10</v>
      </c>
      <c r="D38" s="216"/>
      <c r="E38" s="217" t="s">
        <v>60</v>
      </c>
      <c r="F38" s="218"/>
      <c r="G38" s="1180" t="s">
        <v>100</v>
      </c>
      <c r="H38" s="47"/>
      <c r="I38" s="353"/>
      <c r="J38" s="202"/>
      <c r="K38" s="198"/>
      <c r="L38" s="198"/>
      <c r="M38" s="320"/>
      <c r="N38" s="225"/>
      <c r="O38" s="332"/>
      <c r="P38" s="340"/>
      <c r="Q38" s="225"/>
    </row>
    <row r="39" spans="1:17" s="44" customFormat="1" ht="26.5" customHeight="1" x14ac:dyDescent="0.35">
      <c r="A39" s="1017"/>
      <c r="B39" s="1047"/>
      <c r="C39" s="1048"/>
      <c r="D39" s="50" t="s">
        <v>10</v>
      </c>
      <c r="E39" s="1032" t="s">
        <v>34</v>
      </c>
      <c r="F39" s="645" t="s">
        <v>221</v>
      </c>
      <c r="G39" s="1180"/>
      <c r="H39" s="168" t="s">
        <v>22</v>
      </c>
      <c r="I39" s="95">
        <v>37.700000000000003</v>
      </c>
      <c r="J39" s="114">
        <v>142.5</v>
      </c>
      <c r="K39" s="111">
        <v>180.1</v>
      </c>
      <c r="L39" s="490">
        <v>198.8</v>
      </c>
      <c r="M39" s="356" t="s">
        <v>35</v>
      </c>
      <c r="N39" s="447">
        <v>6</v>
      </c>
      <c r="O39" s="372">
        <v>2</v>
      </c>
      <c r="P39" s="374">
        <v>3</v>
      </c>
      <c r="Q39" s="445">
        <v>5</v>
      </c>
    </row>
    <row r="40" spans="1:17" s="44" customFormat="1" ht="28.5" customHeight="1" x14ac:dyDescent="0.35">
      <c r="A40" s="1017"/>
      <c r="B40" s="1047"/>
      <c r="C40" s="1048"/>
      <c r="D40" s="187"/>
      <c r="E40" s="1031"/>
      <c r="F40" s="646" t="s">
        <v>98</v>
      </c>
      <c r="G40" s="1181"/>
      <c r="H40" s="263" t="s">
        <v>26</v>
      </c>
      <c r="I40" s="484"/>
      <c r="J40" s="485">
        <f>5.8+12</f>
        <v>17.8</v>
      </c>
      <c r="K40" s="486"/>
      <c r="L40" s="111"/>
      <c r="M40" s="320" t="s">
        <v>185</v>
      </c>
      <c r="N40" s="669"/>
      <c r="O40" s="334">
        <v>5</v>
      </c>
      <c r="P40" s="342">
        <v>5</v>
      </c>
      <c r="Q40" s="669">
        <v>5</v>
      </c>
    </row>
    <row r="41" spans="1:17" s="44" customFormat="1" ht="20.149999999999999" customHeight="1" x14ac:dyDescent="0.35">
      <c r="A41" s="76"/>
      <c r="B41" s="183"/>
      <c r="C41" s="185"/>
      <c r="D41" s="32" t="s">
        <v>20</v>
      </c>
      <c r="E41" s="466" t="s">
        <v>36</v>
      </c>
      <c r="F41" s="647" t="s">
        <v>154</v>
      </c>
      <c r="G41" s="195"/>
      <c r="H41" s="52" t="s">
        <v>22</v>
      </c>
      <c r="I41" s="210">
        <v>15.8</v>
      </c>
      <c r="J41" s="201">
        <v>15.8</v>
      </c>
      <c r="K41" s="197">
        <v>15.8</v>
      </c>
      <c r="L41" s="326">
        <v>15.8</v>
      </c>
      <c r="M41" s="1023" t="s">
        <v>184</v>
      </c>
      <c r="N41" s="82">
        <v>10</v>
      </c>
      <c r="O41" s="335">
        <v>9</v>
      </c>
      <c r="P41" s="343">
        <v>9</v>
      </c>
      <c r="Q41" s="82">
        <v>9</v>
      </c>
    </row>
    <row r="42" spans="1:17" s="44" customFormat="1" ht="23.15" customHeight="1" x14ac:dyDescent="0.35">
      <c r="A42" s="76"/>
      <c r="B42" s="183"/>
      <c r="C42" s="185"/>
      <c r="D42" s="45"/>
      <c r="E42" s="29"/>
      <c r="F42" s="87" t="s">
        <v>98</v>
      </c>
      <c r="G42" s="195"/>
      <c r="H42" s="200"/>
      <c r="I42" s="95"/>
      <c r="J42" s="114"/>
      <c r="K42" s="198"/>
      <c r="L42" s="114"/>
      <c r="M42" s="1024"/>
      <c r="N42" s="230"/>
      <c r="O42" s="336"/>
      <c r="P42" s="344"/>
      <c r="Q42" s="230"/>
    </row>
    <row r="43" spans="1:17" s="44" customFormat="1" ht="16" customHeight="1" x14ac:dyDescent="0.35">
      <c r="A43" s="76"/>
      <c r="B43" s="183"/>
      <c r="C43" s="179"/>
      <c r="D43" s="32" t="s">
        <v>27</v>
      </c>
      <c r="E43" s="1030" t="s">
        <v>69</v>
      </c>
      <c r="F43" s="742" t="s">
        <v>154</v>
      </c>
      <c r="G43" s="195"/>
      <c r="H43" s="199" t="s">
        <v>22</v>
      </c>
      <c r="I43" s="210">
        <f>10-5</f>
        <v>5</v>
      </c>
      <c r="J43" s="752">
        <v>5</v>
      </c>
      <c r="K43" s="296">
        <v>5</v>
      </c>
      <c r="L43" s="753">
        <v>5</v>
      </c>
      <c r="M43" s="744" t="s">
        <v>70</v>
      </c>
      <c r="N43" s="64">
        <v>100</v>
      </c>
      <c r="O43" s="333">
        <v>200</v>
      </c>
      <c r="P43" s="341">
        <v>100</v>
      </c>
      <c r="Q43" s="737">
        <v>100</v>
      </c>
    </row>
    <row r="44" spans="1:17" s="44" customFormat="1" ht="16" customHeight="1" x14ac:dyDescent="0.35">
      <c r="A44" s="76"/>
      <c r="B44" s="747"/>
      <c r="C44" s="748"/>
      <c r="D44" s="743"/>
      <c r="E44" s="1031"/>
      <c r="F44" s="58"/>
      <c r="G44" s="738"/>
      <c r="H44" s="754" t="s">
        <v>26</v>
      </c>
      <c r="I44" s="484"/>
      <c r="J44" s="750">
        <v>5</v>
      </c>
      <c r="K44" s="751"/>
      <c r="L44" s="751"/>
      <c r="M44" s="745"/>
      <c r="N44" s="31"/>
      <c r="O44" s="334"/>
      <c r="P44" s="342"/>
      <c r="Q44" s="739"/>
    </row>
    <row r="45" spans="1:17" s="44" customFormat="1" ht="24.65" customHeight="1" x14ac:dyDescent="0.35">
      <c r="A45" s="177"/>
      <c r="B45" s="183"/>
      <c r="C45" s="185"/>
      <c r="D45" s="50" t="s">
        <v>29</v>
      </c>
      <c r="E45" s="180" t="s">
        <v>126</v>
      </c>
      <c r="F45" s="639" t="s">
        <v>90</v>
      </c>
      <c r="G45" s="276"/>
      <c r="H45" s="107" t="s">
        <v>22</v>
      </c>
      <c r="I45" s="210">
        <v>14.6</v>
      </c>
      <c r="J45" s="755">
        <v>15</v>
      </c>
      <c r="K45" s="197"/>
      <c r="L45" s="378"/>
      <c r="M45" s="356" t="s">
        <v>104</v>
      </c>
      <c r="N45" s="229">
        <v>8</v>
      </c>
      <c r="O45" s="339">
        <v>2</v>
      </c>
      <c r="P45" s="348"/>
      <c r="Q45" s="229"/>
    </row>
    <row r="46" spans="1:17" s="44" customFormat="1" ht="30.65" customHeight="1" x14ac:dyDescent="0.35">
      <c r="A46" s="274"/>
      <c r="B46" s="277"/>
      <c r="C46" s="139"/>
      <c r="D46" s="50"/>
      <c r="E46" s="279"/>
      <c r="F46" s="648" t="s">
        <v>154</v>
      </c>
      <c r="G46" s="147"/>
      <c r="H46" s="108"/>
      <c r="I46" s="95"/>
      <c r="J46" s="330"/>
      <c r="K46" s="113"/>
      <c r="L46" s="441"/>
      <c r="M46" s="442" t="s">
        <v>143</v>
      </c>
      <c r="N46" s="443"/>
      <c r="O46" s="338">
        <v>2</v>
      </c>
      <c r="P46" s="347"/>
      <c r="Q46" s="244"/>
    </row>
    <row r="47" spans="1:17" s="44" customFormat="1" ht="15" customHeight="1" x14ac:dyDescent="0.35">
      <c r="A47" s="258"/>
      <c r="B47" s="259"/>
      <c r="C47" s="139"/>
      <c r="D47" s="50"/>
      <c r="E47" s="257"/>
      <c r="F47" s="648" t="s">
        <v>98</v>
      </c>
      <c r="G47" s="1183" t="s">
        <v>101</v>
      </c>
      <c r="H47" s="262" t="s">
        <v>22</v>
      </c>
      <c r="I47" s="267">
        <v>32.700000000000003</v>
      </c>
      <c r="J47" s="315"/>
      <c r="K47" s="112"/>
      <c r="L47" s="328"/>
      <c r="M47" s="357" t="s">
        <v>128</v>
      </c>
      <c r="N47" s="244">
        <v>1</v>
      </c>
      <c r="O47" s="732">
        <v>1</v>
      </c>
      <c r="P47" s="347">
        <v>1</v>
      </c>
      <c r="Q47" s="676">
        <v>1</v>
      </c>
    </row>
    <row r="48" spans="1:17" s="44" customFormat="1" ht="15" customHeight="1" x14ac:dyDescent="0.35">
      <c r="A48" s="258"/>
      <c r="B48" s="259"/>
      <c r="C48" s="139"/>
      <c r="D48" s="50"/>
      <c r="E48" s="257"/>
      <c r="F48" s="265"/>
      <c r="G48" s="1182"/>
      <c r="H48" s="262" t="s">
        <v>31</v>
      </c>
      <c r="I48" s="271">
        <f>35.1</f>
        <v>35.1</v>
      </c>
      <c r="J48" s="350">
        <f>989.7-589.7</f>
        <v>400</v>
      </c>
      <c r="K48" s="146">
        <f>-60.1+589.7</f>
        <v>529.6</v>
      </c>
      <c r="L48" s="677">
        <v>60.1</v>
      </c>
      <c r="M48" s="291"/>
      <c r="N48" s="226"/>
      <c r="O48" s="303"/>
      <c r="P48" s="196"/>
      <c r="Q48" s="226"/>
    </row>
    <row r="49" spans="1:17" s="44" customFormat="1" ht="15" customHeight="1" x14ac:dyDescent="0.35">
      <c r="A49" s="727"/>
      <c r="B49" s="728"/>
      <c r="C49" s="139"/>
      <c r="D49" s="50"/>
      <c r="E49" s="726"/>
      <c r="F49" s="265"/>
      <c r="G49" s="1182"/>
      <c r="H49" s="262" t="s">
        <v>67</v>
      </c>
      <c r="I49" s="268"/>
      <c r="J49" s="316">
        <v>35.1</v>
      </c>
      <c r="K49" s="113"/>
      <c r="L49" s="329"/>
      <c r="M49" s="291"/>
      <c r="N49" s="226"/>
      <c r="O49" s="303"/>
      <c r="P49" s="196"/>
      <c r="Q49" s="226"/>
    </row>
    <row r="50" spans="1:17" s="44" customFormat="1" ht="15" customHeight="1" x14ac:dyDescent="0.35">
      <c r="A50" s="258"/>
      <c r="B50" s="259"/>
      <c r="C50" s="139"/>
      <c r="D50" s="50"/>
      <c r="E50" s="257"/>
      <c r="F50" s="266"/>
      <c r="G50" s="1184"/>
      <c r="H50" s="263" t="s">
        <v>26</v>
      </c>
      <c r="I50" s="268">
        <v>20.2</v>
      </c>
      <c r="J50" s="316">
        <v>52.9</v>
      </c>
      <c r="K50" s="113"/>
      <c r="L50" s="329"/>
      <c r="M50" s="291"/>
      <c r="N50" s="331"/>
      <c r="O50" s="339"/>
      <c r="P50" s="348"/>
      <c r="Q50" s="331"/>
    </row>
    <row r="51" spans="1:17" s="44" customFormat="1" ht="21" customHeight="1" x14ac:dyDescent="0.35">
      <c r="A51" s="714"/>
      <c r="B51" s="715"/>
      <c r="C51" s="139"/>
      <c r="D51" s="50"/>
      <c r="E51" s="713"/>
      <c r="F51" s="266"/>
      <c r="G51" s="1183" t="s">
        <v>127</v>
      </c>
      <c r="H51" s="107" t="s">
        <v>31</v>
      </c>
      <c r="I51" s="271">
        <f>200+598</f>
        <v>798</v>
      </c>
      <c r="J51" s="316"/>
      <c r="K51" s="113"/>
      <c r="L51" s="717"/>
      <c r="M51" s="357" t="s">
        <v>128</v>
      </c>
      <c r="N51" s="561">
        <v>1</v>
      </c>
      <c r="O51" s="338">
        <v>1</v>
      </c>
      <c r="P51" s="444"/>
      <c r="Q51" s="226"/>
    </row>
    <row r="52" spans="1:17" s="44" customFormat="1" ht="21" customHeight="1" x14ac:dyDescent="0.35">
      <c r="A52" s="258"/>
      <c r="B52" s="259"/>
      <c r="C52" s="139"/>
      <c r="D52" s="50"/>
      <c r="E52" s="257"/>
      <c r="F52" s="217"/>
      <c r="G52" s="1179"/>
      <c r="H52" s="719" t="s">
        <v>67</v>
      </c>
      <c r="J52" s="485">
        <v>446.9</v>
      </c>
      <c r="K52" s="146"/>
      <c r="L52" s="718"/>
      <c r="M52" s="720"/>
      <c r="O52" s="334"/>
      <c r="P52" s="342"/>
      <c r="Q52" s="716"/>
    </row>
    <row r="53" spans="1:17" s="44" customFormat="1" ht="43.75" customHeight="1" x14ac:dyDescent="0.35">
      <c r="A53" s="177"/>
      <c r="B53" s="183"/>
      <c r="C53" s="139"/>
      <c r="D53" s="145" t="s">
        <v>14</v>
      </c>
      <c r="E53" s="141" t="s">
        <v>201</v>
      </c>
      <c r="F53" s="648" t="s">
        <v>154</v>
      </c>
      <c r="G53" s="660" t="s">
        <v>100</v>
      </c>
      <c r="H53" s="51" t="s">
        <v>22</v>
      </c>
      <c r="I53" s="354">
        <v>2.5</v>
      </c>
      <c r="J53" s="349"/>
      <c r="K53" s="119"/>
      <c r="L53" s="119"/>
      <c r="M53" s="294" t="s">
        <v>105</v>
      </c>
      <c r="N53" s="83">
        <v>1</v>
      </c>
      <c r="O53" s="337"/>
      <c r="P53" s="345"/>
      <c r="Q53" s="83"/>
    </row>
    <row r="54" spans="1:17" s="44" customFormat="1" ht="41.5" customHeight="1" x14ac:dyDescent="0.35">
      <c r="A54" s="274"/>
      <c r="B54" s="277"/>
      <c r="C54" s="139"/>
      <c r="D54" s="32" t="s">
        <v>75</v>
      </c>
      <c r="E54" s="141" t="s">
        <v>144</v>
      </c>
      <c r="F54" s="639" t="s">
        <v>154</v>
      </c>
      <c r="G54" s="638"/>
      <c r="H54" s="51" t="s">
        <v>22</v>
      </c>
      <c r="I54" s="210"/>
      <c r="J54" s="491">
        <v>30</v>
      </c>
      <c r="K54" s="492">
        <v>80</v>
      </c>
      <c r="L54" s="685">
        <v>80</v>
      </c>
      <c r="M54" s="294" t="s">
        <v>145</v>
      </c>
      <c r="N54" s="143"/>
      <c r="O54" s="497">
        <v>10</v>
      </c>
      <c r="P54" s="345">
        <v>55</v>
      </c>
      <c r="Q54" s="231">
        <v>100</v>
      </c>
    </row>
    <row r="55" spans="1:17" s="44" customFormat="1" ht="17.5" customHeight="1" x14ac:dyDescent="0.35">
      <c r="A55" s="467"/>
      <c r="B55" s="468"/>
      <c r="C55" s="139"/>
      <c r="D55" s="679" t="s">
        <v>129</v>
      </c>
      <c r="E55" s="1030" t="s">
        <v>155</v>
      </c>
      <c r="F55" s="687" t="s">
        <v>98</v>
      </c>
      <c r="G55" s="638"/>
      <c r="H55" s="168" t="s">
        <v>31</v>
      </c>
      <c r="I55" s="210"/>
      <c r="J55" s="327"/>
      <c r="K55" s="197">
        <v>20</v>
      </c>
      <c r="L55" s="140"/>
      <c r="M55" s="285" t="s">
        <v>159</v>
      </c>
      <c r="N55" s="68"/>
      <c r="O55" s="444"/>
      <c r="P55" s="196">
        <v>20</v>
      </c>
      <c r="Q55" s="610"/>
    </row>
    <row r="56" spans="1:17" s="44" customFormat="1" ht="17.5" customHeight="1" x14ac:dyDescent="0.35">
      <c r="A56" s="616"/>
      <c r="B56" s="617"/>
      <c r="C56" s="139"/>
      <c r="D56" s="50"/>
      <c r="E56" s="1031"/>
      <c r="F56" s="688" t="s">
        <v>156</v>
      </c>
      <c r="G56" s="638"/>
      <c r="H56" s="168"/>
      <c r="I56" s="81"/>
      <c r="J56" s="370"/>
      <c r="K56" s="198"/>
      <c r="L56" s="140"/>
      <c r="M56" s="291"/>
      <c r="N56" s="68"/>
      <c r="O56" s="444"/>
      <c r="P56" s="196"/>
      <c r="Q56" s="226"/>
    </row>
    <row r="57" spans="1:17" s="44" customFormat="1" ht="40" customHeight="1" x14ac:dyDescent="0.35">
      <c r="A57" s="467"/>
      <c r="B57" s="468"/>
      <c r="C57" s="139"/>
      <c r="D57" s="679" t="s">
        <v>146</v>
      </c>
      <c r="E57" s="678" t="s">
        <v>158</v>
      </c>
      <c r="F57" s="741" t="s">
        <v>156</v>
      </c>
      <c r="G57" s="638"/>
      <c r="H57" s="51" t="s">
        <v>31</v>
      </c>
      <c r="I57" s="210">
        <v>1.1000000000000001</v>
      </c>
      <c r="J57" s="327">
        <v>7.4</v>
      </c>
      <c r="K57" s="119">
        <v>8</v>
      </c>
      <c r="L57" s="378">
        <v>9</v>
      </c>
      <c r="M57" s="294" t="s">
        <v>157</v>
      </c>
      <c r="N57" s="64">
        <v>6</v>
      </c>
      <c r="O57" s="333">
        <v>6</v>
      </c>
      <c r="P57" s="341">
        <v>6</v>
      </c>
      <c r="Q57" s="637">
        <v>6</v>
      </c>
    </row>
    <row r="58" spans="1:17" s="44" customFormat="1" ht="40" customHeight="1" x14ac:dyDescent="0.35">
      <c r="A58" s="746"/>
      <c r="B58" s="747"/>
      <c r="C58" s="139"/>
      <c r="D58" s="32" t="s">
        <v>189</v>
      </c>
      <c r="E58" s="736" t="s">
        <v>190</v>
      </c>
      <c r="F58" s="640" t="s">
        <v>156</v>
      </c>
      <c r="G58" s="174"/>
      <c r="H58" s="263" t="s">
        <v>26</v>
      </c>
      <c r="I58" s="210"/>
      <c r="J58" s="377">
        <v>15</v>
      </c>
      <c r="K58" s="756"/>
      <c r="L58" s="756"/>
      <c r="M58" s="294" t="s">
        <v>191</v>
      </c>
      <c r="N58" s="64"/>
      <c r="O58" s="565">
        <v>1</v>
      </c>
      <c r="P58" s="341"/>
      <c r="Q58" s="740"/>
    </row>
    <row r="59" spans="1:17" s="44" customFormat="1" ht="18" customHeight="1" thickBot="1" x14ac:dyDescent="0.35">
      <c r="A59" s="96"/>
      <c r="B59" s="97"/>
      <c r="C59" s="37"/>
      <c r="D59" s="124"/>
      <c r="E59" s="128"/>
      <c r="F59" s="130"/>
      <c r="G59" s="129"/>
      <c r="H59" s="149" t="s">
        <v>19</v>
      </c>
      <c r="I59" s="213">
        <f>SUM(I39:I58)</f>
        <v>962.7</v>
      </c>
      <c r="J59" s="351">
        <f>SUM(J39:J58)</f>
        <v>1188.4000000000001</v>
      </c>
      <c r="K59" s="120">
        <f>SUM(K39:K58)</f>
        <v>838.5</v>
      </c>
      <c r="L59" s="120">
        <f>SUM(L39:L58)</f>
        <v>368.70000000000005</v>
      </c>
      <c r="M59" s="358"/>
      <c r="N59" s="448"/>
      <c r="O59" s="446"/>
      <c r="P59" s="311"/>
      <c r="Q59" s="122"/>
    </row>
    <row r="60" spans="1:17" s="44" customFormat="1" ht="15" customHeight="1" thickBot="1" x14ac:dyDescent="0.4">
      <c r="A60" s="11" t="s">
        <v>10</v>
      </c>
      <c r="B60" s="9" t="s">
        <v>20</v>
      </c>
      <c r="C60" s="1034" t="s">
        <v>32</v>
      </c>
      <c r="D60" s="1034"/>
      <c r="E60" s="1034"/>
      <c r="F60" s="1034"/>
      <c r="G60" s="1034"/>
      <c r="H60" s="1035"/>
      <c r="I60" s="205">
        <f t="shared" ref="I60:L60" si="2">I59</f>
        <v>962.7</v>
      </c>
      <c r="J60" s="352">
        <f t="shared" si="2"/>
        <v>1188.4000000000001</v>
      </c>
      <c r="K60" s="121">
        <f t="shared" si="2"/>
        <v>838.5</v>
      </c>
      <c r="L60" s="121">
        <f t="shared" si="2"/>
        <v>368.70000000000005</v>
      </c>
      <c r="M60" s="1036"/>
      <c r="N60" s="1037"/>
      <c r="O60" s="1037"/>
      <c r="P60" s="1037"/>
      <c r="Q60" s="1038"/>
    </row>
    <row r="61" spans="1:17" s="44" customFormat="1" ht="15" customHeight="1" thickBot="1" x14ac:dyDescent="0.4">
      <c r="A61" s="8" t="s">
        <v>10</v>
      </c>
      <c r="B61" s="9" t="s">
        <v>27</v>
      </c>
      <c r="C61" s="1068" t="s">
        <v>37</v>
      </c>
      <c r="D61" s="1069"/>
      <c r="E61" s="1069"/>
      <c r="F61" s="1069"/>
      <c r="G61" s="1069"/>
      <c r="H61" s="1069"/>
      <c r="I61" s="1069"/>
      <c r="J61" s="1069"/>
      <c r="K61" s="1069"/>
      <c r="L61" s="1069"/>
      <c r="M61" s="1069"/>
      <c r="N61" s="1069"/>
      <c r="O61" s="1069"/>
      <c r="P61" s="1069"/>
      <c r="Q61" s="1070"/>
    </row>
    <row r="62" spans="1:17" s="44" customFormat="1" ht="17.25" customHeight="1" x14ac:dyDescent="0.35">
      <c r="A62" s="78" t="s">
        <v>10</v>
      </c>
      <c r="B62" s="182" t="s">
        <v>27</v>
      </c>
      <c r="C62" s="211" t="s">
        <v>10</v>
      </c>
      <c r="D62" s="80"/>
      <c r="E62" s="33" t="s">
        <v>58</v>
      </c>
      <c r="F62" s="88"/>
      <c r="G62" s="90"/>
      <c r="H62" s="89"/>
      <c r="I62" s="353"/>
      <c r="J62" s="382"/>
      <c r="K62" s="118"/>
      <c r="L62" s="118"/>
      <c r="M62" s="393"/>
      <c r="N62" s="241"/>
      <c r="O62" s="242"/>
      <c r="P62" s="362"/>
      <c r="Q62" s="241"/>
    </row>
    <row r="63" spans="1:17" s="44" customFormat="1" ht="16" customHeight="1" x14ac:dyDescent="0.35">
      <c r="A63" s="76"/>
      <c r="B63" s="183"/>
      <c r="C63" s="212"/>
      <c r="D63" s="12" t="s">
        <v>10</v>
      </c>
      <c r="E63" s="181" t="s">
        <v>38</v>
      </c>
      <c r="F63" s="652" t="s">
        <v>98</v>
      </c>
      <c r="G63" s="1178" t="s">
        <v>93</v>
      </c>
      <c r="H63" s="168" t="s">
        <v>22</v>
      </c>
      <c r="I63" s="95">
        <v>11</v>
      </c>
      <c r="J63" s="114">
        <v>11.7</v>
      </c>
      <c r="K63" s="111">
        <v>11.7</v>
      </c>
      <c r="L63" s="111">
        <v>11.7</v>
      </c>
      <c r="M63" s="288" t="s">
        <v>63</v>
      </c>
      <c r="N63" s="231">
        <v>17</v>
      </c>
      <c r="O63" s="333">
        <v>16</v>
      </c>
      <c r="P63" s="341">
        <v>16</v>
      </c>
      <c r="Q63" s="463">
        <v>16</v>
      </c>
    </row>
    <row r="64" spans="1:17" s="44" customFormat="1" ht="16" customHeight="1" x14ac:dyDescent="0.35">
      <c r="A64" s="76"/>
      <c r="B64" s="468"/>
      <c r="C64" s="469"/>
      <c r="D64" s="57"/>
      <c r="E64" s="470"/>
      <c r="F64" s="87" t="s">
        <v>154</v>
      </c>
      <c r="G64" s="1182"/>
      <c r="H64" s="168"/>
      <c r="I64" s="95"/>
      <c r="J64" s="114"/>
      <c r="K64" s="111"/>
      <c r="L64" s="111"/>
      <c r="M64" s="464"/>
      <c r="N64" s="31"/>
      <c r="O64" s="334"/>
      <c r="P64" s="342"/>
      <c r="Q64" s="226"/>
    </row>
    <row r="65" spans="1:20" s="44" customFormat="1" ht="15" customHeight="1" x14ac:dyDescent="0.35">
      <c r="A65" s="76"/>
      <c r="B65" s="183"/>
      <c r="C65" s="185"/>
      <c r="D65" s="189" t="s">
        <v>20</v>
      </c>
      <c r="E65" s="1030" t="s">
        <v>39</v>
      </c>
      <c r="F65" s="152" t="s">
        <v>91</v>
      </c>
      <c r="G65" s="1182"/>
      <c r="H65" s="64" t="s">
        <v>22</v>
      </c>
      <c r="I65" s="210">
        <f>22.5-4</f>
        <v>18.5</v>
      </c>
      <c r="J65" s="201">
        <v>23.8</v>
      </c>
      <c r="K65" s="197">
        <v>23.8</v>
      </c>
      <c r="L65" s="197">
        <v>23.8</v>
      </c>
      <c r="M65" s="1023" t="s">
        <v>175</v>
      </c>
      <c r="N65" s="628">
        <v>4.5</v>
      </c>
      <c r="O65" s="629">
        <v>5.5</v>
      </c>
      <c r="P65" s="630">
        <v>5.5</v>
      </c>
      <c r="Q65" s="628">
        <v>5.5</v>
      </c>
    </row>
    <row r="66" spans="1:20" s="44" customFormat="1" ht="15" customHeight="1" x14ac:dyDescent="0.35">
      <c r="A66" s="76"/>
      <c r="B66" s="183"/>
      <c r="C66" s="507"/>
      <c r="D66" s="58"/>
      <c r="E66" s="1071"/>
      <c r="F66" s="153" t="s">
        <v>154</v>
      </c>
      <c r="G66" s="1179"/>
      <c r="H66" s="31"/>
      <c r="I66" s="81"/>
      <c r="J66" s="202"/>
      <c r="K66" s="198"/>
      <c r="L66" s="198"/>
      <c r="M66" s="1072"/>
      <c r="N66" s="238"/>
      <c r="O66" s="359"/>
      <c r="P66" s="363"/>
      <c r="Q66" s="238"/>
    </row>
    <row r="67" spans="1:20" s="44" customFormat="1" ht="16" customHeight="1" x14ac:dyDescent="0.35">
      <c r="A67" s="76"/>
      <c r="B67" s="183"/>
      <c r="C67" s="507"/>
      <c r="D67" s="548" t="s">
        <v>27</v>
      </c>
      <c r="E67" s="1073" t="s">
        <v>106</v>
      </c>
      <c r="F67" s="639" t="s">
        <v>98</v>
      </c>
      <c r="G67" s="1178" t="s">
        <v>108</v>
      </c>
      <c r="H67" s="447" t="s">
        <v>22</v>
      </c>
      <c r="I67" s="489">
        <f>68.8-30</f>
        <v>38.799999999999997</v>
      </c>
      <c r="J67" s="114"/>
      <c r="K67" s="111"/>
      <c r="L67" s="490"/>
      <c r="M67" s="512" t="s">
        <v>109</v>
      </c>
      <c r="N67" s="631">
        <v>1</v>
      </c>
      <c r="O67" s="543" t="s">
        <v>223</v>
      </c>
      <c r="P67" s="544"/>
      <c r="Q67" s="542"/>
    </row>
    <row r="68" spans="1:20" s="44" customFormat="1" ht="16" customHeight="1" x14ac:dyDescent="0.35">
      <c r="A68" s="76"/>
      <c r="B68" s="506"/>
      <c r="C68" s="139"/>
      <c r="D68" s="148"/>
      <c r="E68" s="1074"/>
      <c r="F68" s="572" t="s">
        <v>30</v>
      </c>
      <c r="G68" s="1182"/>
      <c r="H68" s="443" t="s">
        <v>31</v>
      </c>
      <c r="I68" s="95"/>
      <c r="J68" s="503"/>
      <c r="K68" s="146">
        <v>194.8</v>
      </c>
      <c r="L68" s="488"/>
      <c r="M68" s="573" t="s">
        <v>150</v>
      </c>
      <c r="N68" s="574"/>
      <c r="O68" s="668">
        <v>1</v>
      </c>
      <c r="P68" s="544"/>
      <c r="Q68" s="451"/>
    </row>
    <row r="69" spans="1:20" s="44" customFormat="1" ht="16" customHeight="1" x14ac:dyDescent="0.35">
      <c r="A69" s="76"/>
      <c r="B69" s="183"/>
      <c r="C69" s="139"/>
      <c r="D69" s="549"/>
      <c r="E69" s="1075"/>
      <c r="F69" s="575"/>
      <c r="G69" s="1182"/>
      <c r="H69" s="68" t="s">
        <v>26</v>
      </c>
      <c r="I69" s="484"/>
      <c r="J69" s="485">
        <f>90.8+11.4</f>
        <v>102.2</v>
      </c>
      <c r="K69" s="486">
        <v>69</v>
      </c>
      <c r="L69" s="111"/>
      <c r="M69" s="512" t="s">
        <v>164</v>
      </c>
      <c r="N69" s="576"/>
      <c r="O69" s="577"/>
      <c r="P69" s="632">
        <v>100</v>
      </c>
      <c r="Q69" s="578"/>
    </row>
    <row r="70" spans="1:20" s="44" customFormat="1" ht="28.5" customHeight="1" x14ac:dyDescent="0.35">
      <c r="A70" s="76"/>
      <c r="B70" s="183"/>
      <c r="C70" s="139"/>
      <c r="D70" s="686" t="s">
        <v>29</v>
      </c>
      <c r="E70" s="449" t="s">
        <v>111</v>
      </c>
      <c r="F70" s="652" t="s">
        <v>98</v>
      </c>
      <c r="G70" s="706" t="s">
        <v>100</v>
      </c>
      <c r="H70" s="143" t="s">
        <v>26</v>
      </c>
      <c r="I70" s="354">
        <f>84.7-20.2</f>
        <v>64.5</v>
      </c>
      <c r="J70" s="117">
        <v>64.5</v>
      </c>
      <c r="K70" s="142"/>
      <c r="L70" s="142"/>
      <c r="M70" s="355" t="s">
        <v>109</v>
      </c>
      <c r="N70" s="633">
        <v>1</v>
      </c>
      <c r="O70" s="764">
        <v>1</v>
      </c>
      <c r="P70" s="364"/>
      <c r="Q70" s="239"/>
    </row>
    <row r="71" spans="1:20" s="44" customFormat="1" ht="18" customHeight="1" thickBot="1" x14ac:dyDescent="0.35">
      <c r="A71" s="96"/>
      <c r="B71" s="97"/>
      <c r="C71" s="38"/>
      <c r="D71" s="131"/>
      <c r="E71" s="125"/>
      <c r="F71" s="154"/>
      <c r="G71" s="127"/>
      <c r="H71" s="149" t="s">
        <v>19</v>
      </c>
      <c r="I71" s="213">
        <f>SUM(I63:I70)</f>
        <v>132.80000000000001</v>
      </c>
      <c r="J71" s="351">
        <f>SUM(J63:J70)</f>
        <v>202.2</v>
      </c>
      <c r="K71" s="120">
        <f>SUM(K63:K70)</f>
        <v>299.3</v>
      </c>
      <c r="L71" s="120">
        <f>SUM(L63:L70)</f>
        <v>35.5</v>
      </c>
      <c r="M71" s="293"/>
      <c r="N71" s="122"/>
      <c r="O71" s="305"/>
      <c r="P71" s="311"/>
      <c r="Q71" s="122"/>
    </row>
    <row r="72" spans="1:20" s="44" customFormat="1" ht="28.5" customHeight="1" x14ac:dyDescent="0.3">
      <c r="A72" s="78" t="s">
        <v>10</v>
      </c>
      <c r="B72" s="182" t="s">
        <v>27</v>
      </c>
      <c r="C72" s="184" t="s">
        <v>20</v>
      </c>
      <c r="D72" s="13"/>
      <c r="E72" s="14" t="s">
        <v>40</v>
      </c>
      <c r="F72" s="69"/>
      <c r="G72" s="71"/>
      <c r="H72" s="54"/>
      <c r="I72" s="353"/>
      <c r="J72" s="382"/>
      <c r="K72" s="118"/>
      <c r="L72" s="118"/>
      <c r="M72" s="392"/>
      <c r="N72" s="240"/>
      <c r="O72" s="360"/>
      <c r="P72" s="365"/>
      <c r="Q72" s="240"/>
    </row>
    <row r="73" spans="1:20" s="44" customFormat="1" ht="15" customHeight="1" x14ac:dyDescent="0.35">
      <c r="A73" s="4"/>
      <c r="B73" s="5"/>
      <c r="C73" s="39"/>
      <c r="D73" s="98" t="s">
        <v>10</v>
      </c>
      <c r="E73" s="1021" t="s">
        <v>66</v>
      </c>
      <c r="F73" s="72" t="s">
        <v>90</v>
      </c>
      <c r="G73" s="1178" t="s">
        <v>94</v>
      </c>
      <c r="H73" s="501" t="s">
        <v>31</v>
      </c>
      <c r="I73" s="502">
        <f>478-190.9</f>
        <v>287.10000000000002</v>
      </c>
      <c r="J73" s="721">
        <f>451.3-100</f>
        <v>351.3</v>
      </c>
      <c r="K73" s="722">
        <v>78</v>
      </c>
      <c r="L73" s="504"/>
      <c r="M73" s="1063" t="s">
        <v>173</v>
      </c>
      <c r="N73" s="236">
        <v>45</v>
      </c>
      <c r="O73" s="361">
        <v>90</v>
      </c>
      <c r="P73" s="366">
        <v>100</v>
      </c>
      <c r="Q73" s="236"/>
      <c r="R73" s="1212"/>
      <c r="S73" s="1213"/>
      <c r="T73" s="1213"/>
    </row>
    <row r="74" spans="1:20" s="44" customFormat="1" ht="15" customHeight="1" x14ac:dyDescent="0.35">
      <c r="A74" s="4"/>
      <c r="B74" s="5"/>
      <c r="C74" s="39"/>
      <c r="D74" s="98"/>
      <c r="E74" s="1058"/>
      <c r="F74" s="572" t="s">
        <v>30</v>
      </c>
      <c r="G74" s="1182"/>
      <c r="H74" s="729" t="s">
        <v>64</v>
      </c>
      <c r="I74" s="95">
        <v>22</v>
      </c>
      <c r="J74" s="503">
        <v>44</v>
      </c>
      <c r="K74" s="730">
        <v>22</v>
      </c>
      <c r="L74" s="731"/>
      <c r="M74" s="1064"/>
      <c r="N74" s="222"/>
      <c r="O74" s="684"/>
      <c r="P74" s="307"/>
      <c r="Q74" s="222"/>
      <c r="R74" s="1212"/>
      <c r="S74" s="1213"/>
      <c r="T74" s="1213"/>
    </row>
    <row r="75" spans="1:20" s="44" customFormat="1" ht="15" customHeight="1" x14ac:dyDescent="0.35">
      <c r="A75" s="4"/>
      <c r="B75" s="5"/>
      <c r="C75" s="39"/>
      <c r="D75" s="98"/>
      <c r="E75" s="1058"/>
      <c r="F75" s="649" t="s">
        <v>154</v>
      </c>
      <c r="G75" s="1182"/>
      <c r="H75" s="495" t="s">
        <v>67</v>
      </c>
      <c r="I75" s="267"/>
      <c r="J75" s="503">
        <v>240.8</v>
      </c>
      <c r="K75" s="496"/>
      <c r="L75" s="173"/>
      <c r="M75" s="1064"/>
      <c r="N75" s="222"/>
      <c r="O75" s="300"/>
      <c r="P75" s="307"/>
      <c r="Q75" s="222"/>
      <c r="R75" s="1212"/>
      <c r="S75" s="1213"/>
      <c r="T75" s="1213"/>
    </row>
    <row r="76" spans="1:20" s="44" customFormat="1" ht="15" customHeight="1" x14ac:dyDescent="0.35">
      <c r="A76" s="4"/>
      <c r="B76" s="5"/>
      <c r="C76" s="39"/>
      <c r="D76" s="98"/>
      <c r="E76" s="1058"/>
      <c r="F76" s="43" t="s">
        <v>91</v>
      </c>
      <c r="G76" s="1182"/>
      <c r="H76" s="137"/>
      <c r="I76" s="137"/>
      <c r="J76" s="723"/>
      <c r="K76" s="114"/>
      <c r="L76" s="114"/>
      <c r="M76" s="1064"/>
      <c r="N76" s="222"/>
      <c r="O76" s="300"/>
      <c r="P76" s="307"/>
      <c r="Q76" s="237"/>
      <c r="R76" s="1212"/>
      <c r="S76" s="1213"/>
      <c r="T76" s="1213"/>
    </row>
    <row r="77" spans="1:20" s="44" customFormat="1" ht="15" customHeight="1" x14ac:dyDescent="0.35">
      <c r="A77" s="4"/>
      <c r="B77" s="5"/>
      <c r="C77" s="39"/>
      <c r="D77" s="98"/>
      <c r="E77" s="1059"/>
      <c r="F77" s="649" t="s">
        <v>98</v>
      </c>
      <c r="G77" s="1185"/>
      <c r="H77" s="206"/>
      <c r="I77" s="95"/>
      <c r="J77" s="114"/>
      <c r="K77" s="114"/>
      <c r="L77" s="114"/>
      <c r="M77" s="1065"/>
      <c r="N77" s="222"/>
      <c r="O77" s="300"/>
      <c r="P77" s="307"/>
      <c r="Q77" s="222"/>
      <c r="R77" s="1212"/>
      <c r="S77" s="1213"/>
      <c r="T77" s="1213"/>
    </row>
    <row r="78" spans="1:20" s="44" customFormat="1" ht="18" customHeight="1" x14ac:dyDescent="0.35">
      <c r="A78" s="76"/>
      <c r="B78" s="183"/>
      <c r="C78" s="185"/>
      <c r="D78" s="186" t="s">
        <v>20</v>
      </c>
      <c r="E78" s="1030" t="s">
        <v>41</v>
      </c>
      <c r="F78" s="72" t="s">
        <v>90</v>
      </c>
      <c r="G78" s="1178" t="s">
        <v>93</v>
      </c>
      <c r="H78" s="199" t="s">
        <v>22</v>
      </c>
      <c r="I78" s="489">
        <v>78.8</v>
      </c>
      <c r="J78" s="201">
        <v>78.8</v>
      </c>
      <c r="K78" s="201">
        <v>78.8</v>
      </c>
      <c r="L78" s="201">
        <v>78.8</v>
      </c>
      <c r="M78" s="390" t="s">
        <v>123</v>
      </c>
      <c r="N78" s="233">
        <v>179</v>
      </c>
      <c r="O78" s="724">
        <v>130</v>
      </c>
      <c r="P78" s="367">
        <v>130</v>
      </c>
      <c r="Q78" s="233">
        <v>130</v>
      </c>
    </row>
    <row r="79" spans="1:20" s="44" customFormat="1" ht="18.75" customHeight="1" x14ac:dyDescent="0.35">
      <c r="A79" s="4"/>
      <c r="B79" s="5"/>
      <c r="C79" s="39"/>
      <c r="D79" s="77"/>
      <c r="E79" s="1032"/>
      <c r="F79" s="650" t="s">
        <v>117</v>
      </c>
      <c r="G79" s="1182"/>
      <c r="H79" s="107" t="s">
        <v>26</v>
      </c>
      <c r="I79" s="271">
        <v>12.4</v>
      </c>
      <c r="J79" s="503"/>
      <c r="K79" s="112"/>
      <c r="L79" s="494"/>
      <c r="M79" s="391" t="s">
        <v>124</v>
      </c>
      <c r="N79" s="234">
        <v>2051</v>
      </c>
      <c r="O79" s="725">
        <v>1490</v>
      </c>
      <c r="P79" s="368">
        <v>1490</v>
      </c>
      <c r="Q79" s="234">
        <v>1490</v>
      </c>
    </row>
    <row r="80" spans="1:20" s="44" customFormat="1" ht="60.65" customHeight="1" x14ac:dyDescent="0.35">
      <c r="A80" s="73"/>
      <c r="B80" s="5"/>
      <c r="C80" s="74"/>
      <c r="D80" s="77"/>
      <c r="E80" s="1032"/>
      <c r="F80" s="650" t="s">
        <v>154</v>
      </c>
      <c r="G80" s="611"/>
      <c r="H80" s="554"/>
      <c r="I80" s="271"/>
      <c r="J80" s="503"/>
      <c r="K80" s="112"/>
      <c r="L80" s="494"/>
      <c r="M80" s="573" t="s">
        <v>174</v>
      </c>
      <c r="N80" s="642">
        <v>100</v>
      </c>
      <c r="O80" s="634">
        <v>100</v>
      </c>
      <c r="P80" s="368">
        <v>100</v>
      </c>
      <c r="Q80" s="235">
        <v>100</v>
      </c>
    </row>
    <row r="81" spans="1:17" s="44" customFormat="1" ht="28" customHeight="1" x14ac:dyDescent="0.35">
      <c r="A81" s="73"/>
      <c r="B81" s="5"/>
      <c r="C81" s="74"/>
      <c r="D81" s="77"/>
      <c r="E81" s="1032"/>
      <c r="F81" s="648" t="s">
        <v>98</v>
      </c>
      <c r="G81" s="738"/>
      <c r="H81" s="107" t="s">
        <v>26</v>
      </c>
      <c r="I81" s="271"/>
      <c r="J81" s="503">
        <v>17.399999999999999</v>
      </c>
      <c r="K81" s="112"/>
      <c r="L81" s="494"/>
      <c r="M81" s="1066" t="s">
        <v>176</v>
      </c>
      <c r="N81" s="235"/>
      <c r="O81" s="757">
        <v>100</v>
      </c>
      <c r="P81" s="592"/>
      <c r="Q81" s="759"/>
    </row>
    <row r="82" spans="1:17" s="44" customFormat="1" ht="28" customHeight="1" x14ac:dyDescent="0.35">
      <c r="A82" s="73"/>
      <c r="B82" s="5"/>
      <c r="C82" s="74"/>
      <c r="D82" s="57"/>
      <c r="E82" s="1031"/>
      <c r="G82" s="174"/>
      <c r="H82" s="264" t="s">
        <v>31</v>
      </c>
      <c r="I82" s="95"/>
      <c r="J82" s="485">
        <v>16.5</v>
      </c>
      <c r="K82" s="486"/>
      <c r="L82" s="476"/>
      <c r="M82" s="1067"/>
      <c r="N82" s="235"/>
      <c r="P82" s="758"/>
      <c r="Q82" s="760"/>
    </row>
    <row r="83" spans="1:17" s="44" customFormat="1" ht="16" customHeight="1" x14ac:dyDescent="0.35">
      <c r="A83" s="73"/>
      <c r="B83" s="5"/>
      <c r="C83" s="74"/>
      <c r="D83" s="519" t="s">
        <v>27</v>
      </c>
      <c r="E83" s="498" t="s">
        <v>116</v>
      </c>
      <c r="F83" s="651" t="s">
        <v>90</v>
      </c>
      <c r="G83" s="1182" t="s">
        <v>110</v>
      </c>
      <c r="H83" s="520" t="s">
        <v>31</v>
      </c>
      <c r="I83" s="210">
        <f>7+12</f>
        <v>19</v>
      </c>
      <c r="J83" s="201">
        <v>30.6</v>
      </c>
      <c r="K83" s="197"/>
      <c r="L83" s="197"/>
      <c r="M83" s="521" t="s">
        <v>160</v>
      </c>
      <c r="N83" s="522">
        <v>1</v>
      </c>
      <c r="O83" s="372">
        <v>1</v>
      </c>
      <c r="P83" s="374"/>
      <c r="Q83" s="522"/>
    </row>
    <row r="84" spans="1:17" s="44" customFormat="1" ht="14.5" customHeight="1" x14ac:dyDescent="0.35">
      <c r="A84" s="73"/>
      <c r="B84" s="5"/>
      <c r="C84" s="74"/>
      <c r="D84" s="519"/>
      <c r="E84" s="498"/>
      <c r="F84" s="572" t="s">
        <v>98</v>
      </c>
      <c r="G84" s="1182"/>
      <c r="H84" s="523" t="s">
        <v>22</v>
      </c>
      <c r="I84" s="267">
        <f>8-2.7</f>
        <v>5.3</v>
      </c>
      <c r="J84" s="503">
        <v>25.9</v>
      </c>
      <c r="K84" s="112">
        <v>48.3</v>
      </c>
      <c r="L84" s="328"/>
      <c r="M84" s="524" t="s">
        <v>161</v>
      </c>
      <c r="N84" s="244">
        <v>1</v>
      </c>
      <c r="O84" s="338">
        <v>1</v>
      </c>
      <c r="P84" s="347"/>
      <c r="Q84" s="226"/>
    </row>
    <row r="85" spans="1:17" s="44" customFormat="1" ht="15" customHeight="1" x14ac:dyDescent="0.35">
      <c r="A85" s="73"/>
      <c r="B85" s="5"/>
      <c r="C85" s="74"/>
      <c r="D85" s="77"/>
      <c r="E85" s="498"/>
      <c r="F85" s="650" t="s">
        <v>117</v>
      </c>
      <c r="G85" s="1182"/>
      <c r="H85" s="525"/>
      <c r="I85" s="526"/>
      <c r="J85" s="526"/>
      <c r="K85" s="527"/>
      <c r="L85" s="528"/>
      <c r="M85" s="529" t="s">
        <v>162</v>
      </c>
      <c r="N85" s="244"/>
      <c r="O85" s="338"/>
      <c r="P85" s="347">
        <v>1</v>
      </c>
      <c r="Q85" s="244"/>
    </row>
    <row r="86" spans="1:17" s="44" customFormat="1" ht="15" customHeight="1" x14ac:dyDescent="0.35">
      <c r="A86" s="73"/>
      <c r="B86" s="5"/>
      <c r="C86" s="74"/>
      <c r="D86" s="57"/>
      <c r="E86" s="499"/>
      <c r="F86" s="649" t="s">
        <v>154</v>
      </c>
      <c r="G86" s="1179"/>
      <c r="H86" s="175"/>
      <c r="I86" s="175"/>
      <c r="J86" s="530"/>
      <c r="K86" s="198"/>
      <c r="L86" s="369"/>
      <c r="M86" s="531" t="s">
        <v>163</v>
      </c>
      <c r="N86" s="532">
        <v>1</v>
      </c>
      <c r="O86" s="533">
        <v>2</v>
      </c>
      <c r="P86" s="534">
        <v>2</v>
      </c>
      <c r="Q86" s="532"/>
    </row>
    <row r="87" spans="1:17" s="44" customFormat="1" ht="15" customHeight="1" x14ac:dyDescent="0.35">
      <c r="A87" s="1097"/>
      <c r="B87" s="1098"/>
      <c r="C87" s="1201"/>
      <c r="D87" s="519" t="s">
        <v>29</v>
      </c>
      <c r="E87" s="1157" t="s">
        <v>86</v>
      </c>
      <c r="F87" s="72" t="s">
        <v>90</v>
      </c>
      <c r="G87" s="1182" t="s">
        <v>92</v>
      </c>
      <c r="H87" s="550" t="s">
        <v>68</v>
      </c>
      <c r="I87" s="489">
        <v>16.600000000000001</v>
      </c>
      <c r="J87" s="474"/>
      <c r="K87" s="197"/>
      <c r="L87" s="197"/>
      <c r="M87" s="1088" t="s">
        <v>61</v>
      </c>
      <c r="N87" s="245">
        <v>100</v>
      </c>
      <c r="O87" s="373"/>
      <c r="P87" s="375"/>
      <c r="Q87" s="245"/>
    </row>
    <row r="88" spans="1:17" s="44" customFormat="1" ht="14.25" customHeight="1" x14ac:dyDescent="0.35">
      <c r="A88" s="1097"/>
      <c r="B88" s="1098"/>
      <c r="C88" s="1201"/>
      <c r="D88" s="519"/>
      <c r="E88" s="1157"/>
      <c r="F88" s="572" t="s">
        <v>30</v>
      </c>
      <c r="G88" s="1182"/>
      <c r="H88" s="557" t="s">
        <v>67</v>
      </c>
      <c r="I88" s="95">
        <f>4+1.5-1.5</f>
        <v>4</v>
      </c>
      <c r="J88" s="114"/>
      <c r="K88" s="112"/>
      <c r="L88" s="494"/>
      <c r="M88" s="1089"/>
      <c r="N88" s="243"/>
      <c r="O88" s="555"/>
      <c r="P88" s="376"/>
      <c r="Q88" s="705"/>
    </row>
    <row r="89" spans="1:17" s="44" customFormat="1" ht="13.5" customHeight="1" x14ac:dyDescent="0.35">
      <c r="A89" s="1097"/>
      <c r="B89" s="1098"/>
      <c r="C89" s="1201"/>
      <c r="D89" s="519"/>
      <c r="E89" s="1157"/>
      <c r="F89" s="43" t="s">
        <v>91</v>
      </c>
      <c r="G89" s="1182"/>
      <c r="H89" s="551"/>
      <c r="I89" s="551"/>
      <c r="J89" s="552"/>
      <c r="K89" s="553"/>
      <c r="L89" s="525"/>
      <c r="M89" s="1064"/>
      <c r="N89" s="523"/>
      <c r="O89" s="555"/>
      <c r="P89" s="376"/>
      <c r="Q89" s="705"/>
    </row>
    <row r="90" spans="1:17" s="44" customFormat="1" ht="13.5" customHeight="1" x14ac:dyDescent="0.35">
      <c r="A90" s="1097"/>
      <c r="B90" s="1098"/>
      <c r="C90" s="1201"/>
      <c r="D90" s="519"/>
      <c r="E90" s="1157"/>
      <c r="F90" s="43" t="s">
        <v>154</v>
      </c>
      <c r="G90" s="1182"/>
      <c r="H90" s="551"/>
      <c r="I90" s="551"/>
      <c r="J90" s="552"/>
      <c r="K90" s="553"/>
      <c r="L90" s="525"/>
      <c r="M90" s="1064"/>
      <c r="N90" s="243"/>
      <c r="O90" s="555"/>
      <c r="P90" s="376"/>
      <c r="Q90" s="243"/>
    </row>
    <row r="91" spans="1:17" s="44" customFormat="1" ht="13.5" customHeight="1" x14ac:dyDescent="0.35">
      <c r="A91" s="1199"/>
      <c r="B91" s="1200"/>
      <c r="C91" s="1202"/>
      <c r="D91" s="519"/>
      <c r="E91" s="1203"/>
      <c r="F91" s="640" t="s">
        <v>98</v>
      </c>
      <c r="G91" s="1204"/>
      <c r="H91" s="66"/>
      <c r="I91" s="81"/>
      <c r="J91" s="202"/>
      <c r="K91" s="198"/>
      <c r="L91" s="556"/>
      <c r="M91" s="1188"/>
      <c r="N91" s="243"/>
      <c r="O91" s="555"/>
      <c r="P91" s="376"/>
      <c r="Q91" s="243"/>
    </row>
    <row r="92" spans="1:17" s="10" customFormat="1" ht="13.5" customHeight="1" x14ac:dyDescent="0.35">
      <c r="A92" s="1050"/>
      <c r="B92" s="1053"/>
      <c r="C92" s="1056"/>
      <c r="D92" s="1205" t="s">
        <v>14</v>
      </c>
      <c r="E92" s="1073" t="s">
        <v>73</v>
      </c>
      <c r="F92" s="72" t="s">
        <v>90</v>
      </c>
      <c r="G92" s="1186" t="s">
        <v>92</v>
      </c>
      <c r="H92" s="523" t="s">
        <v>67</v>
      </c>
      <c r="I92" s="95">
        <v>50.1</v>
      </c>
      <c r="J92" s="474">
        <v>20</v>
      </c>
      <c r="K92" s="475"/>
      <c r="L92" s="111"/>
      <c r="M92" s="1088" t="s">
        <v>74</v>
      </c>
      <c r="N92" s="231"/>
      <c r="O92" s="333"/>
      <c r="P92" s="341"/>
      <c r="Q92" s="231"/>
    </row>
    <row r="93" spans="1:17" s="10" customFormat="1" ht="13.5" customHeight="1" x14ac:dyDescent="0.35">
      <c r="A93" s="1050"/>
      <c r="B93" s="1053"/>
      <c r="C93" s="1056"/>
      <c r="D93" s="1206"/>
      <c r="E93" s="1074"/>
      <c r="F93" s="43"/>
      <c r="G93" s="1187"/>
      <c r="H93" s="554" t="s">
        <v>31</v>
      </c>
      <c r="I93" s="271"/>
      <c r="J93" s="114">
        <v>50</v>
      </c>
      <c r="K93" s="111"/>
      <c r="L93" s="488"/>
      <c r="M93" s="1089"/>
      <c r="N93" s="483"/>
      <c r="O93" s="303"/>
      <c r="P93" s="196"/>
      <c r="Q93" s="511"/>
    </row>
    <row r="94" spans="1:17" s="10" customFormat="1" ht="13.5" customHeight="1" x14ac:dyDescent="0.35">
      <c r="A94" s="1050"/>
      <c r="B94" s="1053"/>
      <c r="C94" s="1056"/>
      <c r="D94" s="1206"/>
      <c r="E94" s="1074"/>
      <c r="F94" s="43" t="s">
        <v>91</v>
      </c>
      <c r="G94" s="580" t="s">
        <v>120</v>
      </c>
      <c r="H94" s="554" t="s">
        <v>43</v>
      </c>
      <c r="I94" s="95">
        <v>0.1</v>
      </c>
      <c r="J94" s="503"/>
      <c r="K94" s="112"/>
      <c r="L94" s="488"/>
      <c r="M94" s="518" t="s">
        <v>186</v>
      </c>
      <c r="N94" s="226"/>
      <c r="O94" s="338">
        <v>1</v>
      </c>
      <c r="P94" s="347"/>
      <c r="Q94" s="226"/>
    </row>
    <row r="95" spans="1:17" s="10" customFormat="1" ht="13.5" customHeight="1" x14ac:dyDescent="0.35">
      <c r="A95" s="1050"/>
      <c r="B95" s="1053"/>
      <c r="C95" s="1056"/>
      <c r="D95" s="1206"/>
      <c r="E95" s="1074"/>
      <c r="F95" s="640" t="s">
        <v>98</v>
      </c>
      <c r="G95" s="580" t="s">
        <v>121</v>
      </c>
      <c r="H95" s="554" t="s">
        <v>96</v>
      </c>
      <c r="I95" s="267">
        <v>0.1</v>
      </c>
      <c r="J95" s="579"/>
      <c r="K95" s="146"/>
      <c r="L95" s="488"/>
      <c r="M95" s="558"/>
      <c r="N95" s="226"/>
      <c r="O95" s="303"/>
      <c r="P95" s="196"/>
      <c r="Q95" s="226"/>
    </row>
    <row r="96" spans="1:17" s="10" customFormat="1" ht="14.5" customHeight="1" x14ac:dyDescent="0.35">
      <c r="A96" s="1050"/>
      <c r="B96" s="1053"/>
      <c r="C96" s="1056"/>
      <c r="D96" s="1206"/>
      <c r="E96" s="1074"/>
      <c r="F96" s="572" t="s">
        <v>30</v>
      </c>
      <c r="G96" s="588"/>
      <c r="H96" s="554" t="s">
        <v>68</v>
      </c>
      <c r="I96" s="271">
        <v>0.1</v>
      </c>
      <c r="J96" s="114"/>
      <c r="K96" s="146"/>
      <c r="L96" s="111"/>
      <c r="M96" s="558"/>
      <c r="N96" s="226"/>
      <c r="O96" s="303"/>
      <c r="P96" s="196"/>
      <c r="Q96" s="226"/>
    </row>
    <row r="97" spans="1:18" s="10" customFormat="1" ht="14.5" customHeight="1" x14ac:dyDescent="0.35">
      <c r="A97" s="1050"/>
      <c r="B97" s="1053"/>
      <c r="C97" s="1056"/>
      <c r="D97" s="1207"/>
      <c r="E97" s="1075"/>
      <c r="F97" s="43" t="s">
        <v>154</v>
      </c>
      <c r="G97" s="710"/>
      <c r="H97" s="460" t="s">
        <v>79</v>
      </c>
      <c r="I97" s="95">
        <v>0.1</v>
      </c>
      <c r="J97" s="485"/>
      <c r="K97" s="111"/>
      <c r="L97" s="476"/>
      <c r="M97" s="558"/>
      <c r="N97" s="226"/>
      <c r="O97" s="303"/>
      <c r="P97" s="196"/>
      <c r="Q97" s="226"/>
    </row>
    <row r="98" spans="1:18" s="10" customFormat="1" ht="27.65" customHeight="1" x14ac:dyDescent="0.35">
      <c r="A98" s="1050"/>
      <c r="B98" s="1053"/>
      <c r="C98" s="1056"/>
      <c r="D98" s="581" t="s">
        <v>75</v>
      </c>
      <c r="E98" s="1030" t="s">
        <v>171</v>
      </c>
      <c r="F98" s="72" t="s">
        <v>91</v>
      </c>
      <c r="G98" s="1186" t="s">
        <v>92</v>
      </c>
      <c r="H98" s="489" t="s">
        <v>67</v>
      </c>
      <c r="I98" s="489">
        <f>123.3-1.5-1.5</f>
        <v>120.3</v>
      </c>
      <c r="J98" s="201">
        <v>162.5</v>
      </c>
      <c r="K98" s="377"/>
      <c r="L98" s="490"/>
      <c r="M98" s="560" t="s">
        <v>187</v>
      </c>
      <c r="N98" s="231">
        <v>100</v>
      </c>
      <c r="O98" s="333">
        <v>100</v>
      </c>
      <c r="P98" s="341"/>
      <c r="Q98" s="231"/>
    </row>
    <row r="99" spans="1:18" s="10" customFormat="1" ht="14.5" customHeight="1" x14ac:dyDescent="0.35">
      <c r="A99" s="1050"/>
      <c r="B99" s="1053"/>
      <c r="C99" s="1056"/>
      <c r="D99" s="581"/>
      <c r="E99" s="1032"/>
      <c r="F99" s="572" t="s">
        <v>30</v>
      </c>
      <c r="G99" s="1187"/>
      <c r="H99" s="95" t="s">
        <v>31</v>
      </c>
      <c r="I99" s="95">
        <f>275.8-138.6-7.8</f>
        <v>129.4</v>
      </c>
      <c r="J99" s="579">
        <v>553.9</v>
      </c>
      <c r="K99" s="146">
        <v>1055</v>
      </c>
      <c r="L99" s="23"/>
      <c r="M99" s="1066" t="s">
        <v>188</v>
      </c>
      <c r="N99" s="561"/>
      <c r="O99" s="338">
        <v>40</v>
      </c>
      <c r="P99" s="347">
        <v>100</v>
      </c>
      <c r="Q99" s="510"/>
    </row>
    <row r="100" spans="1:18" s="10" customFormat="1" ht="14.5" customHeight="1" x14ac:dyDescent="0.35">
      <c r="A100" s="1050"/>
      <c r="B100" s="1053"/>
      <c r="C100" s="1056"/>
      <c r="D100" s="581"/>
      <c r="E100" s="1032"/>
      <c r="F100" s="43" t="s">
        <v>154</v>
      </c>
      <c r="G100" s="580" t="s">
        <v>122</v>
      </c>
      <c r="H100" s="582" t="s">
        <v>68</v>
      </c>
      <c r="I100" s="271">
        <v>504.6</v>
      </c>
      <c r="J100" s="114">
        <v>68.3</v>
      </c>
      <c r="K100" s="146"/>
      <c r="L100" s="494"/>
      <c r="M100" s="1096"/>
      <c r="N100" s="226"/>
      <c r="O100" s="684"/>
      <c r="P100" s="196"/>
      <c r="Q100" s="226"/>
    </row>
    <row r="101" spans="1:18" s="10" customFormat="1" ht="14.5" customHeight="1" x14ac:dyDescent="0.35">
      <c r="A101" s="1050"/>
      <c r="B101" s="1053"/>
      <c r="C101" s="1056"/>
      <c r="D101" s="581"/>
      <c r="E101" s="1032"/>
      <c r="F101" s="640" t="s">
        <v>98</v>
      </c>
      <c r="G101" s="580" t="s">
        <v>121</v>
      </c>
      <c r="H101" s="267" t="s">
        <v>43</v>
      </c>
      <c r="I101" s="271">
        <v>44.6</v>
      </c>
      <c r="J101" s="579">
        <v>6.2</v>
      </c>
      <c r="K101" s="146"/>
      <c r="L101" s="494"/>
      <c r="M101" s="583"/>
      <c r="N101" s="583"/>
      <c r="O101" s="590"/>
      <c r="P101" s="588"/>
      <c r="Q101" s="589"/>
      <c r="R101" s="559"/>
    </row>
    <row r="102" spans="1:18" s="10" customFormat="1" ht="14.5" customHeight="1" x14ac:dyDescent="0.35">
      <c r="A102" s="1050"/>
      <c r="B102" s="1053"/>
      <c r="C102" s="1056"/>
      <c r="D102" s="581"/>
      <c r="E102" s="1032"/>
      <c r="F102" s="640"/>
      <c r="G102" s="733"/>
      <c r="H102" s="734" t="s">
        <v>79</v>
      </c>
      <c r="I102" s="267"/>
      <c r="J102" s="579">
        <v>45.9</v>
      </c>
      <c r="K102" s="112"/>
      <c r="L102" s="494"/>
      <c r="M102" s="583"/>
      <c r="N102" s="605"/>
      <c r="O102" s="590"/>
      <c r="P102" s="606"/>
      <c r="Q102" s="605"/>
    </row>
    <row r="103" spans="1:18" s="10" customFormat="1" ht="14.5" customHeight="1" x14ac:dyDescent="0.35">
      <c r="A103" s="1050"/>
      <c r="B103" s="1053"/>
      <c r="C103" s="1056"/>
      <c r="D103" s="581"/>
      <c r="E103" s="1032"/>
      <c r="F103" s="640"/>
      <c r="G103" s="733"/>
      <c r="H103" s="523" t="s">
        <v>96</v>
      </c>
      <c r="I103" s="267"/>
      <c r="J103" s="114">
        <v>4.0999999999999996</v>
      </c>
      <c r="K103" s="112"/>
      <c r="L103" s="494"/>
      <c r="M103" s="583"/>
      <c r="N103" s="605"/>
      <c r="O103" s="590"/>
      <c r="P103" s="588"/>
      <c r="Q103" s="589"/>
    </row>
    <row r="104" spans="1:18" s="10" customFormat="1" ht="14.5" customHeight="1" x14ac:dyDescent="0.35">
      <c r="A104" s="1050"/>
      <c r="B104" s="1053"/>
      <c r="C104" s="1056"/>
      <c r="D104" s="515"/>
      <c r="E104" s="1031"/>
      <c r="F104" s="653"/>
      <c r="G104" s="584"/>
      <c r="H104" s="460" t="s">
        <v>26</v>
      </c>
      <c r="I104" s="585">
        <f>127.1-20+23.2</f>
        <v>130.29999999999998</v>
      </c>
      <c r="J104" s="643"/>
      <c r="K104" s="586"/>
      <c r="L104" s="587"/>
      <c r="M104" s="513"/>
      <c r="N104" s="232"/>
      <c r="O104" s="334"/>
      <c r="P104" s="342"/>
      <c r="Q104" s="232"/>
    </row>
    <row r="105" spans="1:18" s="10" customFormat="1" ht="15" customHeight="1" x14ac:dyDescent="0.35">
      <c r="A105" s="1050"/>
      <c r="B105" s="1053"/>
      <c r="C105" s="1056"/>
      <c r="D105" s="514" t="s">
        <v>129</v>
      </c>
      <c r="E105" s="1081" t="s">
        <v>130</v>
      </c>
      <c r="F105" s="72" t="s">
        <v>90</v>
      </c>
      <c r="G105" s="1210" t="s">
        <v>108</v>
      </c>
      <c r="H105" s="199" t="s">
        <v>67</v>
      </c>
      <c r="I105" s="674">
        <f>1.5+1.5</f>
        <v>3</v>
      </c>
      <c r="J105" s="735">
        <v>6</v>
      </c>
      <c r="K105" s="592"/>
      <c r="L105" s="235"/>
      <c r="M105" s="593" t="s">
        <v>153</v>
      </c>
      <c r="N105" s="447">
        <v>1</v>
      </c>
      <c r="O105" s="303">
        <v>1</v>
      </c>
      <c r="P105" s="374"/>
      <c r="Q105" s="226"/>
    </row>
    <row r="106" spans="1:18" s="10" customFormat="1" ht="15" customHeight="1" x14ac:dyDescent="0.35">
      <c r="A106" s="1050"/>
      <c r="B106" s="1053"/>
      <c r="C106" s="1056"/>
      <c r="D106" s="594"/>
      <c r="E106" s="1082"/>
      <c r="F106" s="43" t="s">
        <v>91</v>
      </c>
      <c r="G106" s="1211"/>
      <c r="H106" s="554" t="s">
        <v>31</v>
      </c>
      <c r="I106" s="595"/>
      <c r="J106" s="661"/>
      <c r="K106" s="662">
        <f>202-102</f>
        <v>100</v>
      </c>
      <c r="L106" s="662">
        <v>202</v>
      </c>
      <c r="M106" s="1084" t="s">
        <v>165</v>
      </c>
      <c r="N106" s="226"/>
      <c r="O106" s="338"/>
      <c r="P106" s="196">
        <v>50</v>
      </c>
      <c r="Q106" s="675">
        <v>100</v>
      </c>
    </row>
    <row r="107" spans="1:18" s="10" customFormat="1" ht="15" customHeight="1" x14ac:dyDescent="0.35">
      <c r="A107" s="1050"/>
      <c r="B107" s="1053"/>
      <c r="C107" s="1056"/>
      <c r="D107" s="594"/>
      <c r="E107" s="1082"/>
      <c r="F107" s="43" t="s">
        <v>154</v>
      </c>
      <c r="G107" s="580"/>
      <c r="H107" s="523"/>
      <c r="I107" s="595"/>
      <c r="J107" s="591"/>
      <c r="K107" s="592"/>
      <c r="L107" s="235"/>
      <c r="M107" s="1085"/>
      <c r="N107" s="226"/>
      <c r="O107" s="303"/>
      <c r="P107" s="196"/>
      <c r="Q107" s="226"/>
    </row>
    <row r="108" spans="1:18" s="10" customFormat="1" ht="15" customHeight="1" x14ac:dyDescent="0.35">
      <c r="A108" s="1050"/>
      <c r="B108" s="1053"/>
      <c r="C108" s="1056"/>
      <c r="D108" s="594"/>
      <c r="E108" s="1082"/>
      <c r="F108" s="43" t="s">
        <v>30</v>
      </c>
      <c r="G108" s="781"/>
      <c r="H108" s="523"/>
      <c r="I108" s="595"/>
      <c r="J108" s="591"/>
      <c r="K108" s="592"/>
      <c r="L108" s="235"/>
      <c r="M108" s="1085"/>
      <c r="N108" s="226"/>
      <c r="O108" s="303"/>
      <c r="P108" s="196"/>
      <c r="Q108" s="226"/>
    </row>
    <row r="109" spans="1:18" s="10" customFormat="1" ht="15" customHeight="1" x14ac:dyDescent="0.35">
      <c r="A109" s="1050"/>
      <c r="B109" s="1053"/>
      <c r="C109" s="1056"/>
      <c r="D109" s="594"/>
      <c r="E109" s="1083"/>
      <c r="F109" s="640" t="s">
        <v>98</v>
      </c>
      <c r="G109" s="580"/>
      <c r="H109" s="523"/>
      <c r="I109" s="595"/>
      <c r="J109" s="591"/>
      <c r="K109" s="592"/>
      <c r="L109" s="235"/>
      <c r="M109" s="1086"/>
      <c r="N109" s="226"/>
      <c r="O109" s="303"/>
      <c r="P109" s="196"/>
      <c r="Q109" s="226"/>
    </row>
    <row r="110" spans="1:18" s="44" customFormat="1" ht="18" customHeight="1" thickBot="1" x14ac:dyDescent="0.4">
      <c r="A110" s="1051"/>
      <c r="B110" s="1054"/>
      <c r="C110" s="1057"/>
      <c r="D110" s="214"/>
      <c r="E110" s="132"/>
      <c r="F110" s="133"/>
      <c r="G110" s="134"/>
      <c r="H110" s="149" t="s">
        <v>19</v>
      </c>
      <c r="I110" s="213">
        <f>SUM(I73:I109)</f>
        <v>1427.8999999999999</v>
      </c>
      <c r="J110" s="317">
        <f>SUM(J73:J109)</f>
        <v>1722.1999999999998</v>
      </c>
      <c r="K110" s="123">
        <f>SUM(K73:K109)</f>
        <v>1382.1</v>
      </c>
      <c r="L110" s="371">
        <f>SUM(L73:L109)</f>
        <v>280.8</v>
      </c>
      <c r="M110" s="387"/>
      <c r="N110" s="122"/>
      <c r="O110" s="305"/>
      <c r="P110" s="311"/>
      <c r="Q110" s="122"/>
    </row>
    <row r="111" spans="1:18" s="44" customFormat="1" ht="15" customHeight="1" x14ac:dyDescent="0.35">
      <c r="A111" s="15" t="s">
        <v>10</v>
      </c>
      <c r="B111" s="16" t="s">
        <v>27</v>
      </c>
      <c r="C111" s="40" t="s">
        <v>27</v>
      </c>
      <c r="D111" s="63"/>
      <c r="E111" s="1060" t="s">
        <v>71</v>
      </c>
      <c r="F111" s="654" t="s">
        <v>91</v>
      </c>
      <c r="G111" s="79"/>
      <c r="H111" s="60"/>
      <c r="I111" s="385"/>
      <c r="J111" s="383"/>
      <c r="K111" s="135"/>
      <c r="L111" s="135"/>
      <c r="M111" s="388"/>
      <c r="N111" s="246"/>
      <c r="O111" s="250"/>
      <c r="P111" s="380"/>
      <c r="Q111" s="246"/>
    </row>
    <row r="112" spans="1:18" s="44" customFormat="1" ht="15.65" customHeight="1" x14ac:dyDescent="0.35">
      <c r="A112" s="190"/>
      <c r="B112" s="191"/>
      <c r="C112" s="192"/>
      <c r="D112" s="194"/>
      <c r="E112" s="1087"/>
      <c r="F112" s="648" t="s">
        <v>30</v>
      </c>
      <c r="G112" s="188"/>
      <c r="H112" s="67"/>
      <c r="I112" s="386"/>
      <c r="J112" s="384"/>
      <c r="K112" s="136"/>
      <c r="L112" s="136"/>
      <c r="M112" s="289"/>
      <c r="N112" s="247"/>
      <c r="O112" s="275"/>
      <c r="P112" s="278"/>
      <c r="Q112" s="247"/>
    </row>
    <row r="113" spans="1:20" s="44" customFormat="1" ht="51" customHeight="1" x14ac:dyDescent="0.35">
      <c r="A113" s="76"/>
      <c r="B113" s="183"/>
      <c r="C113" s="144"/>
      <c r="D113" s="679" t="s">
        <v>10</v>
      </c>
      <c r="E113" s="689" t="s">
        <v>178</v>
      </c>
      <c r="F113" s="682" t="s">
        <v>98</v>
      </c>
      <c r="G113" s="1224" t="s">
        <v>192</v>
      </c>
      <c r="H113" s="596" t="s">
        <v>31</v>
      </c>
      <c r="I113" s="210">
        <f>5+12-14.3</f>
        <v>2.6999999999999993</v>
      </c>
      <c r="J113" s="327">
        <f>119+14.3-33.3</f>
        <v>100.00000000000001</v>
      </c>
      <c r="K113" s="475">
        <v>33.299999999999997</v>
      </c>
      <c r="L113" s="490"/>
      <c r="M113" s="614" t="s">
        <v>150</v>
      </c>
      <c r="N113" s="231"/>
      <c r="O113" s="684"/>
      <c r="P113" s="341">
        <v>1</v>
      </c>
      <c r="Q113" s="673"/>
      <c r="R113" s="10"/>
      <c r="S113" s="10"/>
    </row>
    <row r="114" spans="1:20" s="44" customFormat="1" ht="43.4" customHeight="1" x14ac:dyDescent="0.35">
      <c r="A114" s="76"/>
      <c r="B114" s="617"/>
      <c r="C114" s="144"/>
      <c r="D114" s="680"/>
      <c r="E114" s="683"/>
      <c r="F114" s="58" t="s">
        <v>179</v>
      </c>
      <c r="G114" s="1225"/>
      <c r="H114" s="168" t="s">
        <v>67</v>
      </c>
      <c r="I114" s="484"/>
      <c r="J114" s="485">
        <v>2.7</v>
      </c>
      <c r="K114" s="198"/>
      <c r="L114" s="369"/>
      <c r="M114" s="615"/>
      <c r="N114" s="31"/>
      <c r="O114" s="334"/>
      <c r="P114" s="196"/>
      <c r="Q114" s="611"/>
    </row>
    <row r="115" spans="1:20" s="44" customFormat="1" ht="27" customHeight="1" x14ac:dyDescent="0.35">
      <c r="A115" s="76"/>
      <c r="B115" s="277"/>
      <c r="C115" s="144"/>
      <c r="D115" s="613" t="s">
        <v>20</v>
      </c>
      <c r="E115" s="1076" t="s">
        <v>147</v>
      </c>
      <c r="F115" s="640" t="s">
        <v>166</v>
      </c>
      <c r="G115" s="1218" t="s">
        <v>95</v>
      </c>
      <c r="H115" s="596" t="s">
        <v>31</v>
      </c>
      <c r="I115" s="210">
        <f>14.3+7.8</f>
        <v>22.1</v>
      </c>
      <c r="J115" s="377">
        <v>40</v>
      </c>
      <c r="K115" s="197">
        <v>70</v>
      </c>
      <c r="L115" s="377">
        <v>30</v>
      </c>
      <c r="M115" s="667" t="s">
        <v>177</v>
      </c>
      <c r="N115" s="64">
        <v>1</v>
      </c>
      <c r="O115" s="444">
        <v>2</v>
      </c>
      <c r="P115" s="341"/>
      <c r="Q115" s="445"/>
    </row>
    <row r="116" spans="1:20" s="44" customFormat="1" ht="27" customHeight="1" x14ac:dyDescent="0.35">
      <c r="A116" s="76"/>
      <c r="B116" s="277"/>
      <c r="C116" s="144"/>
      <c r="D116" s="515"/>
      <c r="E116" s="1077"/>
      <c r="F116" s="648" t="s">
        <v>30</v>
      </c>
      <c r="G116" s="1219"/>
      <c r="H116" s="200" t="s">
        <v>167</v>
      </c>
      <c r="I116" s="484"/>
      <c r="J116" s="485">
        <v>150</v>
      </c>
      <c r="K116" s="486">
        <v>380</v>
      </c>
      <c r="L116" s="476">
        <v>570</v>
      </c>
      <c r="M116" s="770" t="s">
        <v>151</v>
      </c>
      <c r="N116" s="454"/>
      <c r="O116" s="771">
        <v>15</v>
      </c>
      <c r="P116" s="534">
        <v>25</v>
      </c>
      <c r="Q116" s="749">
        <v>60</v>
      </c>
      <c r="R116" s="1214"/>
      <c r="S116" s="1215"/>
      <c r="T116" s="1215"/>
    </row>
    <row r="117" spans="1:20" s="44" customFormat="1" ht="16.75" customHeight="1" x14ac:dyDescent="0.35">
      <c r="A117" s="76"/>
      <c r="B117" s="277"/>
      <c r="C117" s="144"/>
      <c r="D117" s="680" t="s">
        <v>27</v>
      </c>
      <c r="E117" s="1030" t="s">
        <v>148</v>
      </c>
      <c r="F117" s="682" t="s">
        <v>168</v>
      </c>
      <c r="G117" s="761" t="s">
        <v>108</v>
      </c>
      <c r="H117" s="199" t="s">
        <v>31</v>
      </c>
      <c r="I117" s="210"/>
      <c r="J117" s="327"/>
      <c r="K117" s="197">
        <v>30.6</v>
      </c>
      <c r="L117" s="377">
        <v>100</v>
      </c>
      <c r="M117" s="564" t="s">
        <v>150</v>
      </c>
      <c r="N117" s="64"/>
      <c r="O117" s="565"/>
      <c r="P117" s="341"/>
      <c r="Q117" s="703">
        <v>1</v>
      </c>
      <c r="R117" s="711"/>
      <c r="S117" s="712"/>
      <c r="T117" s="712"/>
    </row>
    <row r="118" spans="1:20" s="44" customFormat="1" ht="29.5" customHeight="1" x14ac:dyDescent="0.35">
      <c r="A118" s="76"/>
      <c r="B118" s="277"/>
      <c r="C118" s="144"/>
      <c r="D118" s="680"/>
      <c r="E118" s="1031"/>
      <c r="F118" s="58" t="s">
        <v>179</v>
      </c>
      <c r="G118" s="762" t="s">
        <v>193</v>
      </c>
      <c r="H118" s="200"/>
      <c r="I118" s="95"/>
      <c r="J118" s="23"/>
      <c r="K118" s="111"/>
      <c r="L118" s="369"/>
      <c r="M118" s="291"/>
      <c r="N118" s="31"/>
      <c r="O118" s="334"/>
      <c r="P118" s="563"/>
      <c r="Q118" s="769"/>
    </row>
    <row r="119" spans="1:20" s="44" customFormat="1" ht="19.75" customHeight="1" x14ac:dyDescent="0.35">
      <c r="A119" s="76"/>
      <c r="B119" s="506"/>
      <c r="C119" s="144"/>
      <c r="D119" s="679" t="s">
        <v>29</v>
      </c>
      <c r="E119" s="1030" t="s">
        <v>169</v>
      </c>
      <c r="F119" s="640" t="s">
        <v>98</v>
      </c>
      <c r="G119" s="1210" t="s">
        <v>95</v>
      </c>
      <c r="H119" s="199" t="s">
        <v>31</v>
      </c>
      <c r="I119" s="210"/>
      <c r="J119" s="327">
        <v>5</v>
      </c>
      <c r="K119" s="197">
        <v>20</v>
      </c>
      <c r="L119" s="377"/>
      <c r="M119" s="564" t="s">
        <v>150</v>
      </c>
      <c r="N119" s="64"/>
      <c r="O119" s="565"/>
      <c r="P119" s="566">
        <v>1</v>
      </c>
      <c r="Q119" s="508"/>
    </row>
    <row r="120" spans="1:20" s="44" customFormat="1" ht="19.75" customHeight="1" x14ac:dyDescent="0.35">
      <c r="A120" s="76"/>
      <c r="B120" s="506"/>
      <c r="C120" s="144"/>
      <c r="D120" s="680"/>
      <c r="E120" s="1032"/>
      <c r="F120" s="648" t="s">
        <v>156</v>
      </c>
      <c r="G120" s="1211"/>
      <c r="H120" s="168"/>
      <c r="I120" s="95"/>
      <c r="J120" s="23"/>
      <c r="K120" s="111"/>
      <c r="L120" s="23"/>
      <c r="M120" s="551"/>
      <c r="N120" s="68"/>
      <c r="O120" s="303"/>
      <c r="P120" s="196"/>
      <c r="Q120" s="509"/>
    </row>
    <row r="121" spans="1:20" s="44" customFormat="1" ht="19.75" customHeight="1" x14ac:dyDescent="0.35">
      <c r="A121" s="76"/>
      <c r="B121" s="506"/>
      <c r="C121" s="144"/>
      <c r="D121" s="680"/>
      <c r="E121" s="1031"/>
      <c r="F121" s="58" t="s">
        <v>30</v>
      </c>
      <c r="G121" s="1220"/>
      <c r="H121" s="200"/>
      <c r="I121" s="95"/>
      <c r="J121" s="23"/>
      <c r="K121" s="111"/>
      <c r="L121" s="369"/>
      <c r="M121" s="291"/>
      <c r="N121" s="563"/>
      <c r="O121" s="334"/>
      <c r="P121" s="563"/>
      <c r="Q121" s="516"/>
    </row>
    <row r="122" spans="1:20" s="44" customFormat="1" ht="16" customHeight="1" x14ac:dyDescent="0.35">
      <c r="A122" s="76"/>
      <c r="B122" s="506"/>
      <c r="C122" s="144"/>
      <c r="D122" s="679" t="s">
        <v>14</v>
      </c>
      <c r="E122" s="1030" t="s">
        <v>170</v>
      </c>
      <c r="F122" s="640" t="s">
        <v>98</v>
      </c>
      <c r="G122" s="1210" t="s">
        <v>95</v>
      </c>
      <c r="H122" s="199" t="s">
        <v>31</v>
      </c>
      <c r="I122" s="210"/>
      <c r="J122" s="327">
        <v>5</v>
      </c>
      <c r="K122" s="197">
        <v>30</v>
      </c>
      <c r="L122" s="377"/>
      <c r="M122" s="564" t="s">
        <v>150</v>
      </c>
      <c r="N122" s="64"/>
      <c r="O122" s="565"/>
      <c r="P122" s="566">
        <v>1</v>
      </c>
      <c r="Q122" s="508"/>
    </row>
    <row r="123" spans="1:20" s="44" customFormat="1" ht="17.5" customHeight="1" x14ac:dyDescent="0.35">
      <c r="A123" s="76"/>
      <c r="B123" s="506"/>
      <c r="C123" s="144"/>
      <c r="D123" s="680"/>
      <c r="E123" s="1032"/>
      <c r="F123" s="648" t="s">
        <v>156</v>
      </c>
      <c r="G123" s="1211"/>
      <c r="H123" s="168"/>
      <c r="I123" s="95"/>
      <c r="J123" s="23"/>
      <c r="K123" s="111"/>
      <c r="L123" s="23"/>
      <c r="M123" s="551"/>
      <c r="N123" s="68"/>
      <c r="O123" s="444"/>
      <c r="P123" s="203"/>
      <c r="Q123" s="509"/>
    </row>
    <row r="124" spans="1:20" s="44" customFormat="1" ht="17.5" customHeight="1" x14ac:dyDescent="0.35">
      <c r="A124" s="76"/>
      <c r="B124" s="506"/>
      <c r="C124" s="144"/>
      <c r="D124" s="681"/>
      <c r="E124" s="1031"/>
      <c r="F124" s="58" t="s">
        <v>30</v>
      </c>
      <c r="G124" s="1211"/>
      <c r="H124" s="200"/>
      <c r="I124" s="95"/>
      <c r="J124" s="23"/>
      <c r="K124" s="111"/>
      <c r="L124" s="369"/>
      <c r="M124" s="291"/>
      <c r="N124" s="31"/>
      <c r="O124" s="334"/>
      <c r="P124" s="342"/>
      <c r="Q124" s="516"/>
    </row>
    <row r="125" spans="1:20" s="44" customFormat="1" ht="17.5" customHeight="1" x14ac:dyDescent="0.35">
      <c r="A125" s="76"/>
      <c r="B125" s="672"/>
      <c r="C125" s="144"/>
      <c r="D125" s="680" t="s">
        <v>75</v>
      </c>
      <c r="E125" s="1030" t="s">
        <v>202</v>
      </c>
      <c r="F125" s="640" t="s">
        <v>98</v>
      </c>
      <c r="G125" s="671"/>
      <c r="H125" s="168" t="s">
        <v>31</v>
      </c>
      <c r="I125" s="210"/>
      <c r="J125" s="327">
        <v>20</v>
      </c>
      <c r="K125" s="197">
        <v>234</v>
      </c>
      <c r="L125" s="377">
        <v>536</v>
      </c>
      <c r="M125" s="562" t="s">
        <v>150</v>
      </c>
      <c r="N125" s="447"/>
      <c r="O125" s="444"/>
      <c r="P125" s="203">
        <v>1</v>
      </c>
      <c r="Q125" s="445"/>
    </row>
    <row r="126" spans="1:20" s="44" customFormat="1" ht="17.5" customHeight="1" x14ac:dyDescent="0.35">
      <c r="A126" s="76"/>
      <c r="B126" s="672"/>
      <c r="C126" s="144"/>
      <c r="D126" s="680"/>
      <c r="E126" s="1032"/>
      <c r="F126" s="648" t="s">
        <v>156</v>
      </c>
      <c r="G126" s="671"/>
      <c r="H126" s="168"/>
      <c r="I126" s="95"/>
      <c r="J126" s="23"/>
      <c r="K126" s="111"/>
      <c r="L126" s="450"/>
      <c r="M126" s="291" t="s">
        <v>88</v>
      </c>
      <c r="N126" s="68"/>
      <c r="O126" s="338"/>
      <c r="P126" s="347">
        <v>30</v>
      </c>
      <c r="Q126" s="670">
        <v>100</v>
      </c>
    </row>
    <row r="127" spans="1:20" s="44" customFormat="1" ht="17.5" customHeight="1" x14ac:dyDescent="0.35">
      <c r="A127" s="76"/>
      <c r="B127" s="672"/>
      <c r="C127" s="144"/>
      <c r="D127" s="681"/>
      <c r="E127" s="683"/>
      <c r="F127" s="58" t="s">
        <v>30</v>
      </c>
      <c r="G127" s="671"/>
      <c r="H127" s="168"/>
      <c r="I127" s="95"/>
      <c r="J127" s="370"/>
      <c r="K127" s="111"/>
      <c r="L127" s="369"/>
      <c r="M127" s="320"/>
      <c r="N127" s="31"/>
      <c r="O127" s="334"/>
      <c r="P127" s="203"/>
      <c r="Q127" s="670"/>
    </row>
    <row r="128" spans="1:20" s="44" customFormat="1" ht="17.5" customHeight="1" x14ac:dyDescent="0.35">
      <c r="A128" s="76"/>
      <c r="B128" s="672"/>
      <c r="C128" s="144"/>
      <c r="D128" s="680" t="s">
        <v>129</v>
      </c>
      <c r="E128" s="1030" t="s">
        <v>180</v>
      </c>
      <c r="F128" s="640" t="s">
        <v>98</v>
      </c>
      <c r="G128" s="671"/>
      <c r="H128" s="199" t="s">
        <v>31</v>
      </c>
      <c r="I128" s="210"/>
      <c r="J128" s="327">
        <v>10</v>
      </c>
      <c r="K128" s="197">
        <v>133</v>
      </c>
      <c r="L128" s="377">
        <v>220</v>
      </c>
      <c r="M128" s="562" t="s">
        <v>150</v>
      </c>
      <c r="N128" s="68"/>
      <c r="O128" s="444"/>
      <c r="P128" s="341">
        <v>1</v>
      </c>
      <c r="Q128" s="445"/>
    </row>
    <row r="129" spans="1:17" s="44" customFormat="1" ht="17.5" customHeight="1" x14ac:dyDescent="0.35">
      <c r="A129" s="76"/>
      <c r="B129" s="672"/>
      <c r="C129" s="144"/>
      <c r="D129" s="680"/>
      <c r="E129" s="1032"/>
      <c r="F129" s="648" t="s">
        <v>156</v>
      </c>
      <c r="G129" s="671"/>
      <c r="H129" s="168"/>
      <c r="I129" s="95"/>
      <c r="J129" s="23"/>
      <c r="K129" s="111"/>
      <c r="L129" s="450"/>
      <c r="M129" s="291" t="s">
        <v>88</v>
      </c>
      <c r="N129" s="561"/>
      <c r="O129" s="338"/>
      <c r="P129" s="347">
        <v>40</v>
      </c>
      <c r="Q129" s="670">
        <v>100</v>
      </c>
    </row>
    <row r="130" spans="1:17" s="44" customFormat="1" ht="17.5" customHeight="1" x14ac:dyDescent="0.35">
      <c r="A130" s="76"/>
      <c r="B130" s="672"/>
      <c r="C130" s="144"/>
      <c r="D130" s="681"/>
      <c r="E130" s="1031"/>
      <c r="F130" s="58" t="s">
        <v>30</v>
      </c>
      <c r="G130" s="671"/>
      <c r="H130" s="168"/>
      <c r="I130" s="95"/>
      <c r="J130" s="23"/>
      <c r="K130" s="111"/>
      <c r="L130" s="450"/>
      <c r="M130" s="291"/>
      <c r="N130" s="68"/>
      <c r="O130" s="444"/>
      <c r="P130" s="203"/>
      <c r="Q130" s="670"/>
    </row>
    <row r="131" spans="1:17" s="44" customFormat="1" ht="17.5" customHeight="1" x14ac:dyDescent="0.35">
      <c r="A131" s="76"/>
      <c r="B131" s="277"/>
      <c r="C131" s="144"/>
      <c r="D131" s="680" t="s">
        <v>146</v>
      </c>
      <c r="E131" s="1030" t="s">
        <v>149</v>
      </c>
      <c r="F131" s="682" t="s">
        <v>98</v>
      </c>
      <c r="G131" s="1221" t="s">
        <v>110</v>
      </c>
      <c r="H131" s="199" t="s">
        <v>31</v>
      </c>
      <c r="I131" s="210"/>
      <c r="J131" s="377"/>
      <c r="K131" s="197">
        <v>23.5</v>
      </c>
      <c r="L131" s="378"/>
      <c r="M131" s="763" t="s">
        <v>160</v>
      </c>
      <c r="N131" s="64"/>
      <c r="O131" s="333"/>
      <c r="P131" s="566">
        <v>1</v>
      </c>
      <c r="Q131" s="706"/>
    </row>
    <row r="132" spans="1:17" s="44" customFormat="1" ht="17.5" customHeight="1" x14ac:dyDescent="0.35">
      <c r="A132" s="76"/>
      <c r="B132" s="277"/>
      <c r="C132" s="144"/>
      <c r="D132" s="553"/>
      <c r="E132" s="1032"/>
      <c r="F132" s="648" t="s">
        <v>156</v>
      </c>
      <c r="G132" s="1222"/>
      <c r="H132" s="168"/>
      <c r="I132" s="95"/>
      <c r="J132" s="535"/>
      <c r="K132" s="111"/>
      <c r="L132" s="23"/>
      <c r="M132" s="704"/>
      <c r="N132" s="68"/>
      <c r="O132" s="444"/>
      <c r="P132" s="196"/>
      <c r="Q132" s="707"/>
    </row>
    <row r="133" spans="1:17" s="44" customFormat="1" ht="17.5" customHeight="1" x14ac:dyDescent="0.35">
      <c r="A133" s="76"/>
      <c r="B133" s="277"/>
      <c r="C133" s="144"/>
      <c r="D133" s="681"/>
      <c r="E133" s="1031"/>
      <c r="F133" s="648" t="s">
        <v>30</v>
      </c>
      <c r="G133" s="1223"/>
      <c r="H133" s="168"/>
      <c r="I133" s="81"/>
      <c r="J133" s="370"/>
      <c r="K133" s="198"/>
      <c r="L133" s="369"/>
      <c r="M133" s="320"/>
      <c r="N133" s="31"/>
      <c r="O133" s="334"/>
      <c r="P133" s="342"/>
      <c r="Q133" s="708"/>
    </row>
    <row r="134" spans="1:17" s="44" customFormat="1" ht="18" customHeight="1" thickBot="1" x14ac:dyDescent="0.35">
      <c r="A134" s="96"/>
      <c r="B134" s="97"/>
      <c r="C134" s="38"/>
      <c r="D134" s="155"/>
      <c r="E134" s="156"/>
      <c r="F134" s="154"/>
      <c r="G134" s="134"/>
      <c r="H134" s="149" t="s">
        <v>19</v>
      </c>
      <c r="I134" s="213">
        <f>SUM(I113:I133)</f>
        <v>24.8</v>
      </c>
      <c r="J134" s="351">
        <f>SUM(J113:J133)</f>
        <v>332.70000000000005</v>
      </c>
      <c r="K134" s="120">
        <f>SUM(K113:K133)</f>
        <v>954.4</v>
      </c>
      <c r="L134" s="120">
        <f>SUM(L113:L133)</f>
        <v>1456</v>
      </c>
      <c r="M134" s="389"/>
      <c r="N134" s="248"/>
      <c r="O134" s="379"/>
      <c r="P134" s="381"/>
      <c r="Q134" s="455"/>
    </row>
    <row r="135" spans="1:17" s="44" customFormat="1" ht="17.25" customHeight="1" x14ac:dyDescent="0.35">
      <c r="A135" s="15" t="s">
        <v>10</v>
      </c>
      <c r="B135" s="16" t="s">
        <v>27</v>
      </c>
      <c r="C135" s="40" t="s">
        <v>29</v>
      </c>
      <c r="D135" s="17"/>
      <c r="E135" s="18" t="s">
        <v>42</v>
      </c>
      <c r="F135" s="70"/>
      <c r="G135" s="157"/>
      <c r="H135" s="55"/>
      <c r="I135" s="396"/>
      <c r="J135" s="138"/>
      <c r="K135" s="138"/>
      <c r="L135" s="138"/>
      <c r="M135" s="400"/>
      <c r="N135" s="249"/>
      <c r="O135" s="251"/>
      <c r="P135" s="412"/>
      <c r="Q135" s="249"/>
    </row>
    <row r="136" spans="1:17" s="44" customFormat="1" ht="14.5" customHeight="1" x14ac:dyDescent="0.35">
      <c r="A136" s="1104"/>
      <c r="B136" s="1105"/>
      <c r="C136" s="1090"/>
      <c r="D136" s="193" t="s">
        <v>10</v>
      </c>
      <c r="E136" s="1091" t="s">
        <v>59</v>
      </c>
      <c r="F136" s="280" t="s">
        <v>98</v>
      </c>
      <c r="G136" s="1178" t="s">
        <v>93</v>
      </c>
      <c r="H136" s="65" t="s">
        <v>22</v>
      </c>
      <c r="I136" s="489">
        <v>30</v>
      </c>
      <c r="J136" s="474">
        <v>30</v>
      </c>
      <c r="K136" s="475">
        <v>30</v>
      </c>
      <c r="L136" s="201">
        <v>30</v>
      </c>
      <c r="M136" s="1023" t="s">
        <v>76</v>
      </c>
      <c r="N136" s="628">
        <v>1.1000000000000001</v>
      </c>
      <c r="O136" s="629">
        <v>1.5</v>
      </c>
      <c r="P136" s="630">
        <v>1.2</v>
      </c>
      <c r="Q136" s="628">
        <v>1.2</v>
      </c>
    </row>
    <row r="137" spans="1:17" s="44" customFormat="1" ht="14.5" customHeight="1" x14ac:dyDescent="0.35">
      <c r="A137" s="1104"/>
      <c r="B137" s="1105"/>
      <c r="C137" s="1090"/>
      <c r="D137" s="194"/>
      <c r="E137" s="1092"/>
      <c r="F137" s="640" t="s">
        <v>154</v>
      </c>
      <c r="G137" s="1182"/>
      <c r="H137" s="454" t="s">
        <v>31</v>
      </c>
      <c r="I137" s="95"/>
      <c r="J137" s="114">
        <v>65.3</v>
      </c>
      <c r="K137" s="114">
        <v>30.3</v>
      </c>
      <c r="L137" s="476">
        <v>30.3</v>
      </c>
      <c r="M137" s="1093"/>
      <c r="N137" s="254"/>
      <c r="O137" s="410"/>
      <c r="P137" s="413"/>
      <c r="Q137" s="254"/>
    </row>
    <row r="138" spans="1:17" s="44" customFormat="1" ht="26.25" customHeight="1" x14ac:dyDescent="0.35">
      <c r="A138" s="1097"/>
      <c r="B138" s="1098"/>
      <c r="C138" s="1099"/>
      <c r="D138" s="1208" t="s">
        <v>20</v>
      </c>
      <c r="E138" s="1030" t="s">
        <v>87</v>
      </c>
      <c r="F138" s="280" t="s">
        <v>98</v>
      </c>
      <c r="G138" s="1182"/>
      <c r="H138" s="493" t="s">
        <v>22</v>
      </c>
      <c r="I138" s="489">
        <v>33.6</v>
      </c>
      <c r="J138" s="474">
        <v>19.399999999999999</v>
      </c>
      <c r="K138" s="201">
        <v>12.6</v>
      </c>
      <c r="L138" s="201">
        <v>19.399999999999999</v>
      </c>
      <c r="M138" s="399" t="s">
        <v>199</v>
      </c>
      <c r="N138" s="245">
        <v>2300</v>
      </c>
      <c r="O138" s="373">
        <v>1400</v>
      </c>
      <c r="P138" s="375">
        <v>1400</v>
      </c>
      <c r="Q138" s="245">
        <v>1400</v>
      </c>
    </row>
    <row r="139" spans="1:17" s="44" customFormat="1" ht="14.25" customHeight="1" x14ac:dyDescent="0.35">
      <c r="A139" s="1049"/>
      <c r="B139" s="1052"/>
      <c r="C139" s="1100"/>
      <c r="D139" s="1209"/>
      <c r="E139" s="1157"/>
      <c r="F139" s="640" t="s">
        <v>154</v>
      </c>
      <c r="G139" s="1182"/>
      <c r="H139" s="30" t="s">
        <v>43</v>
      </c>
      <c r="I139" s="95">
        <f>30+28.5</f>
        <v>58.5</v>
      </c>
      <c r="J139" s="579"/>
      <c r="K139" s="146"/>
      <c r="L139" s="494"/>
      <c r="M139" s="1158" t="s">
        <v>200</v>
      </c>
      <c r="N139" s="253">
        <v>8.3000000000000007</v>
      </c>
      <c r="O139" s="457">
        <v>3.7</v>
      </c>
      <c r="P139" s="458">
        <v>3.7</v>
      </c>
      <c r="Q139" s="253">
        <v>3.7</v>
      </c>
    </row>
    <row r="140" spans="1:17" s="44" customFormat="1" ht="13.5" customHeight="1" x14ac:dyDescent="0.35">
      <c r="A140" s="1049"/>
      <c r="B140" s="1052"/>
      <c r="C140" s="1100"/>
      <c r="D140" s="1209"/>
      <c r="E140" s="1157"/>
      <c r="F140" s="266"/>
      <c r="G140" s="1182"/>
      <c r="H140" s="719" t="s">
        <v>182</v>
      </c>
      <c r="I140" s="767"/>
      <c r="J140" s="765">
        <v>20</v>
      </c>
      <c r="K140" s="766">
        <v>20</v>
      </c>
      <c r="L140" s="768">
        <v>20</v>
      </c>
      <c r="M140" s="1159"/>
      <c r="N140" s="243"/>
      <c r="O140" s="452"/>
      <c r="P140" s="376"/>
      <c r="Q140" s="453"/>
    </row>
    <row r="141" spans="1:17" s="44" customFormat="1" ht="16.5" customHeight="1" x14ac:dyDescent="0.35">
      <c r="A141" s="1049"/>
      <c r="B141" s="1052"/>
      <c r="C141" s="1100"/>
      <c r="D141" s="1208"/>
      <c r="E141" s="1071"/>
      <c r="F141" s="217"/>
      <c r="G141" s="1179"/>
      <c r="H141" s="66"/>
      <c r="I141" s="81"/>
      <c r="J141" s="202"/>
      <c r="K141" s="202"/>
      <c r="L141" s="202"/>
      <c r="M141" s="459" t="s">
        <v>152</v>
      </c>
      <c r="N141" s="460"/>
      <c r="O141" s="411">
        <v>1</v>
      </c>
      <c r="P141" s="461"/>
      <c r="Q141" s="252">
        <v>1</v>
      </c>
    </row>
    <row r="142" spans="1:17" s="44" customFormat="1" ht="18" customHeight="1" thickBot="1" x14ac:dyDescent="0.35">
      <c r="A142" s="96"/>
      <c r="B142" s="97"/>
      <c r="C142" s="38"/>
      <c r="D142" s="158"/>
      <c r="E142" s="456"/>
      <c r="F142" s="159"/>
      <c r="G142" s="160"/>
      <c r="H142" s="46" t="s">
        <v>19</v>
      </c>
      <c r="I142" s="397">
        <f>SUM(I136:I141)</f>
        <v>122.1</v>
      </c>
      <c r="J142" s="115">
        <f>SUM(J136:J141)</f>
        <v>134.69999999999999</v>
      </c>
      <c r="K142" s="115">
        <f>SUM(K136:K141)</f>
        <v>92.899999999999991</v>
      </c>
      <c r="L142" s="115">
        <f>SUM(L136:L141)</f>
        <v>99.699999999999989</v>
      </c>
      <c r="M142" s="398"/>
      <c r="N142" s="248"/>
      <c r="O142" s="379"/>
      <c r="P142" s="381"/>
      <c r="Q142" s="248"/>
    </row>
    <row r="143" spans="1:17" s="44" customFormat="1" ht="15" customHeight="1" thickBot="1" x14ac:dyDescent="0.4">
      <c r="A143" s="11" t="s">
        <v>10</v>
      </c>
      <c r="B143" s="9" t="s">
        <v>27</v>
      </c>
      <c r="C143" s="1034" t="s">
        <v>32</v>
      </c>
      <c r="D143" s="1034"/>
      <c r="E143" s="1034"/>
      <c r="F143" s="1034"/>
      <c r="G143" s="1034"/>
      <c r="H143" s="1034"/>
      <c r="I143" s="205">
        <f>I142+I134+I110+I71</f>
        <v>1707.6</v>
      </c>
      <c r="J143" s="401">
        <f>J142+J134+J110+J71</f>
        <v>2391.7999999999997</v>
      </c>
      <c r="K143" s="121">
        <f>K142+K134+K110+K71</f>
        <v>2728.7</v>
      </c>
      <c r="L143" s="325">
        <f>L142+L134+L110+L71</f>
        <v>1872</v>
      </c>
      <c r="M143" s="1036"/>
      <c r="N143" s="1037"/>
      <c r="O143" s="1037"/>
      <c r="P143" s="1037"/>
      <c r="Q143" s="1038"/>
    </row>
    <row r="144" spans="1:17" s="44" customFormat="1" ht="15" customHeight="1" thickBot="1" x14ac:dyDescent="0.4">
      <c r="A144" s="8" t="s">
        <v>10</v>
      </c>
      <c r="B144" s="9" t="s">
        <v>29</v>
      </c>
      <c r="C144" s="1160" t="s">
        <v>65</v>
      </c>
      <c r="D144" s="1161"/>
      <c r="E144" s="1161"/>
      <c r="F144" s="1161"/>
      <c r="G144" s="1161"/>
      <c r="H144" s="1161"/>
      <c r="I144" s="1161"/>
      <c r="J144" s="1161"/>
      <c r="K144" s="1161"/>
      <c r="L144" s="1161"/>
      <c r="M144" s="1161"/>
      <c r="N144" s="1161"/>
      <c r="O144" s="1161"/>
      <c r="P144" s="1161"/>
      <c r="Q144" s="1162"/>
    </row>
    <row r="145" spans="1:19" s="44" customFormat="1" ht="30" customHeight="1" x14ac:dyDescent="0.35">
      <c r="A145" s="15" t="s">
        <v>10</v>
      </c>
      <c r="B145" s="170" t="s">
        <v>29</v>
      </c>
      <c r="C145" s="171" t="s">
        <v>10</v>
      </c>
      <c r="D145" s="17"/>
      <c r="E145" s="517" t="s">
        <v>89</v>
      </c>
      <c r="F145" s="609"/>
      <c r="G145" s="597"/>
      <c r="H145" s="60"/>
      <c r="I145" s="396"/>
      <c r="J145" s="138"/>
      <c r="K145" s="598"/>
      <c r="L145" s="598"/>
      <c r="M145" s="599"/>
      <c r="N145" s="600"/>
      <c r="O145" s="601"/>
      <c r="P145" s="602"/>
      <c r="Q145" s="600"/>
    </row>
    <row r="146" spans="1:19" s="44" customFormat="1" ht="18" customHeight="1" x14ac:dyDescent="0.35">
      <c r="A146" s="76"/>
      <c r="B146" s="178"/>
      <c r="C146" s="172"/>
      <c r="D146" s="50" t="s">
        <v>10</v>
      </c>
      <c r="E146" s="1030" t="s">
        <v>72</v>
      </c>
      <c r="F146" s="639" t="s">
        <v>90</v>
      </c>
      <c r="G146" s="1178" t="s">
        <v>92</v>
      </c>
      <c r="H146" s="64" t="s">
        <v>67</v>
      </c>
      <c r="I146" s="95">
        <v>0.2</v>
      </c>
      <c r="J146" s="474"/>
      <c r="K146" s="140"/>
      <c r="L146" s="140"/>
      <c r="M146" s="1216" t="s">
        <v>85</v>
      </c>
      <c r="N146" s="635">
        <v>1</v>
      </c>
      <c r="O146" s="546"/>
      <c r="P146" s="547"/>
      <c r="Q146" s="545"/>
    </row>
    <row r="147" spans="1:19" s="44" customFormat="1" ht="18" customHeight="1" x14ac:dyDescent="0.35">
      <c r="A147" s="76"/>
      <c r="B147" s="178"/>
      <c r="C147" s="179"/>
      <c r="D147" s="43"/>
      <c r="E147" s="1153"/>
      <c r="F147" s="640"/>
      <c r="G147" s="1190"/>
      <c r="H147" s="561" t="s">
        <v>26</v>
      </c>
      <c r="I147" s="271">
        <v>3.1</v>
      </c>
      <c r="J147" s="579"/>
      <c r="K147" s="112"/>
      <c r="L147" s="488"/>
      <c r="M147" s="1217"/>
      <c r="N147" s="545"/>
      <c r="O147" s="546"/>
      <c r="P147" s="547"/>
      <c r="Q147" s="545"/>
    </row>
    <row r="148" spans="1:19" s="44" customFormat="1" ht="18" customHeight="1" x14ac:dyDescent="0.35">
      <c r="A148" s="76"/>
      <c r="B148" s="178"/>
      <c r="C148" s="179"/>
      <c r="D148" s="43"/>
      <c r="E148" s="1087"/>
      <c r="F148" s="640"/>
      <c r="G148" s="509"/>
      <c r="H148" s="454" t="s">
        <v>79</v>
      </c>
      <c r="I148" s="81">
        <v>18.3</v>
      </c>
      <c r="J148" s="370"/>
      <c r="K148" s="486"/>
      <c r="L148" s="556"/>
      <c r="M148" s="603"/>
      <c r="N148" s="238"/>
      <c r="O148" s="359"/>
      <c r="P148" s="363"/>
      <c r="Q148" s="238"/>
    </row>
    <row r="149" spans="1:19" s="42" customFormat="1" ht="15.75" customHeight="1" x14ac:dyDescent="0.35">
      <c r="A149" s="76"/>
      <c r="B149" s="178"/>
      <c r="C149" s="179"/>
      <c r="D149" s="514" t="s">
        <v>20</v>
      </c>
      <c r="E149" s="1030" t="s">
        <v>99</v>
      </c>
      <c r="F149" s="639" t="s">
        <v>30</v>
      </c>
      <c r="G149" s="1178" t="s">
        <v>92</v>
      </c>
      <c r="H149" s="199" t="s">
        <v>31</v>
      </c>
      <c r="I149" s="489">
        <f>463.4-160</f>
        <v>303.39999999999998</v>
      </c>
      <c r="J149" s="535">
        <f>226.3+165.4+24.8</f>
        <v>416.50000000000006</v>
      </c>
      <c r="K149" s="111"/>
      <c r="L149" s="490"/>
      <c r="M149" s="291" t="s">
        <v>88</v>
      </c>
      <c r="N149" s="236">
        <v>100</v>
      </c>
      <c r="O149" s="361">
        <v>100</v>
      </c>
      <c r="P149" s="366"/>
      <c r="Q149" s="236"/>
    </row>
    <row r="150" spans="1:19" s="42" customFormat="1" ht="15.75" customHeight="1" x14ac:dyDescent="0.35">
      <c r="A150" s="76"/>
      <c r="B150" s="178"/>
      <c r="C150" s="179"/>
      <c r="D150" s="98"/>
      <c r="E150" s="1153"/>
      <c r="F150" s="650" t="s">
        <v>117</v>
      </c>
      <c r="G150" s="1190"/>
      <c r="H150" s="561" t="s">
        <v>67</v>
      </c>
      <c r="I150" s="95">
        <v>8.4</v>
      </c>
      <c r="J150" s="503">
        <v>311.8</v>
      </c>
      <c r="K150" s="112"/>
      <c r="L150" s="604"/>
      <c r="M150" s="583"/>
      <c r="N150" s="605"/>
      <c r="O150" s="590"/>
      <c r="P150" s="606"/>
      <c r="Q150" s="605"/>
    </row>
    <row r="151" spans="1:19" s="42" customFormat="1" ht="15.75" customHeight="1" x14ac:dyDescent="0.35">
      <c r="A151" s="76"/>
      <c r="B151" s="618"/>
      <c r="C151" s="619"/>
      <c r="D151" s="98"/>
      <c r="E151" s="1153"/>
      <c r="F151" s="655" t="s">
        <v>154</v>
      </c>
      <c r="G151" s="612"/>
      <c r="H151" s="68"/>
      <c r="I151" s="95"/>
      <c r="J151" s="535"/>
      <c r="K151" s="111"/>
      <c r="L151" s="604"/>
      <c r="M151" s="583"/>
      <c r="N151" s="605"/>
      <c r="O151" s="590"/>
      <c r="P151" s="606"/>
      <c r="Q151" s="605"/>
    </row>
    <row r="152" spans="1:19" s="42" customFormat="1" ht="14.15" customHeight="1" x14ac:dyDescent="0.35">
      <c r="A152" s="76"/>
      <c r="B152" s="178"/>
      <c r="C152" s="179"/>
      <c r="D152" s="515"/>
      <c r="E152" s="1087"/>
      <c r="F152" s="641" t="s">
        <v>98</v>
      </c>
      <c r="G152" s="516"/>
      <c r="H152" s="200"/>
      <c r="I152" s="81"/>
      <c r="J152" s="370"/>
      <c r="K152" s="198"/>
      <c r="L152" s="556"/>
      <c r="M152" s="607"/>
      <c r="N152" s="227"/>
      <c r="O152" s="304"/>
      <c r="P152" s="310"/>
      <c r="Q152" s="227"/>
    </row>
    <row r="153" spans="1:19" s="42" customFormat="1" ht="15" customHeight="1" x14ac:dyDescent="0.35">
      <c r="A153" s="76"/>
      <c r="B153" s="178"/>
      <c r="C153" s="150"/>
      <c r="D153" s="1191" t="s">
        <v>27</v>
      </c>
      <c r="E153" s="1073" t="s">
        <v>112</v>
      </c>
      <c r="F153" s="651" t="s">
        <v>30</v>
      </c>
      <c r="G153" s="1178" t="s">
        <v>95</v>
      </c>
      <c r="H153" s="520" t="s">
        <v>31</v>
      </c>
      <c r="I153" s="489">
        <f>40+141.6</f>
        <v>181.6</v>
      </c>
      <c r="J153" s="474">
        <v>200</v>
      </c>
      <c r="K153" s="475"/>
      <c r="L153" s="490"/>
      <c r="M153" s="357" t="s">
        <v>107</v>
      </c>
      <c r="N153" s="231">
        <v>60</v>
      </c>
      <c r="O153" s="333">
        <v>100</v>
      </c>
      <c r="P153" s="341"/>
      <c r="Q153" s="231"/>
    </row>
    <row r="154" spans="1:19" s="42" customFormat="1" ht="15" customHeight="1" x14ac:dyDescent="0.35">
      <c r="A154" s="76"/>
      <c r="B154" s="618"/>
      <c r="C154" s="150"/>
      <c r="D154" s="1192"/>
      <c r="E154" s="1074"/>
      <c r="F154" s="572" t="s">
        <v>154</v>
      </c>
      <c r="G154" s="1182"/>
      <c r="H154" s="523" t="s">
        <v>22</v>
      </c>
      <c r="I154" s="95">
        <v>80</v>
      </c>
      <c r="J154" s="535"/>
      <c r="K154" s="111"/>
      <c r="L154" s="604"/>
      <c r="M154" s="291"/>
      <c r="N154" s="226"/>
      <c r="O154" s="303"/>
      <c r="P154" s="196"/>
      <c r="Q154" s="226"/>
    </row>
    <row r="155" spans="1:19" s="42" customFormat="1" ht="15" customHeight="1" x14ac:dyDescent="0.35">
      <c r="A155" s="76"/>
      <c r="B155" s="178"/>
      <c r="C155" s="150"/>
      <c r="D155" s="1193"/>
      <c r="E155" s="1075"/>
      <c r="F155" s="656" t="s">
        <v>98</v>
      </c>
      <c r="G155" s="1179"/>
      <c r="H155" s="636"/>
      <c r="I155" s="636"/>
      <c r="J155" s="370"/>
      <c r="K155" s="198"/>
      <c r="L155" s="556"/>
      <c r="M155" s="608"/>
      <c r="N155" s="226"/>
      <c r="O155" s="303"/>
      <c r="P155" s="196"/>
      <c r="Q155" s="226"/>
    </row>
    <row r="156" spans="1:19" s="44" customFormat="1" ht="15" customHeight="1" thickBot="1" x14ac:dyDescent="0.35">
      <c r="A156" s="96"/>
      <c r="B156" s="97"/>
      <c r="C156" s="139"/>
      <c r="D156" s="186"/>
      <c r="E156" s="165"/>
      <c r="F156" s="151"/>
      <c r="G156" s="166"/>
      <c r="H156" s="167" t="s">
        <v>19</v>
      </c>
      <c r="I156" s="213">
        <f>SUM(I146:I154)</f>
        <v>595</v>
      </c>
      <c r="J156" s="403">
        <f>SUM(J146:J155)</f>
        <v>928.30000000000007</v>
      </c>
      <c r="K156" s="123">
        <f>SUM(K146:K155)</f>
        <v>0</v>
      </c>
      <c r="L156" s="371">
        <f>SUM(L146:L155)</f>
        <v>0</v>
      </c>
      <c r="M156" s="389"/>
      <c r="N156" s="122"/>
      <c r="O156" s="305"/>
      <c r="P156" s="311"/>
      <c r="Q156" s="122"/>
    </row>
    <row r="157" spans="1:19" s="44" customFormat="1" ht="15" customHeight="1" thickBot="1" x14ac:dyDescent="0.4">
      <c r="A157" s="34" t="s">
        <v>10</v>
      </c>
      <c r="B157" s="75" t="s">
        <v>29</v>
      </c>
      <c r="C157" s="1154" t="s">
        <v>32</v>
      </c>
      <c r="D157" s="1155"/>
      <c r="E157" s="1155"/>
      <c r="F157" s="1155"/>
      <c r="G157" s="1155"/>
      <c r="H157" s="1156"/>
      <c r="I157" s="207">
        <f t="shared" ref="I157:L157" si="3">I156</f>
        <v>595</v>
      </c>
      <c r="J157" s="404">
        <f t="shared" si="3"/>
        <v>928.30000000000007</v>
      </c>
      <c r="K157" s="407">
        <f t="shared" si="3"/>
        <v>0</v>
      </c>
      <c r="L157" s="402">
        <f t="shared" si="3"/>
        <v>0</v>
      </c>
      <c r="M157" s="1036"/>
      <c r="N157" s="1037"/>
      <c r="O157" s="1037"/>
      <c r="P157" s="1037"/>
      <c r="Q157" s="1038"/>
    </row>
    <row r="158" spans="1:19" s="44" customFormat="1" ht="15" customHeight="1" thickBot="1" x14ac:dyDescent="0.4">
      <c r="A158" s="11" t="s">
        <v>10</v>
      </c>
      <c r="B158" s="1141" t="s">
        <v>44</v>
      </c>
      <c r="C158" s="1142"/>
      <c r="D158" s="1142"/>
      <c r="E158" s="1142"/>
      <c r="F158" s="1142"/>
      <c r="G158" s="1142"/>
      <c r="H158" s="1143"/>
      <c r="I158" s="208">
        <f>I143+I60+I36+I157</f>
        <v>9034</v>
      </c>
      <c r="J158" s="405">
        <f>J143+J60+J36+J157</f>
        <v>10241.299999999999</v>
      </c>
      <c r="K158" s="408">
        <f>K143+K60+K36+K157</f>
        <v>8866.6</v>
      </c>
      <c r="L158" s="394">
        <f>L143+L60+L36+L157</f>
        <v>7523.5000000000009</v>
      </c>
      <c r="M158" s="1144"/>
      <c r="N158" s="1145"/>
      <c r="O158" s="1145"/>
      <c r="P158" s="1145"/>
      <c r="Q158" s="1146"/>
    </row>
    <row r="159" spans="1:19" s="44" customFormat="1" ht="15" customHeight="1" thickBot="1" x14ac:dyDescent="0.4">
      <c r="A159" s="19" t="s">
        <v>14</v>
      </c>
      <c r="B159" s="1147" t="s">
        <v>45</v>
      </c>
      <c r="C159" s="1148"/>
      <c r="D159" s="1148"/>
      <c r="E159" s="1148"/>
      <c r="F159" s="1148"/>
      <c r="G159" s="1148"/>
      <c r="H159" s="1149"/>
      <c r="I159" s="209">
        <f t="shared" ref="I159:L159" si="4">I158</f>
        <v>9034</v>
      </c>
      <c r="J159" s="406">
        <f t="shared" si="4"/>
        <v>10241.299999999999</v>
      </c>
      <c r="K159" s="409">
        <f t="shared" si="4"/>
        <v>8866.6</v>
      </c>
      <c r="L159" s="395">
        <f t="shared" si="4"/>
        <v>7523.5000000000009</v>
      </c>
      <c r="M159" s="1150"/>
      <c r="N159" s="1151"/>
      <c r="O159" s="1151"/>
      <c r="P159" s="1151"/>
      <c r="Q159" s="1152"/>
    </row>
    <row r="160" spans="1:19" s="256" customFormat="1" ht="16.5" customHeight="1" x14ac:dyDescent="0.35">
      <c r="A160" s="1109" t="s">
        <v>196</v>
      </c>
      <c r="B160" s="1109"/>
      <c r="C160" s="1109"/>
      <c r="D160" s="1109"/>
      <c r="E160" s="1109"/>
      <c r="F160" s="1109"/>
      <c r="G160" s="1109"/>
      <c r="H160" s="1109"/>
      <c r="I160" s="1109"/>
      <c r="J160" s="1109"/>
      <c r="K160" s="1109"/>
      <c r="L160" s="1109"/>
      <c r="M160" s="1109"/>
      <c r="N160" s="1109"/>
      <c r="O160" s="1109"/>
      <c r="P160" s="1109"/>
      <c r="Q160" s="1109"/>
      <c r="R160" s="255"/>
      <c r="S160" s="255"/>
    </row>
    <row r="161" spans="1:46" s="415" customFormat="1" ht="45" customHeight="1" x14ac:dyDescent="0.35">
      <c r="A161" s="1189" t="s">
        <v>172</v>
      </c>
      <c r="B161" s="1189"/>
      <c r="C161" s="1189"/>
      <c r="D161" s="1189"/>
      <c r="E161" s="1189"/>
      <c r="F161" s="1189"/>
      <c r="G161" s="1189"/>
      <c r="H161" s="1189"/>
      <c r="I161" s="1189"/>
      <c r="J161" s="1189"/>
      <c r="K161" s="1189"/>
      <c r="L161" s="1189"/>
      <c r="M161" s="1189"/>
      <c r="N161" s="1189"/>
      <c r="O161" s="1189"/>
      <c r="P161" s="1189"/>
      <c r="Q161" s="1189"/>
      <c r="R161" s="414"/>
      <c r="S161" s="414"/>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row>
    <row r="162" spans="1:46" s="35" customFormat="1" ht="17.25" customHeight="1" x14ac:dyDescent="0.35">
      <c r="A162" s="61"/>
      <c r="B162" s="161"/>
      <c r="C162" s="161"/>
      <c r="D162" s="161"/>
      <c r="E162" s="161"/>
      <c r="F162" s="162"/>
      <c r="G162" s="161"/>
      <c r="H162" s="161"/>
      <c r="I162" s="163"/>
      <c r="J162" s="163"/>
      <c r="K162" s="163"/>
      <c r="L162" s="163"/>
      <c r="M162" s="164"/>
      <c r="N162" s="61"/>
      <c r="O162" s="61"/>
      <c r="P162" s="61"/>
      <c r="Q162" s="61"/>
      <c r="R162" s="44"/>
      <c r="S162" s="44"/>
      <c r="T162" s="44"/>
      <c r="U162" s="44"/>
      <c r="V162" s="44"/>
      <c r="W162" s="44"/>
      <c r="X162" s="44"/>
      <c r="Y162" s="44"/>
      <c r="Z162" s="44"/>
      <c r="AA162" s="44"/>
      <c r="AB162" s="44"/>
      <c r="AC162" s="44"/>
    </row>
    <row r="163" spans="1:46" s="20" customFormat="1" ht="16.5" customHeight="1" thickBot="1" x14ac:dyDescent="0.4">
      <c r="A163" s="1128" t="s">
        <v>46</v>
      </c>
      <c r="B163" s="1128"/>
      <c r="C163" s="1128"/>
      <c r="D163" s="1128"/>
      <c r="E163" s="1128"/>
      <c r="F163" s="1128"/>
      <c r="G163" s="1128"/>
      <c r="H163" s="1128"/>
      <c r="I163" s="1128"/>
      <c r="J163" s="1128"/>
      <c r="K163" s="1128"/>
      <c r="L163" s="1128"/>
      <c r="M163" s="6"/>
      <c r="N163" s="6"/>
      <c r="O163" s="6"/>
      <c r="P163" s="6"/>
      <c r="Q163" s="6"/>
      <c r="R163" s="44"/>
      <c r="S163" s="44"/>
      <c r="T163" s="44"/>
      <c r="U163" s="44"/>
      <c r="V163" s="44"/>
      <c r="W163" s="44"/>
      <c r="X163" s="44"/>
      <c r="Y163" s="44"/>
      <c r="Z163" s="44"/>
      <c r="AA163" s="44"/>
      <c r="AB163" s="44"/>
      <c r="AC163" s="44"/>
    </row>
    <row r="164" spans="1:46" s="44" customFormat="1" ht="81" customHeight="1" thickBot="1" x14ac:dyDescent="0.4">
      <c r="A164" s="1129" t="s">
        <v>47</v>
      </c>
      <c r="B164" s="1130"/>
      <c r="C164" s="1130"/>
      <c r="D164" s="1130"/>
      <c r="E164" s="1130"/>
      <c r="F164" s="1130"/>
      <c r="G164" s="1130"/>
      <c r="H164" s="1131"/>
      <c r="I164" s="416" t="s">
        <v>142</v>
      </c>
      <c r="J164" s="417" t="s">
        <v>135</v>
      </c>
      <c r="K164" s="418" t="s">
        <v>194</v>
      </c>
      <c r="L164" s="419" t="s">
        <v>136</v>
      </c>
      <c r="M164" s="1"/>
      <c r="N164" s="1"/>
      <c r="O164" s="1"/>
      <c r="P164" s="1"/>
      <c r="Q164" s="1"/>
    </row>
    <row r="165" spans="1:46" s="44" customFormat="1" ht="15" customHeight="1" x14ac:dyDescent="0.35">
      <c r="A165" s="1132" t="s">
        <v>195</v>
      </c>
      <c r="B165" s="1133"/>
      <c r="C165" s="1133"/>
      <c r="D165" s="1133"/>
      <c r="E165" s="1133"/>
      <c r="F165" s="1133"/>
      <c r="G165" s="1133"/>
      <c r="H165" s="1134"/>
      <c r="I165" s="56">
        <f t="shared" ref="I165:L165" si="5">I166+I174+I175+I177+I176+I178</f>
        <v>9012</v>
      </c>
      <c r="J165" s="426">
        <f t="shared" ref="J165:K165" si="6">J166+J174+J175+J177+J176+J178</f>
        <v>10171.5</v>
      </c>
      <c r="K165" s="433">
        <f t="shared" si="6"/>
        <v>8818.7999999999993</v>
      </c>
      <c r="L165" s="420">
        <f t="shared" si="5"/>
        <v>7503.4999999999991</v>
      </c>
      <c r="M165" s="21"/>
      <c r="N165" s="1"/>
      <c r="O165" s="1"/>
      <c r="P165" s="1"/>
      <c r="Q165" s="1"/>
    </row>
    <row r="166" spans="1:46" s="44" customFormat="1" ht="15" customHeight="1" x14ac:dyDescent="0.3">
      <c r="A166" s="1135" t="s">
        <v>48</v>
      </c>
      <c r="B166" s="1136"/>
      <c r="C166" s="1136"/>
      <c r="D166" s="1136"/>
      <c r="E166" s="1136"/>
      <c r="F166" s="1136"/>
      <c r="G166" s="1136"/>
      <c r="H166" s="1137"/>
      <c r="I166" s="26">
        <f t="shared" ref="I166:L166" si="7">SUM(I167:I173)</f>
        <v>7788</v>
      </c>
      <c r="J166" s="427">
        <f t="shared" ref="J166:K166" si="8">SUM(J167:J173)</f>
        <v>7708</v>
      </c>
      <c r="K166" s="434">
        <f t="shared" si="8"/>
        <v>8270.2999999999993</v>
      </c>
      <c r="L166" s="421">
        <f t="shared" si="7"/>
        <v>7034.7999999999993</v>
      </c>
      <c r="M166" s="21"/>
      <c r="N166" s="1"/>
      <c r="O166" s="1"/>
      <c r="P166" s="1"/>
      <c r="Q166" s="1"/>
    </row>
    <row r="167" spans="1:46" s="44" customFormat="1" ht="15" customHeight="1" x14ac:dyDescent="0.35">
      <c r="A167" s="1138" t="s">
        <v>49</v>
      </c>
      <c r="B167" s="1139"/>
      <c r="C167" s="1139"/>
      <c r="D167" s="1139"/>
      <c r="E167" s="1139"/>
      <c r="F167" s="1139"/>
      <c r="G167" s="1139"/>
      <c r="H167" s="1140"/>
      <c r="I167" s="27">
        <f>SUMIF(H16:H159,"SB",I16:I159)</f>
        <v>1779.5</v>
      </c>
      <c r="J167" s="428">
        <f>SUMIF(H16:H159,"SB",J16:J159)</f>
        <v>2271.5</v>
      </c>
      <c r="K167" s="435">
        <f>SUMIF(H16:H159,"SB",K16:K159)</f>
        <v>2590.1</v>
      </c>
      <c r="L167" s="422">
        <f>SUMIF(H16:H159,"SB",L16:L159)</f>
        <v>1187.3999999999999</v>
      </c>
      <c r="M167" s="21"/>
      <c r="N167" s="1"/>
      <c r="O167" s="1"/>
      <c r="P167" s="1"/>
      <c r="Q167" s="1"/>
    </row>
    <row r="168" spans="1:46" s="44" customFormat="1" ht="15" customHeight="1" x14ac:dyDescent="0.35">
      <c r="A168" s="1119" t="s">
        <v>141</v>
      </c>
      <c r="B168" s="1120"/>
      <c r="C168" s="1120"/>
      <c r="D168" s="1120"/>
      <c r="E168" s="1120"/>
      <c r="F168" s="1120"/>
      <c r="G168" s="1120"/>
      <c r="H168" s="1121"/>
      <c r="I168" s="169">
        <f>SUMIF(H16:H159,"SB(AA)",I16:I159)</f>
        <v>504.00000000000006</v>
      </c>
      <c r="J168" s="429">
        <f>SUMIF(H16:H159,"SB(AA)",J16:J159)</f>
        <v>503.99999999999994</v>
      </c>
      <c r="K168" s="436">
        <f>SUMIF(H16:H159,"SB(AA)",K16:K159)</f>
        <v>592.20000000000005</v>
      </c>
      <c r="L168" s="423">
        <f>SUMIF(H16:H159,"SB(AA)",L16:L159)</f>
        <v>569.4</v>
      </c>
      <c r="M168" s="21"/>
      <c r="N168" s="567"/>
      <c r="O168" s="567"/>
      <c r="P168" s="567"/>
      <c r="Q168" s="1"/>
    </row>
    <row r="169" spans="1:46" s="44" customFormat="1" ht="15" customHeight="1" x14ac:dyDescent="0.35">
      <c r="A169" s="1122" t="s">
        <v>50</v>
      </c>
      <c r="B169" s="1123"/>
      <c r="C169" s="1123"/>
      <c r="D169" s="1123"/>
      <c r="E169" s="1123"/>
      <c r="F169" s="1123"/>
      <c r="G169" s="1123"/>
      <c r="H169" s="1124"/>
      <c r="I169" s="27">
        <f>SUMIF(H16:H159,"SB(VR)",I16:I159)</f>
        <v>4880</v>
      </c>
      <c r="J169" s="428">
        <f>SUMIF(H16:H159,"SB(VR)",J16:J159)</f>
        <v>4708</v>
      </c>
      <c r="K169" s="435">
        <f>SUMIF(H16:H159,"SB(VR)",K16:K159)</f>
        <v>4708</v>
      </c>
      <c r="L169" s="422">
        <f>SUMIF(H16:H159,"SB(VR)",L16:L159)</f>
        <v>4708</v>
      </c>
      <c r="M169" s="59"/>
      <c r="N169" s="567"/>
      <c r="O169" s="567"/>
      <c r="P169" s="567"/>
      <c r="Q169" s="1"/>
    </row>
    <row r="170" spans="1:46" s="44" customFormat="1" ht="15" customHeight="1" x14ac:dyDescent="0.35">
      <c r="A170" s="1122" t="s">
        <v>51</v>
      </c>
      <c r="B170" s="1123"/>
      <c r="C170" s="1123"/>
      <c r="D170" s="1123"/>
      <c r="E170" s="1123"/>
      <c r="F170" s="1123"/>
      <c r="G170" s="1123"/>
      <c r="H170" s="1124"/>
      <c r="I170" s="27">
        <f>SUMIF(H16:H159,"SB(VB)",I16:I159)</f>
        <v>103.2</v>
      </c>
      <c r="J170" s="428">
        <f>SUMIF(H16:H159,"SB(VB)",J16:J159)</f>
        <v>6.2</v>
      </c>
      <c r="K170" s="435">
        <f>SUMIF(H16:H159,"SB(VB)",K16:K159)</f>
        <v>0</v>
      </c>
      <c r="L170" s="422">
        <f>SUMIF(H16:H159,"SB(VB)",L16:L159)</f>
        <v>0</v>
      </c>
      <c r="M170" s="21"/>
      <c r="N170" s="567"/>
      <c r="O170" s="1"/>
      <c r="P170" s="1"/>
      <c r="Q170" s="1"/>
    </row>
    <row r="171" spans="1:46" s="10" customFormat="1" ht="15.75" customHeight="1" x14ac:dyDescent="0.35">
      <c r="A171" s="1125" t="s">
        <v>198</v>
      </c>
      <c r="B171" s="1126"/>
      <c r="C171" s="1126"/>
      <c r="D171" s="1126"/>
      <c r="E171" s="1126"/>
      <c r="F171" s="1126"/>
      <c r="G171" s="1126"/>
      <c r="H171" s="1127"/>
      <c r="I171" s="27">
        <f>SUMIF(H16:H159,"SB(KKP)",I16:I159)</f>
        <v>0</v>
      </c>
      <c r="J171" s="568">
        <f>SUMIF(H16:H159,"SB(KPP)",J16:J159)</f>
        <v>150</v>
      </c>
      <c r="K171" s="570">
        <f>SUMIF(H16:H159,"SB(KPP)",K16:K159)</f>
        <v>380</v>
      </c>
      <c r="L171" s="569">
        <f>SUMIF(H16:H159,"SB(KPP)",L16:L159)</f>
        <v>570</v>
      </c>
      <c r="M171" s="567"/>
      <c r="N171" s="567"/>
      <c r="O171" s="567"/>
      <c r="P171" s="567"/>
      <c r="Q171" s="567"/>
    </row>
    <row r="172" spans="1:46" s="44" customFormat="1" ht="28" customHeight="1" x14ac:dyDescent="0.35">
      <c r="A172" s="1122" t="s">
        <v>81</v>
      </c>
      <c r="B172" s="1123"/>
      <c r="C172" s="1123"/>
      <c r="D172" s="1123"/>
      <c r="E172" s="1123"/>
      <c r="F172" s="1123"/>
      <c r="G172" s="1123"/>
      <c r="H172" s="1124"/>
      <c r="I172" s="27">
        <f>SUMIF(H16:H159,"SB(ESA)",I16:I159)</f>
        <v>0</v>
      </c>
      <c r="J172" s="428">
        <f>SUMIF(H16:H159,"SB(ESA)",J16:J159)</f>
        <v>0</v>
      </c>
      <c r="K172" s="435">
        <f>SUMIF(H16:H159,"SB(ESA)",K16:K159)</f>
        <v>0</v>
      </c>
      <c r="L172" s="422">
        <f>SUMIF(H16:H159,"SB(ESA)",L16:L159)</f>
        <v>0</v>
      </c>
      <c r="M172" s="21"/>
      <c r="N172" s="1"/>
      <c r="O172" s="1"/>
      <c r="P172" s="1"/>
      <c r="Q172" s="1"/>
    </row>
    <row r="173" spans="1:46" s="44" customFormat="1" ht="18" customHeight="1" x14ac:dyDescent="0.35">
      <c r="A173" s="1122" t="s">
        <v>197</v>
      </c>
      <c r="B173" s="1123"/>
      <c r="C173" s="1123"/>
      <c r="D173" s="1123"/>
      <c r="E173" s="1123"/>
      <c r="F173" s="1123"/>
      <c r="G173" s="1123"/>
      <c r="H173" s="1124"/>
      <c r="I173" s="27">
        <f>SUMIF(H16:H159,"SB(ES)",I16:I159)</f>
        <v>521.30000000000007</v>
      </c>
      <c r="J173" s="428">
        <f>SUMIF(H16:H159,"SB(ES)",J16:J159)</f>
        <v>68.3</v>
      </c>
      <c r="K173" s="435">
        <f>SUMIF(H16:H159,"SB(ES)",K16:K159)</f>
        <v>0</v>
      </c>
      <c r="L173" s="422">
        <f>SUMIF(H16:H159,"SB(ES)",L16:L159)</f>
        <v>0</v>
      </c>
      <c r="M173" s="59"/>
      <c r="N173" s="1"/>
      <c r="O173" s="1"/>
      <c r="P173" s="1"/>
      <c r="Q173" s="1"/>
    </row>
    <row r="174" spans="1:46" s="44" customFormat="1" ht="15" customHeight="1" x14ac:dyDescent="0.35">
      <c r="A174" s="1110" t="s">
        <v>52</v>
      </c>
      <c r="B174" s="1111"/>
      <c r="C174" s="1111"/>
      <c r="D174" s="1111"/>
      <c r="E174" s="1111"/>
      <c r="F174" s="1111"/>
      <c r="G174" s="1111"/>
      <c r="H174" s="1112"/>
      <c r="I174" s="28">
        <f>SUMIF(H16:H159,"SB(AAL)",I16:I159)</f>
        <v>230.49999999999997</v>
      </c>
      <c r="J174" s="430">
        <f>SUMIF(H16:H159,"SB(AAL)",J16:J159)</f>
        <v>274.79999999999995</v>
      </c>
      <c r="K174" s="437">
        <f>SUMIF(H16:H159,"SB(AAL)",K16:K159)</f>
        <v>69</v>
      </c>
      <c r="L174" s="424">
        <f>SUMIF(H16:H159,"SB(AAL)",L16:L159)</f>
        <v>0</v>
      </c>
      <c r="M174" s="21"/>
      <c r="N174" s="1"/>
      <c r="O174" s="1"/>
      <c r="P174" s="1"/>
      <c r="Q174" s="1"/>
    </row>
    <row r="175" spans="1:46" s="44" customFormat="1" ht="15" customHeight="1" x14ac:dyDescent="0.35">
      <c r="A175" s="1113" t="s">
        <v>115</v>
      </c>
      <c r="B175" s="1114"/>
      <c r="C175" s="1114"/>
      <c r="D175" s="1114"/>
      <c r="E175" s="1114"/>
      <c r="F175" s="1114"/>
      <c r="G175" s="1114"/>
      <c r="H175" s="1115"/>
      <c r="I175" s="28">
        <f>SUMIF(H16:H159,"SB(ESL)",I16:I159)</f>
        <v>18.400000000000002</v>
      </c>
      <c r="J175" s="430">
        <f>SUMIF(H16:H159,"SB(ESL)",J16:J159)</f>
        <v>45.9</v>
      </c>
      <c r="K175" s="437">
        <f>SUMIF(H16:H159,"SB(ESL)",K16:K159)</f>
        <v>0</v>
      </c>
      <c r="L175" s="424">
        <f>SUMIF(H16:H159,"SB(ESL)",L16:L159)</f>
        <v>0</v>
      </c>
      <c r="M175" s="21"/>
      <c r="N175" s="1"/>
      <c r="O175" s="1"/>
      <c r="P175" s="1"/>
      <c r="Q175" s="1"/>
    </row>
    <row r="176" spans="1:46" s="44" customFormat="1" ht="15" customHeight="1" x14ac:dyDescent="0.35">
      <c r="A176" s="1110" t="s">
        <v>113</v>
      </c>
      <c r="B176" s="1111"/>
      <c r="C176" s="1111"/>
      <c r="D176" s="1111"/>
      <c r="E176" s="1111"/>
      <c r="F176" s="1111"/>
      <c r="G176" s="1111"/>
      <c r="H176" s="1112"/>
      <c r="I176" s="28">
        <f>SUMIF(H16:H159,"SB(VRL)",I16:I159)</f>
        <v>789</v>
      </c>
      <c r="J176" s="430">
        <f>SUMIF(H16:H159,"SB(VRL)",J16:J159)</f>
        <v>912.9000000000002</v>
      </c>
      <c r="K176" s="437">
        <f>SUMIF(H16:H159,"SB(VRL)",K16:K159)</f>
        <v>479.50000000000017</v>
      </c>
      <c r="L176" s="424">
        <f>SUMIF(H16:H159,"SB(VRL)",L16:L159)</f>
        <v>468.70000000000022</v>
      </c>
      <c r="M176" s="21"/>
      <c r="N176" s="1"/>
      <c r="O176" s="1"/>
      <c r="P176" s="1"/>
      <c r="Q176" s="1"/>
    </row>
    <row r="177" spans="1:17" s="44" customFormat="1" ht="15" customHeight="1" x14ac:dyDescent="0.35">
      <c r="A177" s="1110" t="s">
        <v>114</v>
      </c>
      <c r="B177" s="1111"/>
      <c r="C177" s="1111"/>
      <c r="D177" s="1111"/>
      <c r="E177" s="1111"/>
      <c r="F177" s="1111"/>
      <c r="G177" s="1111"/>
      <c r="H177" s="1112"/>
      <c r="I177" s="28">
        <f>SUMIF(H16:H159,"SB(L)",I16:I159)</f>
        <v>186</v>
      </c>
      <c r="J177" s="430">
        <f>SUMIF(H16:H159,"SB(L)",J16:J159)</f>
        <v>1225.8</v>
      </c>
      <c r="K177" s="437">
        <f>SUMIF(H16:H159,"SB(L)",K16:K159)</f>
        <v>0</v>
      </c>
      <c r="L177" s="424">
        <f>SUMIF(H16:H159,"SB(L)",L16:L159)</f>
        <v>0</v>
      </c>
      <c r="M177" s="21"/>
      <c r="N177" s="1"/>
      <c r="O177" s="1"/>
      <c r="P177" s="1"/>
      <c r="Q177" s="1"/>
    </row>
    <row r="178" spans="1:17" s="44" customFormat="1" ht="15" customHeight="1" x14ac:dyDescent="0.35">
      <c r="A178" s="1110" t="s">
        <v>97</v>
      </c>
      <c r="B178" s="1111"/>
      <c r="C178" s="1111"/>
      <c r="D178" s="1111"/>
      <c r="E178" s="1111"/>
      <c r="F178" s="1111"/>
      <c r="G178" s="1111"/>
      <c r="H178" s="1112"/>
      <c r="I178" s="28">
        <f>SUMIF(H16:H159,"SB(VBL)",I16:I159)</f>
        <v>0.1</v>
      </c>
      <c r="J178" s="430">
        <f>SUMIF(H16:H159,"SB(VBL)",J16:J159)</f>
        <v>4.0999999999999996</v>
      </c>
      <c r="K178" s="437">
        <f>SUMIF(H16:H159,"SB(VBL)",K16:K159)</f>
        <v>0</v>
      </c>
      <c r="L178" s="424">
        <f>SUMIF(H16:H159,"SB(VBL)",L16:L159)</f>
        <v>0</v>
      </c>
      <c r="M178" s="21"/>
      <c r="N178" s="1"/>
      <c r="O178" s="1"/>
      <c r="P178" s="1"/>
      <c r="Q178" s="1"/>
    </row>
    <row r="179" spans="1:17" s="44" customFormat="1" ht="15" customHeight="1" x14ac:dyDescent="0.35">
      <c r="A179" s="1116" t="s">
        <v>53</v>
      </c>
      <c r="B179" s="1117"/>
      <c r="C179" s="1117"/>
      <c r="D179" s="1117"/>
      <c r="E179" s="1117"/>
      <c r="F179" s="1117"/>
      <c r="G179" s="1117"/>
      <c r="H179" s="1118"/>
      <c r="I179" s="24">
        <f t="shared" ref="I179:L179" si="9">SUM(I180:I182)</f>
        <v>22</v>
      </c>
      <c r="J179" s="431">
        <f t="shared" ref="J179:K179" si="10">SUM(J180:J182)</f>
        <v>69.8</v>
      </c>
      <c r="K179" s="438">
        <f t="shared" si="10"/>
        <v>47.8</v>
      </c>
      <c r="L179" s="425">
        <f t="shared" si="9"/>
        <v>20</v>
      </c>
      <c r="M179" s="21"/>
      <c r="N179" s="1"/>
      <c r="O179" s="1"/>
      <c r="P179" s="1"/>
      <c r="Q179" s="1"/>
    </row>
    <row r="180" spans="1:17" s="44" customFormat="1" ht="15" customHeight="1" x14ac:dyDescent="0.35">
      <c r="A180" s="1194" t="s">
        <v>54</v>
      </c>
      <c r="B180" s="1195"/>
      <c r="C180" s="1195"/>
      <c r="D180" s="1195"/>
      <c r="E180" s="1195"/>
      <c r="F180" s="1195"/>
      <c r="G180" s="1196"/>
      <c r="H180" s="1197"/>
      <c r="I180" s="27">
        <f>SUMIF(H16:H159,"ES",I16:I159)</f>
        <v>0</v>
      </c>
      <c r="J180" s="428">
        <f>SUMIF(H16:H159,"ES",J16:J159)</f>
        <v>0</v>
      </c>
      <c r="K180" s="435">
        <f>SUMIF(H16:H159,"ES",K16:K159)</f>
        <v>0</v>
      </c>
      <c r="L180" s="422">
        <f>SUMIF(H16:H159,"ES",L16:L159)</f>
        <v>0</v>
      </c>
      <c r="M180" s="21"/>
      <c r="N180" s="1"/>
      <c r="O180" s="1"/>
      <c r="P180" s="1"/>
      <c r="Q180" s="1"/>
    </row>
    <row r="181" spans="1:17" s="44" customFormat="1" ht="15" customHeight="1" x14ac:dyDescent="0.35">
      <c r="A181" s="1101" t="s">
        <v>55</v>
      </c>
      <c r="B181" s="1102"/>
      <c r="C181" s="1102"/>
      <c r="D181" s="1102"/>
      <c r="E181" s="1102"/>
      <c r="F181" s="1102"/>
      <c r="G181" s="1198"/>
      <c r="H181" s="1103"/>
      <c r="I181" s="27">
        <f>SUMIF(H16:H159,"LRVB",I16:I159)</f>
        <v>0</v>
      </c>
      <c r="J181" s="428">
        <f>SUMIF(H16:H159,"LRVB",J16:J159)</f>
        <v>25.8</v>
      </c>
      <c r="K181" s="435">
        <f>SUMIF(H16:H159,"LRVB",K16:K159)</f>
        <v>25.8</v>
      </c>
      <c r="L181" s="422">
        <f>SUMIF(H16:H159,"LRVB",L16:L159)</f>
        <v>20</v>
      </c>
      <c r="M181" s="21"/>
      <c r="N181" s="1"/>
      <c r="O181" s="1"/>
      <c r="P181" s="1"/>
      <c r="Q181" s="1"/>
    </row>
    <row r="182" spans="1:17" s="44" customFormat="1" ht="15" customHeight="1" x14ac:dyDescent="0.35">
      <c r="A182" s="1101" t="s">
        <v>56</v>
      </c>
      <c r="B182" s="1102"/>
      <c r="C182" s="1102"/>
      <c r="D182" s="1102"/>
      <c r="E182" s="1102"/>
      <c r="F182" s="1102"/>
      <c r="G182" s="1198"/>
      <c r="H182" s="1103"/>
      <c r="I182" s="27">
        <f>SUMIF(H16:H159,"Kt",I16:I159)</f>
        <v>22</v>
      </c>
      <c r="J182" s="428">
        <f>SUMIF(H16:H159,"Kt",J16:J159)</f>
        <v>44</v>
      </c>
      <c r="K182" s="435">
        <f>SUMIF(H16:H159,"Kt",K16:K159)</f>
        <v>22</v>
      </c>
      <c r="L182" s="422">
        <f>SUMIF(H16:H159,"Kt",L16:L159)</f>
        <v>0</v>
      </c>
      <c r="M182" s="21"/>
      <c r="N182" s="1"/>
      <c r="O182" s="1"/>
      <c r="P182" s="1"/>
      <c r="Q182" s="1"/>
    </row>
    <row r="183" spans="1:17" s="44" customFormat="1" ht="15" customHeight="1" thickBot="1" x14ac:dyDescent="0.4">
      <c r="A183" s="1106" t="s">
        <v>57</v>
      </c>
      <c r="B183" s="1107"/>
      <c r="C183" s="1107"/>
      <c r="D183" s="1107"/>
      <c r="E183" s="1107"/>
      <c r="F183" s="1107"/>
      <c r="G183" s="1107"/>
      <c r="H183" s="1108"/>
      <c r="I183" s="25">
        <f>SUM(I165,I179)</f>
        <v>9034</v>
      </c>
      <c r="J183" s="439">
        <f>SUM(J165,J179)</f>
        <v>10241.299999999999</v>
      </c>
      <c r="K183" s="440">
        <f>SUM(K165,K179)</f>
        <v>8866.5999999999985</v>
      </c>
      <c r="L183" s="432">
        <f>SUM(L165,L179)</f>
        <v>7523.4999999999991</v>
      </c>
      <c r="M183" s="7"/>
    </row>
    <row r="184" spans="1:17" s="44" customFormat="1" x14ac:dyDescent="0.35">
      <c r="A184" s="1"/>
      <c r="B184" s="1"/>
      <c r="C184" s="1"/>
      <c r="D184" s="1"/>
      <c r="E184" s="1"/>
      <c r="F184" s="36"/>
      <c r="G184" s="220"/>
      <c r="H184" s="221"/>
      <c r="I184" s="221"/>
      <c r="J184" s="221"/>
      <c r="K184" s="221"/>
      <c r="L184" s="221"/>
      <c r="M184" s="21"/>
      <c r="N184" s="1"/>
      <c r="O184" s="1"/>
      <c r="P184" s="1"/>
      <c r="Q184" s="1"/>
    </row>
    <row r="186" spans="1:17" x14ac:dyDescent="0.3">
      <c r="J186" s="48"/>
      <c r="K186" s="48"/>
      <c r="L186" s="48"/>
      <c r="M186" s="48"/>
    </row>
    <row r="187" spans="1:17" x14ac:dyDescent="0.3">
      <c r="M187" s="48"/>
    </row>
    <row r="188" spans="1:17" x14ac:dyDescent="0.3">
      <c r="J188" s="48"/>
      <c r="K188" s="48"/>
      <c r="L188" s="48"/>
      <c r="M188" s="48"/>
    </row>
    <row r="189" spans="1:17" x14ac:dyDescent="0.3">
      <c r="J189" s="571"/>
      <c r="K189" s="571"/>
      <c r="L189" s="571"/>
    </row>
  </sheetData>
  <mergeCells count="169">
    <mergeCell ref="R73:T77"/>
    <mergeCell ref="R116:T116"/>
    <mergeCell ref="A138:A141"/>
    <mergeCell ref="B158:H158"/>
    <mergeCell ref="B159:H159"/>
    <mergeCell ref="M146:M147"/>
    <mergeCell ref="M157:Q157"/>
    <mergeCell ref="M158:Q158"/>
    <mergeCell ref="M159:Q159"/>
    <mergeCell ref="M143:Q143"/>
    <mergeCell ref="E117:E118"/>
    <mergeCell ref="E131:E133"/>
    <mergeCell ref="G115:G116"/>
    <mergeCell ref="E136:E137"/>
    <mergeCell ref="M136:M137"/>
    <mergeCell ref="E119:E121"/>
    <mergeCell ref="G119:G121"/>
    <mergeCell ref="E122:E124"/>
    <mergeCell ref="G122:G124"/>
    <mergeCell ref="G131:G133"/>
    <mergeCell ref="E115:E116"/>
    <mergeCell ref="G136:G141"/>
    <mergeCell ref="G113:G114"/>
    <mergeCell ref="E125:E126"/>
    <mergeCell ref="E146:E148"/>
    <mergeCell ref="G146:G147"/>
    <mergeCell ref="A87:A110"/>
    <mergeCell ref="B87:B110"/>
    <mergeCell ref="C87:C110"/>
    <mergeCell ref="E87:E91"/>
    <mergeCell ref="G87:G91"/>
    <mergeCell ref="C143:H143"/>
    <mergeCell ref="A136:A137"/>
    <mergeCell ref="C144:Q144"/>
    <mergeCell ref="B136:B137"/>
    <mergeCell ref="C136:C137"/>
    <mergeCell ref="D92:D97"/>
    <mergeCell ref="E92:E97"/>
    <mergeCell ref="B138:B141"/>
    <mergeCell ref="C138:C141"/>
    <mergeCell ref="D138:D141"/>
    <mergeCell ref="E138:E141"/>
    <mergeCell ref="M139:M140"/>
    <mergeCell ref="E105:E109"/>
    <mergeCell ref="G105:G106"/>
    <mergeCell ref="E128:E130"/>
    <mergeCell ref="A183:H183"/>
    <mergeCell ref="A172:H172"/>
    <mergeCell ref="A173:H173"/>
    <mergeCell ref="A174:H174"/>
    <mergeCell ref="A175:H175"/>
    <mergeCell ref="A176:H176"/>
    <mergeCell ref="A177:H177"/>
    <mergeCell ref="A165:H165"/>
    <mergeCell ref="A166:H166"/>
    <mergeCell ref="A167:H167"/>
    <mergeCell ref="A168:H168"/>
    <mergeCell ref="A169:H169"/>
    <mergeCell ref="A170:H170"/>
    <mergeCell ref="A178:H178"/>
    <mergeCell ref="A179:H179"/>
    <mergeCell ref="A180:H180"/>
    <mergeCell ref="A181:H181"/>
    <mergeCell ref="A182:H182"/>
    <mergeCell ref="A171:H171"/>
    <mergeCell ref="A161:Q161"/>
    <mergeCell ref="A164:H164"/>
    <mergeCell ref="E149:E152"/>
    <mergeCell ref="G149:G150"/>
    <mergeCell ref="D153:D155"/>
    <mergeCell ref="E153:E155"/>
    <mergeCell ref="G153:G155"/>
    <mergeCell ref="C157:H157"/>
    <mergeCell ref="A163:L163"/>
    <mergeCell ref="A160:Q160"/>
    <mergeCell ref="G83:G86"/>
    <mergeCell ref="E67:E69"/>
    <mergeCell ref="G67:G69"/>
    <mergeCell ref="E111:E112"/>
    <mergeCell ref="E98:E104"/>
    <mergeCell ref="G98:G99"/>
    <mergeCell ref="M87:M88"/>
    <mergeCell ref="M106:M109"/>
    <mergeCell ref="M89:M91"/>
    <mergeCell ref="M92:M93"/>
    <mergeCell ref="M99:M100"/>
    <mergeCell ref="G92:G93"/>
    <mergeCell ref="M81:M82"/>
    <mergeCell ref="M41:M42"/>
    <mergeCell ref="G47:G50"/>
    <mergeCell ref="M60:Q60"/>
    <mergeCell ref="C61:Q61"/>
    <mergeCell ref="E73:E77"/>
    <mergeCell ref="G73:G77"/>
    <mergeCell ref="M73:M77"/>
    <mergeCell ref="E78:E82"/>
    <mergeCell ref="G78:G79"/>
    <mergeCell ref="C60:H60"/>
    <mergeCell ref="E65:E66"/>
    <mergeCell ref="M65:M66"/>
    <mergeCell ref="E55:E56"/>
    <mergeCell ref="G63:G66"/>
    <mergeCell ref="G51:G52"/>
    <mergeCell ref="E43:E44"/>
    <mergeCell ref="C36:H36"/>
    <mergeCell ref="A38:A40"/>
    <mergeCell ref="B38:B40"/>
    <mergeCell ref="C38:C40"/>
    <mergeCell ref="G38:G40"/>
    <mergeCell ref="E39:E40"/>
    <mergeCell ref="A30:A31"/>
    <mergeCell ref="B30:B31"/>
    <mergeCell ref="C30:C31"/>
    <mergeCell ref="E30:E31"/>
    <mergeCell ref="G30:G31"/>
    <mergeCell ref="E32:E34"/>
    <mergeCell ref="G32:G33"/>
    <mergeCell ref="A25:A27"/>
    <mergeCell ref="B25:B27"/>
    <mergeCell ref="C25:C27"/>
    <mergeCell ref="E25:E27"/>
    <mergeCell ref="G25:G27"/>
    <mergeCell ref="A28:A29"/>
    <mergeCell ref="B28:B29"/>
    <mergeCell ref="C28:C29"/>
    <mergeCell ref="E28:E29"/>
    <mergeCell ref="G28:G29"/>
    <mergeCell ref="E18:E19"/>
    <mergeCell ref="G18:G19"/>
    <mergeCell ref="M18:M19"/>
    <mergeCell ref="A21:A23"/>
    <mergeCell ref="B21:B23"/>
    <mergeCell ref="C21:C23"/>
    <mergeCell ref="E21:E22"/>
    <mergeCell ref="F21:F23"/>
    <mergeCell ref="G21:G23"/>
    <mergeCell ref="M16:M17"/>
    <mergeCell ref="B8:B10"/>
    <mergeCell ref="C8:C10"/>
    <mergeCell ref="D8:D10"/>
    <mergeCell ref="E8:E10"/>
    <mergeCell ref="M9:M10"/>
    <mergeCell ref="I8:I10"/>
    <mergeCell ref="J8:J10"/>
    <mergeCell ref="G16:G17"/>
    <mergeCell ref="N9:N10"/>
    <mergeCell ref="M8:Q8"/>
    <mergeCell ref="O9:Q9"/>
    <mergeCell ref="C37:Q37"/>
    <mergeCell ref="M1:Q1"/>
    <mergeCell ref="A3:Q3"/>
    <mergeCell ref="A4:Q4"/>
    <mergeCell ref="A5:Q5"/>
    <mergeCell ref="P7:Q7"/>
    <mergeCell ref="K8:K10"/>
    <mergeCell ref="A11:Q11"/>
    <mergeCell ref="A12:Q12"/>
    <mergeCell ref="B13:Q13"/>
    <mergeCell ref="C14:Q14"/>
    <mergeCell ref="M36:Q36"/>
    <mergeCell ref="A8:A10"/>
    <mergeCell ref="A15:A17"/>
    <mergeCell ref="F8:F10"/>
    <mergeCell ref="G8:G10"/>
    <mergeCell ref="H8:H10"/>
    <mergeCell ref="L8:L10"/>
    <mergeCell ref="B15:B17"/>
    <mergeCell ref="C15:C17"/>
    <mergeCell ref="E16:E17"/>
  </mergeCells>
  <printOptions horizontalCentered="1"/>
  <pageMargins left="0.78740157480314965" right="0.39370078740157483" top="0.39370078740157483" bottom="0.39370078740157483" header="0" footer="0"/>
  <pageSetup paperSize="9" scale="51" orientation="portrait" r:id="rId1"/>
  <rowBreaks count="2" manualBreakCount="2">
    <brk id="71" max="16" man="1"/>
    <brk id="143" max="16" man="1"/>
  </rowBreaks>
  <ignoredErrors>
    <ignoredError sqref="I158:L15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5 programa</vt:lpstr>
      <vt:lpstr>Aiškinamoji lentelė</vt:lpstr>
      <vt:lpstr>'5 programa'!Print_Area</vt:lpstr>
      <vt:lpstr>'Aiškinamoji lentelė'!Print_Area</vt:lpstr>
      <vt:lpstr>'5 programa'!Print_Titles</vt:lpstr>
      <vt:lpstr>'Aiškinamoji lentelė'!Print_Titles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Inga Mikalauskienė</cp:lastModifiedBy>
  <cp:lastPrinted>2022-02-14T18:45:42Z</cp:lastPrinted>
  <dcterms:created xsi:type="dcterms:W3CDTF">2015-10-26T14:41:47Z</dcterms:created>
  <dcterms:modified xsi:type="dcterms:W3CDTF">2022-02-14T19:06:34Z</dcterms:modified>
  <cp:contentStatus/>
</cp:coreProperties>
</file>