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O PROJEKTAS\"/>
    </mc:Choice>
  </mc:AlternateContent>
  <bookViews>
    <workbookView xWindow="0" yWindow="0" windowWidth="24000" windowHeight="8700"/>
  </bookViews>
  <sheets>
    <sheet name="6 programa" sheetId="10" r:id="rId1"/>
    <sheet name="Aiškinamoji lentelė" sheetId="7" state="hidden" r:id="rId2"/>
    <sheet name="Žvyruotos gatvės" sheetId="8" state="hidden" r:id="rId3"/>
    <sheet name="Viešasis transportas" sheetId="9" state="hidden" r:id="rId4"/>
  </sheets>
  <definedNames>
    <definedName name="_xlnm.Print_Area" localSheetId="0">'6 programa'!$A$1:$M$311</definedName>
    <definedName name="_xlnm.Print_Area" localSheetId="1">'Aiškinamoji lentelė'!$A$1:$Q$345</definedName>
    <definedName name="_xlnm.Print_Area" localSheetId="2">'Žvyruotos gatvės'!$A$1:$N$98</definedName>
    <definedName name="_xlnm.Print_Titles" localSheetId="0">'6 programa'!$9:$11</definedName>
    <definedName name="_xlnm.Print_Titles" localSheetId="1">'Aiškinamoji lentelė'!$8:$10</definedName>
  </definedNames>
  <calcPr calcId="162913" fullPrecision="0"/>
</workbook>
</file>

<file path=xl/calcChain.xml><?xml version="1.0" encoding="utf-8"?>
<calcChain xmlns="http://schemas.openxmlformats.org/spreadsheetml/2006/main">
  <c r="I290" i="10" l="1"/>
  <c r="H290" i="10"/>
  <c r="G290" i="10"/>
  <c r="I308" i="10" l="1"/>
  <c r="I307" i="10"/>
  <c r="I306" i="10"/>
  <c r="I305" i="10"/>
  <c r="I303" i="10"/>
  <c r="I302" i="10"/>
  <c r="I301" i="10"/>
  <c r="I300" i="10"/>
  <c r="I299" i="10"/>
  <c r="I298" i="10"/>
  <c r="I297" i="10"/>
  <c r="I296" i="10"/>
  <c r="I295" i="10"/>
  <c r="I294" i="10"/>
  <c r="I293" i="10"/>
  <c r="I292" i="10"/>
  <c r="H308" i="10"/>
  <c r="H307" i="10"/>
  <c r="H306" i="10"/>
  <c r="H305" i="10"/>
  <c r="H303" i="10"/>
  <c r="H302" i="10"/>
  <c r="H301" i="10"/>
  <c r="H300" i="10"/>
  <c r="H299" i="10"/>
  <c r="H298" i="10"/>
  <c r="H297" i="10"/>
  <c r="H296" i="10"/>
  <c r="H295" i="10"/>
  <c r="H294" i="10"/>
  <c r="H293" i="10"/>
  <c r="H292" i="10"/>
  <c r="G297" i="10"/>
  <c r="G308" i="10"/>
  <c r="G307" i="10"/>
  <c r="G306" i="10"/>
  <c r="G305" i="10"/>
  <c r="G303" i="10"/>
  <c r="G302" i="10"/>
  <c r="G301" i="10"/>
  <c r="G300" i="10"/>
  <c r="G299" i="10"/>
  <c r="G298" i="10"/>
  <c r="G296" i="10"/>
  <c r="G295" i="10"/>
  <c r="G294" i="10"/>
  <c r="G293" i="10"/>
  <c r="G292" i="10"/>
  <c r="I282" i="10"/>
  <c r="H282" i="10"/>
  <c r="G282" i="10"/>
  <c r="Q244" i="10"/>
  <c r="R244" i="10"/>
  <c r="P244" i="10"/>
  <c r="Q245" i="10"/>
  <c r="R245" i="10"/>
  <c r="P245" i="10"/>
  <c r="P239" i="10"/>
  <c r="P243" i="10"/>
  <c r="P237" i="10"/>
  <c r="P242" i="10"/>
  <c r="P241" i="10"/>
  <c r="P240" i="10"/>
  <c r="Q243" i="10"/>
  <c r="R243" i="10"/>
  <c r="Q242" i="10"/>
  <c r="R242" i="10"/>
  <c r="Q241" i="10"/>
  <c r="R241" i="10"/>
  <c r="Q240" i="10"/>
  <c r="R240" i="10"/>
  <c r="Q238" i="10"/>
  <c r="R238" i="10"/>
  <c r="P238" i="10"/>
  <c r="Q237" i="10"/>
  <c r="R237" i="10"/>
  <c r="H236" i="10"/>
  <c r="I236" i="10"/>
  <c r="G236" i="10"/>
  <c r="Q212" i="10"/>
  <c r="R212" i="10"/>
  <c r="Q210" i="10"/>
  <c r="R210" i="10"/>
  <c r="Q211" i="10"/>
  <c r="R211" i="10"/>
  <c r="P211" i="10"/>
  <c r="Q209" i="10"/>
  <c r="R209" i="10"/>
  <c r="R213" i="10" s="1"/>
  <c r="P163" i="10"/>
  <c r="Q163" i="10"/>
  <c r="R163" i="10"/>
  <c r="H206" i="10"/>
  <c r="I206" i="10"/>
  <c r="G206" i="10"/>
  <c r="Q166" i="10"/>
  <c r="R166" i="10"/>
  <c r="P166" i="10"/>
  <c r="Q165" i="10"/>
  <c r="R165" i="10"/>
  <c r="P165" i="10"/>
  <c r="Q164" i="10"/>
  <c r="R164" i="10"/>
  <c r="P164" i="10"/>
  <c r="Q162" i="10"/>
  <c r="R162" i="10"/>
  <c r="H159" i="10"/>
  <c r="I159" i="10"/>
  <c r="G159" i="10"/>
  <c r="Q24" i="10"/>
  <c r="R24" i="10"/>
  <c r="P24" i="10"/>
  <c r="Q27" i="10"/>
  <c r="R27" i="10"/>
  <c r="Q25" i="10"/>
  <c r="R25" i="10"/>
  <c r="P25" i="10"/>
  <c r="Q26" i="10"/>
  <c r="R26" i="10"/>
  <c r="P26" i="10"/>
  <c r="Q23" i="10"/>
  <c r="R23" i="10"/>
  <c r="P23" i="10"/>
  <c r="Q22" i="10"/>
  <c r="R22" i="10"/>
  <c r="P22" i="10"/>
  <c r="Q21" i="10"/>
  <c r="R21" i="10"/>
  <c r="P21" i="10"/>
  <c r="Q20" i="10"/>
  <c r="R20" i="10"/>
  <c r="P20" i="10"/>
  <c r="Q19" i="10"/>
  <c r="R19" i="10"/>
  <c r="Q18" i="10"/>
  <c r="R18" i="10"/>
  <c r="P18" i="10"/>
  <c r="Q17" i="10"/>
  <c r="R17" i="10"/>
  <c r="Q16" i="10"/>
  <c r="R16" i="10"/>
  <c r="P246" i="10" l="1"/>
  <c r="P247" i="10" s="1"/>
  <c r="Q213" i="10"/>
  <c r="Q214" i="10" s="1"/>
  <c r="Q167" i="10"/>
  <c r="Q168" i="10" s="1"/>
  <c r="R167" i="10"/>
  <c r="R168" i="10" s="1"/>
  <c r="R214" i="10"/>
  <c r="Q28" i="10"/>
  <c r="Q29" i="10" s="1"/>
  <c r="R28" i="10"/>
  <c r="R29" i="10" s="1"/>
  <c r="G33" i="10"/>
  <c r="P27" i="10" s="1"/>
  <c r="H266" i="10"/>
  <c r="Q239" i="10" s="1"/>
  <c r="Q246" i="10" s="1"/>
  <c r="Q247" i="10" s="1"/>
  <c r="G232" i="10"/>
  <c r="G229" i="10"/>
  <c r="P212" i="10" s="1"/>
  <c r="G228" i="10"/>
  <c r="P210" i="10" s="1"/>
  <c r="G217" i="10"/>
  <c r="I207" i="10"/>
  <c r="H207" i="10"/>
  <c r="G197" i="10"/>
  <c r="G184" i="10"/>
  <c r="L180" i="10"/>
  <c r="G180" i="10"/>
  <c r="I160" i="10"/>
  <c r="H160" i="10"/>
  <c r="G114" i="10"/>
  <c r="G112" i="10"/>
  <c r="G88" i="10"/>
  <c r="G87" i="10"/>
  <c r="G30" i="10"/>
  <c r="P209" i="10" l="1"/>
  <c r="P213" i="10" s="1"/>
  <c r="P214" i="10" s="1"/>
  <c r="P162" i="10"/>
  <c r="P167" i="10" s="1"/>
  <c r="P168" i="10" s="1"/>
  <c r="P17" i="10"/>
  <c r="P16" i="10"/>
  <c r="P19" i="10"/>
  <c r="G304" i="10"/>
  <c r="H304" i="10"/>
  <c r="H283" i="10"/>
  <c r="H284" i="10" s="1"/>
  <c r="H285" i="10" s="1"/>
  <c r="I266" i="10"/>
  <c r="I304" i="10"/>
  <c r="H291" i="10"/>
  <c r="G207" i="10"/>
  <c r="G283" i="10"/>
  <c r="G160" i="10"/>
  <c r="G26" i="8"/>
  <c r="H26" i="8"/>
  <c r="I26" i="8"/>
  <c r="F8" i="8"/>
  <c r="F7" i="8"/>
  <c r="F6" i="8"/>
  <c r="I291" i="10" l="1"/>
  <c r="R239" i="10"/>
  <c r="R246" i="10" s="1"/>
  <c r="R247" i="10" s="1"/>
  <c r="P28" i="10"/>
  <c r="P29" i="10" s="1"/>
  <c r="H309" i="10"/>
  <c r="I309" i="10"/>
  <c r="G291" i="10"/>
  <c r="G309" i="10" s="1"/>
  <c r="I283" i="10"/>
  <c r="I284" i="10" s="1"/>
  <c r="I285" i="10" s="1"/>
  <c r="G284" i="10"/>
  <c r="G285" i="10" s="1"/>
  <c r="J309" i="7"/>
  <c r="J276" i="7" l="1"/>
  <c r="J313" i="7" s="1"/>
  <c r="F16" i="8" l="1"/>
  <c r="F15" i="8"/>
  <c r="F12" i="8"/>
  <c r="F11" i="8"/>
  <c r="F26" i="8" s="1"/>
  <c r="I28" i="7" l="1"/>
  <c r="I20" i="7"/>
  <c r="I17" i="7"/>
  <c r="I45" i="7"/>
  <c r="I19" i="7"/>
  <c r="J130" i="7" l="1"/>
  <c r="I130" i="7" l="1"/>
  <c r="J248" i="7" l="1"/>
  <c r="J263" i="7" l="1"/>
  <c r="J228" i="7"/>
  <c r="J205" i="7"/>
  <c r="J132" i="7"/>
  <c r="J106" i="7"/>
  <c r="J105" i="7"/>
  <c r="L329" i="7" l="1"/>
  <c r="J329" i="7"/>
  <c r="K329" i="7"/>
  <c r="K325" i="7" l="1"/>
  <c r="L325" i="7"/>
  <c r="J325" i="7"/>
  <c r="I259" i="7" l="1"/>
  <c r="I242" i="7"/>
  <c r="I151" i="7"/>
  <c r="I150" i="7"/>
  <c r="I149" i="7"/>
  <c r="I142" i="7"/>
  <c r="I126" i="7"/>
  <c r="I123" i="7"/>
  <c r="I106" i="7"/>
  <c r="I71" i="7"/>
  <c r="I70" i="7"/>
  <c r="I67" i="7"/>
  <c r="I55" i="7"/>
  <c r="I52" i="7"/>
  <c r="I51" i="7"/>
  <c r="I39" i="7"/>
  <c r="I23" i="7"/>
  <c r="I24" i="7"/>
  <c r="I325" i="7" s="1"/>
  <c r="I283" i="7" l="1"/>
  <c r="I274" i="7"/>
  <c r="I203" i="7"/>
  <c r="I201" i="7"/>
  <c r="I200" i="7"/>
  <c r="I191" i="7"/>
  <c r="I138" i="7"/>
  <c r="I75" i="7"/>
  <c r="J260" i="7" l="1"/>
  <c r="J259" i="7"/>
  <c r="J328" i="7" l="1"/>
  <c r="I287" i="7" l="1"/>
  <c r="L238" i="7" l="1"/>
  <c r="K238" i="7"/>
  <c r="J25" i="7" l="1"/>
  <c r="J19" i="7"/>
  <c r="J187" i="7" l="1"/>
  <c r="K297" i="7" l="1"/>
  <c r="K313" i="7" s="1"/>
  <c r="L267" i="7"/>
  <c r="K267" i="7"/>
  <c r="J267" i="7"/>
  <c r="L297" i="7" l="1"/>
  <c r="L313" i="7" s="1"/>
  <c r="J209" i="7"/>
  <c r="J238" i="7" s="1"/>
  <c r="P205" i="7"/>
  <c r="L187" i="7" l="1"/>
  <c r="K187" i="7"/>
  <c r="I304" i="7" l="1"/>
  <c r="I297" i="7"/>
  <c r="I105" i="7"/>
  <c r="I101" i="7"/>
  <c r="I43" i="7"/>
  <c r="I42" i="7"/>
  <c r="I21" i="7"/>
  <c r="L335" i="7" l="1"/>
  <c r="L343" i="7"/>
  <c r="L342" i="7"/>
  <c r="L341" i="7"/>
  <c r="L340" i="7"/>
  <c r="L338" i="7"/>
  <c r="L337" i="7"/>
  <c r="L336" i="7"/>
  <c r="L334" i="7"/>
  <c r="L333" i="7"/>
  <c r="L332" i="7"/>
  <c r="L331" i="7"/>
  <c r="L330" i="7"/>
  <c r="L328" i="7"/>
  <c r="L327" i="7"/>
  <c r="L326" i="7"/>
  <c r="L324" i="7"/>
  <c r="K343" i="7"/>
  <c r="K342" i="7"/>
  <c r="K341" i="7"/>
  <c r="K340" i="7"/>
  <c r="K338" i="7"/>
  <c r="K337" i="7"/>
  <c r="K336" i="7"/>
  <c r="K335" i="7"/>
  <c r="K334" i="7"/>
  <c r="K333" i="7"/>
  <c r="K332" i="7"/>
  <c r="K331" i="7"/>
  <c r="K330" i="7"/>
  <c r="K328" i="7"/>
  <c r="K327" i="7"/>
  <c r="K326" i="7"/>
  <c r="K324" i="7"/>
  <c r="J343" i="7"/>
  <c r="J342" i="7"/>
  <c r="J341" i="7"/>
  <c r="J340" i="7"/>
  <c r="J338" i="7"/>
  <c r="J337" i="7"/>
  <c r="J336" i="7"/>
  <c r="J335" i="7"/>
  <c r="J334" i="7"/>
  <c r="J333" i="7"/>
  <c r="J332" i="7"/>
  <c r="J331" i="7"/>
  <c r="J330" i="7"/>
  <c r="J327" i="7"/>
  <c r="J326" i="7"/>
  <c r="J324" i="7"/>
  <c r="J239" i="7"/>
  <c r="K239" i="7"/>
  <c r="L239" i="7"/>
  <c r="J188" i="7"/>
  <c r="K188" i="7"/>
  <c r="L188" i="7"/>
  <c r="J323" i="7" l="1"/>
  <c r="J322" i="7" s="1"/>
  <c r="K314" i="7"/>
  <c r="K315" i="7" s="1"/>
  <c r="K316" i="7" s="1"/>
  <c r="J314" i="7"/>
  <c r="J315" i="7" s="1"/>
  <c r="J316" i="7" s="1"/>
  <c r="L314" i="7"/>
  <c r="L315" i="7" s="1"/>
  <c r="L316" i="7" s="1"/>
  <c r="K339" i="7"/>
  <c r="K323" i="7"/>
  <c r="K322" i="7" s="1"/>
  <c r="J339" i="7"/>
  <c r="I284" i="7"/>
  <c r="I275" i="7"/>
  <c r="I62" i="7"/>
  <c r="I57" i="7"/>
  <c r="K344" i="7" l="1"/>
  <c r="J344" i="7"/>
  <c r="I243" i="7"/>
  <c r="I267" i="7" s="1"/>
  <c r="I209" i="7"/>
  <c r="I192" i="7" l="1"/>
  <c r="I153" i="7" l="1"/>
  <c r="I152" i="7"/>
  <c r="I136" i="7"/>
  <c r="I129" i="7"/>
  <c r="I63" i="7"/>
  <c r="I38" i="7"/>
  <c r="I35" i="7"/>
  <c r="I26" i="7" l="1"/>
  <c r="I58" i="7" l="1"/>
  <c r="I65" i="7"/>
  <c r="I335" i="7" s="1"/>
  <c r="I64" i="7"/>
  <c r="I341" i="7" l="1"/>
  <c r="I337" i="7"/>
  <c r="I336" i="7"/>
  <c r="I334" i="7"/>
  <c r="I331" i="7"/>
  <c r="I330" i="7"/>
  <c r="I329" i="7"/>
  <c r="I327" i="7"/>
  <c r="I326" i="7"/>
  <c r="I293" i="7"/>
  <c r="I333" i="7" s="1"/>
  <c r="I292" i="7"/>
  <c r="I338" i="7" s="1"/>
  <c r="I280" i="7"/>
  <c r="I193" i="7"/>
  <c r="I238" i="7" s="1"/>
  <c r="I74" i="7"/>
  <c r="I56" i="7"/>
  <c r="I50" i="7"/>
  <c r="I31" i="7"/>
  <c r="I343" i="7" s="1"/>
  <c r="I342" i="7"/>
  <c r="I187" i="7" l="1"/>
  <c r="I313" i="7"/>
  <c r="I314" i="7" s="1"/>
  <c r="I324" i="7"/>
  <c r="I239" i="7"/>
  <c r="I340" i="7"/>
  <c r="I339" i="7" s="1"/>
  <c r="I328" i="7"/>
  <c r="I332" i="7"/>
  <c r="I323" i="7" l="1"/>
  <c r="I322" i="7" s="1"/>
  <c r="I344" i="7" s="1"/>
  <c r="L339" i="7" l="1"/>
  <c r="L323" i="7"/>
  <c r="L322" i="7" s="1"/>
  <c r="L344" i="7" l="1"/>
  <c r="I188" i="7"/>
  <c r="I315" i="7" s="1"/>
  <c r="I316" i="7" s="1"/>
</calcChain>
</file>

<file path=xl/comments1.xml><?xml version="1.0" encoding="utf-8"?>
<comments xmlns="http://schemas.openxmlformats.org/spreadsheetml/2006/main">
  <authors>
    <author>Audra Cepiene</author>
    <author>Inga Mikalauskienė</author>
    <author>Rima Alisauskaite</author>
    <author>Indrė Butenienė</author>
    <author>Snieguole Kacerauskaite</author>
    <author>Saulina Paulauskiene</author>
  </authors>
  <commentList>
    <comment ref="E16" authorId="0" shapeId="0">
      <text>
        <r>
          <rPr>
            <sz val="9"/>
            <color indexed="81"/>
            <rFont val="Tahoma"/>
            <family val="2"/>
            <charset val="186"/>
          </rPr>
          <t>P1, 3.6. Miesto susisiekimo sistemos tobulinimas užtikrinant didesnį gatvių tinklo pralaidumą;</t>
        </r>
      </text>
    </comment>
    <comment ref="E28" authorId="0" shapeId="0">
      <text>
        <r>
          <rPr>
            <b/>
            <sz val="9"/>
            <color indexed="81"/>
            <rFont val="Tahoma"/>
            <family val="2"/>
            <charset val="186"/>
          </rPr>
          <t xml:space="preserve">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M28" authorId="1" shapeId="0">
      <text>
        <r>
          <rPr>
            <sz val="9"/>
            <color indexed="81"/>
            <rFont val="Tahoma"/>
            <family val="2"/>
            <charset val="186"/>
          </rPr>
          <t>II etape bus įrengiamos 2 požeminės perėjos. Jų pradinius darbus reikia atlikti vykdant I etapą, neatlikus jų, tektų ardyti įrengtas dangas (2021-10-30 pasitarimo protokolas Nr. ADM1-372).</t>
        </r>
      </text>
    </comment>
    <comment ref="E29"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t>
        </r>
      </text>
    </comment>
    <comment ref="E3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E33" authorId="1" shapeId="0">
      <text>
        <r>
          <rPr>
            <sz val="9"/>
            <color indexed="81"/>
            <rFont val="Tahoma"/>
            <family val="2"/>
            <charset val="186"/>
          </rPr>
          <t>P-3.1.3.1.</t>
        </r>
        <r>
          <rPr>
            <sz val="9"/>
            <color indexed="81"/>
            <rFont val="Tahoma"/>
            <family val="2"/>
            <charset val="186"/>
          </rPr>
          <t xml:space="preserve">
</t>
        </r>
      </text>
    </comment>
    <comment ref="E34"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K35" authorId="1" shapeId="0">
      <text>
        <r>
          <rPr>
            <sz val="9"/>
            <color indexed="81"/>
            <rFont val="Tahoma"/>
            <family val="2"/>
            <charset val="186"/>
          </rPr>
          <t>Mogiliovo, Autobusų stoties, Savivaldybės, Žemaičių, Malūno tvenkinio</t>
        </r>
      </text>
    </comment>
    <comment ref="E3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38"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E39" authorId="1" shapeId="0">
      <text>
        <r>
          <rPr>
            <sz val="9"/>
            <color indexed="81"/>
            <rFont val="Tahoma"/>
            <family val="2"/>
            <charset val="186"/>
          </rPr>
          <t xml:space="preserve">P-3.2.2.3., 3.1.2.2
</t>
        </r>
      </text>
    </comment>
    <comment ref="E41"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4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45" authorId="2" shapeId="0">
      <text>
        <r>
          <rPr>
            <sz val="9"/>
            <color indexed="81"/>
            <rFont val="Tahoma"/>
            <family val="2"/>
            <charset val="186"/>
          </rPr>
          <t>P-3.2.2.3.</t>
        </r>
      </text>
    </comment>
    <comment ref="E46"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J46" authorId="1" shapeId="0">
      <text>
        <r>
          <rPr>
            <sz val="9"/>
            <color indexed="81"/>
            <rFont val="Tahoma"/>
            <family val="2"/>
            <charset val="186"/>
          </rPr>
          <t xml:space="preserve">Lėšos 2022 m. perkeliamos tik galutiniam atsiskaitymui su Lietuvos automobilių kelių direkcija
</t>
        </r>
      </text>
    </comment>
    <comment ref="E4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49" authorId="3" shapeId="0">
      <text>
        <r>
          <rPr>
            <sz val="9"/>
            <color indexed="81"/>
            <rFont val="Tahoma"/>
            <family val="2"/>
            <charset val="186"/>
          </rPr>
          <t>P1, 1.1.2. Parengtas ir įgyvendintas žvyruotų kelių asfaltavimo priemonių planas siekiant asfaltuoti ne mažiau kaip 10 km žvyruotų kelių, vnt</t>
        </r>
      </text>
    </comment>
    <comment ref="J49" authorId="1" shapeId="0">
      <text>
        <r>
          <rPr>
            <sz val="9"/>
            <color indexed="81"/>
            <rFont val="Tahoma"/>
            <family val="2"/>
            <charset val="186"/>
          </rPr>
          <t xml:space="preserve">Slengių g., Lietaus g., Vaivorykštės g., Griaustinio g. , Arimų g., Vėjo g. (II dalies), Žvaigždžių g. rekonstravimas
</t>
        </r>
      </text>
    </comment>
    <comment ref="E5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52" authorId="2" shapeId="0">
      <text>
        <r>
          <rPr>
            <sz val="9"/>
            <color indexed="81"/>
            <rFont val="Tahoma"/>
            <family val="2"/>
            <charset val="186"/>
          </rPr>
          <t>P-3.1.3.4.</t>
        </r>
      </text>
    </comment>
    <comment ref="J54" authorId="1" shapeId="0">
      <text>
        <r>
          <rPr>
            <sz val="9"/>
            <color indexed="81"/>
            <rFont val="Tahoma"/>
            <family val="2"/>
            <charset val="186"/>
          </rPr>
          <t xml:space="preserve">Ruožas nuo Laivų skg. iki Artojų g.
</t>
        </r>
      </text>
    </comment>
    <comment ref="E56" authorId="2" shapeId="0">
      <text>
        <r>
          <rPr>
            <sz val="9"/>
            <color indexed="81"/>
            <rFont val="Tahoma"/>
            <family val="2"/>
            <charset val="186"/>
          </rPr>
          <t>P-3.1.3.5.</t>
        </r>
      </text>
    </comment>
    <comment ref="E57" authorId="3" shapeId="0">
      <text>
        <r>
          <rPr>
            <sz val="9"/>
            <color indexed="81"/>
            <rFont val="Tahoma"/>
            <family val="2"/>
            <charset val="186"/>
          </rPr>
          <t>P1, 1.1.2. Parengtas ir įgyvendintas žvyruotų kelių asfaltavimo priemonių planas siekiant asfaltuoti ne mažiau kaip 10 km žvyruotų kelių, vnt</t>
        </r>
      </text>
    </comment>
    <comment ref="J57"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J58"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E59" authorId="2" shapeId="0">
      <text>
        <r>
          <rPr>
            <sz val="9"/>
            <color indexed="81"/>
            <rFont val="Tahoma"/>
            <family val="2"/>
            <charset val="186"/>
          </rPr>
          <t>P-3.1.3.4.</t>
        </r>
      </text>
    </comment>
    <comment ref="E60" authorId="2" shapeId="0">
      <text>
        <r>
          <rPr>
            <sz val="9"/>
            <color indexed="81"/>
            <rFont val="Tahoma"/>
            <family val="2"/>
            <charset val="186"/>
          </rPr>
          <t>P-3.1.3.4.</t>
        </r>
      </text>
    </comment>
    <comment ref="E61" authorId="0" shapeId="0">
      <text>
        <r>
          <rPr>
            <sz val="9"/>
            <color indexed="81"/>
            <rFont val="Tahoma"/>
            <family val="2"/>
            <charset val="186"/>
          </rPr>
          <t>P1, 3.6. Miesto susisiekimo sistemos tobulinimas užtikrinant didesnį gatvių tinklo pralaidumą;</t>
        </r>
      </text>
    </comment>
    <comment ref="E65" authorId="0" shapeId="0">
      <text>
        <r>
          <rPr>
            <sz val="9"/>
            <color indexed="81"/>
            <rFont val="Tahoma"/>
            <family val="2"/>
            <charset val="186"/>
          </rPr>
          <t>P1, 3.6. Miesto susisiekimo sistemos tobulinimas užtikrinant didesnį gatvių tinklo pralaidumą;</t>
        </r>
      </text>
    </comment>
    <comment ref="E67" authorId="2" shapeId="0">
      <text>
        <r>
          <rPr>
            <sz val="9"/>
            <color indexed="81"/>
            <rFont val="Tahoma"/>
            <family val="2"/>
            <charset val="186"/>
          </rPr>
          <t>P-3.1.3.5.</t>
        </r>
      </text>
    </comment>
    <comment ref="J68" authorId="1" shapeId="0">
      <text>
        <r>
          <rPr>
            <sz val="9"/>
            <color indexed="81"/>
            <rFont val="Tahoma"/>
            <family val="2"/>
            <charset val="186"/>
          </rPr>
          <t xml:space="preserve">Įrengtas naujas žvejų laivams skirtas slipas (aikštelė, skirta valtims nuleisti ir ištraukti iš vandens)
</t>
        </r>
      </text>
    </comment>
    <comment ref="E69" authorId="2" shapeId="0">
      <text>
        <r>
          <rPr>
            <sz val="9"/>
            <color indexed="81"/>
            <rFont val="Tahoma"/>
            <family val="2"/>
            <charset val="186"/>
          </rPr>
          <t>P-1.1.2.3.</t>
        </r>
      </text>
    </comment>
    <comment ref="E73" authorId="2" shapeId="0">
      <text>
        <r>
          <rPr>
            <sz val="9"/>
            <color indexed="81"/>
            <rFont val="Tahoma"/>
            <family val="2"/>
            <charset val="186"/>
          </rPr>
          <t>P-1.1.2.3.</t>
        </r>
      </text>
    </comment>
    <comment ref="E74" authorId="0" shapeId="0">
      <text>
        <r>
          <rPr>
            <sz val="9"/>
            <color indexed="81"/>
            <rFont val="Tahoma"/>
            <family val="2"/>
            <charset val="186"/>
          </rPr>
          <t>Klaipėdos miesto darnaus judumo planas (2018-09-13, T2-185)</t>
        </r>
        <r>
          <rPr>
            <b/>
            <sz val="9"/>
            <color indexed="81"/>
            <rFont val="Tahoma"/>
            <family val="2"/>
            <charset val="186"/>
          </rPr>
          <t xml:space="preserve">
</t>
        </r>
        <r>
          <rPr>
            <sz val="9"/>
            <color indexed="81"/>
            <rFont val="Tahoma"/>
            <family val="2"/>
            <charset val="186"/>
          </rPr>
          <t xml:space="preserve">
</t>
        </r>
      </text>
    </comment>
    <comment ref="E75" authorId="2" shapeId="0">
      <text>
        <r>
          <rPr>
            <sz val="9"/>
            <color indexed="81"/>
            <rFont val="Tahoma"/>
            <family val="2"/>
            <charset val="186"/>
          </rPr>
          <t>P-3.1.1.4.</t>
        </r>
      </text>
    </comment>
    <comment ref="E78" authorId="2" shapeId="0">
      <text>
        <r>
          <rPr>
            <sz val="9"/>
            <color indexed="81"/>
            <rFont val="Tahoma"/>
            <family val="2"/>
            <charset val="186"/>
          </rPr>
          <t>P-3.1.1.4.</t>
        </r>
      </text>
    </comment>
    <comment ref="E8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5"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K105" authorId="4" shapeId="0">
      <text>
        <r>
          <rPr>
            <sz val="9"/>
            <color indexed="81"/>
            <rFont val="Tahoma"/>
            <family val="2"/>
            <charset val="186"/>
          </rPr>
          <t xml:space="preserve">Žvyruotų gatvių dangų priežiūra - 140 t. €;
Akmens grindinio priežiūros darbai - 50,3 t. €;
Miesto gatvių asfaltbetonio dangų priežiūra - 831,5 t. €
</t>
        </r>
        <r>
          <rPr>
            <sz val="9"/>
            <color indexed="81"/>
            <rFont val="Tahoma"/>
            <family val="2"/>
            <charset val="186"/>
          </rPr>
          <t xml:space="preserve">
</t>
        </r>
      </text>
    </comment>
    <comment ref="E107" authorId="5" shapeId="0">
      <text>
        <r>
          <rPr>
            <sz val="9"/>
            <color indexed="81"/>
            <rFont val="Tahoma"/>
            <family val="2"/>
            <charset val="186"/>
          </rPr>
          <t>P-3.1.3.4.</t>
        </r>
      </text>
    </comment>
    <comment ref="E10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9" authorId="5" shapeId="0">
      <text>
        <r>
          <rPr>
            <sz val="9"/>
            <color indexed="81"/>
            <rFont val="Tahoma"/>
            <family val="2"/>
            <charset val="186"/>
          </rPr>
          <t>P-3.1.3.4.</t>
        </r>
      </text>
    </comment>
    <comment ref="E11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12" authorId="1" shapeId="0">
      <text>
        <r>
          <rPr>
            <sz val="9"/>
            <color indexed="81"/>
            <rFont val="Tahoma"/>
            <family val="2"/>
            <charset val="186"/>
          </rPr>
          <t xml:space="preserve">P-3.1.1.3.; 3.1.1.2.
</t>
        </r>
      </text>
    </comment>
    <comment ref="K114" authorId="5" shapeId="0">
      <text>
        <r>
          <rPr>
            <sz val="9"/>
            <color indexed="81"/>
            <rFont val="Tahoma"/>
            <family val="2"/>
            <charset val="186"/>
          </rPr>
          <t>Vyturio progimnazija</t>
        </r>
      </text>
    </comment>
    <comment ref="L114" authorId="5" shapeId="0">
      <text>
        <r>
          <rPr>
            <sz val="9"/>
            <color indexed="81"/>
            <rFont val="Tahoma"/>
            <family val="2"/>
            <charset val="186"/>
          </rPr>
          <t>L/d Pakalnutė</t>
        </r>
      </text>
    </comment>
    <comment ref="M114" authorId="5" shapeId="0">
      <text>
        <r>
          <rPr>
            <sz val="9"/>
            <color indexed="81"/>
            <rFont val="Tahoma"/>
            <family val="2"/>
            <charset val="186"/>
          </rPr>
          <t>Gabijos progimnazija</t>
        </r>
      </text>
    </comment>
    <comment ref="E115" authorId="5" shapeId="0">
      <text>
        <r>
          <rPr>
            <sz val="9"/>
            <color indexed="81"/>
            <rFont val="Tahoma"/>
            <family val="2"/>
            <charset val="186"/>
          </rPr>
          <t>P-3.1.3.6.</t>
        </r>
      </text>
    </comment>
    <comment ref="K116" authorId="1" shapeId="0">
      <text>
        <r>
          <rPr>
            <sz val="9"/>
            <color indexed="81"/>
            <rFont val="Tahoma"/>
            <family val="2"/>
            <charset val="186"/>
          </rPr>
          <t>Papildomai prisideda 2 tiltai: pėsčiųjų tiltas per geležinkelį Priestočio gatvėje ir metalinis tiltelis prie Jono kalnelio</t>
        </r>
        <r>
          <rPr>
            <b/>
            <sz val="9"/>
            <color indexed="81"/>
            <rFont val="Tahoma"/>
            <family val="2"/>
            <charset val="186"/>
          </rPr>
          <t xml:space="preserve">
</t>
        </r>
        <r>
          <rPr>
            <sz val="9"/>
            <color indexed="81"/>
            <rFont val="Tahoma"/>
            <family val="2"/>
            <charset val="186"/>
          </rPr>
          <t xml:space="preserve">
</t>
        </r>
      </text>
    </comment>
    <comment ref="J118" authorId="1" shapeId="0">
      <text>
        <r>
          <rPr>
            <sz val="9"/>
            <color indexed="81"/>
            <rFont val="Tahoma"/>
            <family val="2"/>
            <charset val="186"/>
          </rPr>
          <t>Darbai atlikti 2021 m., Rangovas nespėjo laiku pateikti dokumentų atsiskaitymui. Mokėjimas bus vykdomas 2022 m.</t>
        </r>
        <r>
          <rPr>
            <sz val="9"/>
            <color indexed="81"/>
            <rFont val="Tahoma"/>
            <family val="2"/>
            <charset val="186"/>
          </rPr>
          <t xml:space="preserve">
</t>
        </r>
      </text>
    </comment>
    <comment ref="E124" authorId="2" shapeId="0">
      <text>
        <r>
          <rPr>
            <sz val="9"/>
            <color indexed="81"/>
            <rFont val="Tahoma"/>
            <family val="2"/>
            <charset val="186"/>
          </rPr>
          <t>P-3.1.3.5.</t>
        </r>
      </text>
    </comment>
    <comment ref="D126"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K126" authorId="4" shapeId="0">
      <text>
        <r>
          <rPr>
            <sz val="9"/>
            <color indexed="81"/>
            <rFont val="Tahoma"/>
            <family val="2"/>
            <charset val="186"/>
          </rPr>
          <t>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t>
        </r>
        <r>
          <rPr>
            <sz val="9"/>
            <color indexed="81"/>
            <rFont val="Tahoma"/>
            <family val="2"/>
            <charset val="186"/>
          </rPr>
          <t xml:space="preserve">
</t>
        </r>
      </text>
    </comment>
    <comment ref="E127" authorId="2" shapeId="0">
      <text>
        <r>
          <rPr>
            <sz val="9"/>
            <color indexed="81"/>
            <rFont val="Tahoma"/>
            <family val="2"/>
            <charset val="186"/>
          </rPr>
          <t>P-3.1.3.4.</t>
        </r>
      </text>
    </comment>
    <comment ref="K127"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 ref="E129" authorId="5" shapeId="0">
      <text>
        <r>
          <rPr>
            <sz val="9"/>
            <color indexed="81"/>
            <rFont val="Tahoma"/>
            <family val="2"/>
            <charset val="186"/>
          </rPr>
          <t>P-3.2.2.2.</t>
        </r>
      </text>
    </comment>
    <comment ref="E134" authorId="1" shapeId="0">
      <text>
        <r>
          <rPr>
            <sz val="9"/>
            <color indexed="81"/>
            <rFont val="Tahoma"/>
            <family val="2"/>
            <charset val="186"/>
          </rPr>
          <t>P-3.1.3.5.
2023-2025 m.</t>
        </r>
      </text>
    </comment>
    <comment ref="E138" authorId="2" shapeId="0">
      <text>
        <r>
          <rPr>
            <sz val="9"/>
            <color indexed="81"/>
            <rFont val="Tahoma"/>
            <family val="2"/>
            <charset val="186"/>
          </rPr>
          <t>P-3.1.3.6.</t>
        </r>
      </text>
    </comment>
    <comment ref="K139" authorId="1" shapeId="0">
      <text>
        <r>
          <rPr>
            <sz val="9"/>
            <color indexed="81"/>
            <rFont val="Tahoma"/>
            <family val="2"/>
            <charset val="186"/>
          </rPr>
          <t xml:space="preserve">Projekto pirkimas kartu su rangos darbais (79,0 tūkst. Eur projektui ir rangos darbams; 1,0 tūkst. Eur projekto ekspertizei) 
</t>
        </r>
      </text>
    </comment>
    <comment ref="K141" authorId="1" shapeId="0">
      <text>
        <r>
          <rPr>
            <sz val="9"/>
            <color indexed="81"/>
            <rFont val="Tahoma"/>
            <family val="2"/>
            <charset val="186"/>
          </rPr>
          <t xml:space="preserve">Kaina skaičiuota vadovaujantis Statinių statybos skaičiuojamųjų kainų palyginamaisiais ekonominiais rodikliais bei bendraisiais ekonominiais normatyvais. Priemonę inicijuoja Transporto sk. (2021-11-11 VS-8875) pagal atliktą VšĮ Transporto kompetencijų agentūros saugaus eismo tyrimą. Klausimas svarstytas Saugaus eismo 2021-09 mėn.komisijos posėdyje (protokolas ADM-530)
</t>
        </r>
      </text>
    </comment>
    <comment ref="D146" authorId="4" shapeId="0">
      <text>
        <r>
          <rPr>
            <sz val="9"/>
            <color indexed="81"/>
            <rFont val="Tahoma"/>
            <family val="2"/>
            <charset val="186"/>
          </rPr>
          <t>Susijusi su 11 pr. "Sporto ir laisvalaikio komplekso statyba (koncesijos procedūrų vykdymas)"</t>
        </r>
        <r>
          <rPr>
            <sz val="9"/>
            <color indexed="81"/>
            <rFont val="Tahoma"/>
            <family val="2"/>
            <charset val="186"/>
          </rPr>
          <t xml:space="preserve">
</t>
        </r>
      </text>
    </comment>
    <comment ref="E148" authorId="2" shapeId="0">
      <text>
        <r>
          <rPr>
            <sz val="9"/>
            <color indexed="81"/>
            <rFont val="Tahoma"/>
            <family val="2"/>
            <charset val="186"/>
          </rPr>
          <t>P-3.1.3.5.</t>
        </r>
      </text>
    </comment>
    <comment ref="E151" authorId="2" shapeId="0">
      <text>
        <r>
          <rPr>
            <sz val="9"/>
            <color indexed="81"/>
            <rFont val="Tahoma"/>
            <family val="2"/>
            <charset val="186"/>
          </rPr>
          <t>P-1.2.1.1.</t>
        </r>
      </text>
    </comment>
    <comment ref="E155" authorId="2" shapeId="0">
      <text>
        <r>
          <rPr>
            <sz val="9"/>
            <color indexed="81"/>
            <rFont val="Tahoma"/>
            <family val="2"/>
            <charset val="186"/>
          </rPr>
          <t>P-1.1.1.5.</t>
        </r>
      </text>
    </comment>
    <comment ref="E157" authorId="2" shapeId="0">
      <text>
        <r>
          <rPr>
            <sz val="9"/>
            <color indexed="81"/>
            <rFont val="Tahoma"/>
            <family val="2"/>
            <charset val="186"/>
          </rPr>
          <t>P-1.1.1.5.</t>
        </r>
      </text>
    </comment>
    <comment ref="E167" authorId="5" shapeId="0">
      <text>
        <r>
          <rPr>
            <sz val="9"/>
            <color indexed="81"/>
            <rFont val="Tahoma"/>
            <family val="2"/>
            <charset val="186"/>
          </rPr>
          <t>P-3.1.2., 3.1.2.1., 3.1.2.2</t>
        </r>
      </text>
    </comment>
    <comment ref="E168"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E176" authorId="5" shapeId="0">
      <text>
        <r>
          <rPr>
            <sz val="9"/>
            <color indexed="81"/>
            <rFont val="Tahoma"/>
            <family val="2"/>
            <charset val="186"/>
          </rPr>
          <t>P-3.1.2., 3.1.2.1., 3.1.2.2</t>
        </r>
      </text>
    </comment>
    <comment ref="M178" authorId="1" shapeId="0">
      <text>
        <r>
          <rPr>
            <sz val="9"/>
            <color indexed="81"/>
            <rFont val="Tahoma"/>
            <family val="2"/>
            <charset val="186"/>
          </rPr>
          <t xml:space="preserve">Iki 2024 m. gruodžio 6 d. </t>
        </r>
        <r>
          <rPr>
            <sz val="9"/>
            <color indexed="81"/>
            <rFont val="Tahoma"/>
            <family val="2"/>
            <charset val="186"/>
          </rPr>
          <t xml:space="preserve">
</t>
        </r>
      </text>
    </comment>
    <comment ref="E180"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K180" authorId="1" shapeId="0">
      <text>
        <r>
          <rPr>
            <sz val="9"/>
            <color indexed="81"/>
            <rFont val="Tahoma"/>
            <family val="2"/>
            <charset val="186"/>
          </rPr>
          <t xml:space="preserve">1. 2 elektriniai autobusai Dancer;
2. 2022 m. III ketvirtyje AB „Klaipėdos autobusų parkas“  numato pradėti eksploatuoti 10 naujų elektra varomų trumpų autobusų, įsigyjamų veiklos nuomos pagrindais; 
3. 2022 m. IV ketvirtyje AB „Klaipėdos autobusų parkas“  planuoja pradėti eksploatuoti 10 naujų elektra valdomų trumpų autobusų, įsigyjamų pagal Klimato kaitos programą (APVA).
 </t>
        </r>
      </text>
    </comment>
    <comment ref="M180" authorId="5" shapeId="0">
      <text>
        <r>
          <rPr>
            <sz val="9"/>
            <color indexed="81"/>
            <rFont val="Tahoma"/>
            <family val="2"/>
            <charset val="186"/>
          </rPr>
          <t>2 autobusams Dancer iki 2025-03-25</t>
        </r>
      </text>
    </comment>
    <comment ref="E188" authorId="0" shapeId="0">
      <text>
        <r>
          <rPr>
            <sz val="9"/>
            <color indexed="81"/>
            <rFont val="Tahoma"/>
            <family val="2"/>
            <charset val="186"/>
          </rPr>
          <t xml:space="preserve">Klaipėdos miesto darnaus judumo planas (2018-09-13, T2-185)
</t>
        </r>
      </text>
    </comment>
    <comment ref="K188" authorId="1" shapeId="0">
      <text>
        <r>
          <rPr>
            <sz val="9"/>
            <color indexed="81"/>
            <rFont val="Tahoma"/>
            <family val="2"/>
            <charset val="186"/>
          </rPr>
          <t>1. Autobusų stoties stotelė, Butkų Juzės g. ties Salomėjos Nėries 16B;
2. Rumpiškės stotelė, Sausio 15-osios g. 8A;
3. Pasažo stotelė, Vingio g. 5;
4. Bibliotekos stotelė, H. Manto g. 31A.
5. Sveikatos priežiūros st., Taikos pr. 97b</t>
        </r>
      </text>
    </comment>
    <comment ref="K190" authorId="1" shapeId="0">
      <text>
        <r>
          <rPr>
            <sz val="9"/>
            <color indexed="81"/>
            <rFont val="Tahoma"/>
            <family val="2"/>
            <charset val="186"/>
          </rPr>
          <t>Baltijos stotelė į šiaurę, Taikos pr. 71;
Baltijos stotrlė į pietus, Taikos pr. 66A;
Vėtrungės stotelė į pietus; Taikos pr. 28;
Kauno stotelė į pietus; Taikos pr. 52C;
Naujojo turgaus iš Centro (sodininkų) stotelė, Taikos pr. 80;
Rumpiškės stotelė į rytus, Sausio 15-osios g. 8A;
Pasažo stotelė į šiaurę, Vingio g. 5.</t>
        </r>
      </text>
    </comment>
    <comment ref="E192" authorId="2" shapeId="0">
      <text>
        <r>
          <rPr>
            <sz val="9"/>
            <color indexed="81"/>
            <rFont val="Tahoma"/>
            <family val="2"/>
            <charset val="186"/>
          </rPr>
          <t>P-3.1.2.2.</t>
        </r>
      </text>
    </comment>
    <comment ref="D193"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E193" authorId="1" shapeId="0">
      <text>
        <r>
          <rPr>
            <sz val="9"/>
            <color indexed="81"/>
            <rFont val="Tahoma"/>
            <family val="2"/>
            <charset val="186"/>
          </rPr>
          <t xml:space="preserve">Viešojo transporto rūšies diegimo Klaipėdos mieste gairės (2020-07-30, Nr. T2-200)
</t>
        </r>
      </text>
    </comment>
    <comment ref="E196" authorId="5" shapeId="0">
      <text>
        <r>
          <rPr>
            <sz val="9"/>
            <color indexed="81"/>
            <rFont val="Tahoma"/>
            <family val="2"/>
            <charset val="186"/>
          </rPr>
          <t>P</t>
        </r>
        <r>
          <rPr>
            <b/>
            <sz val="9"/>
            <color indexed="81"/>
            <rFont val="Tahoma"/>
            <family val="2"/>
            <charset val="186"/>
          </rPr>
          <t>-</t>
        </r>
        <r>
          <rPr>
            <sz val="9"/>
            <color indexed="81"/>
            <rFont val="Tahoma"/>
            <family val="2"/>
            <charset val="186"/>
          </rPr>
          <t>3.1.2.2.</t>
        </r>
      </text>
    </comment>
    <comment ref="D197" authorId="1" shapeId="0">
      <text>
        <r>
          <rPr>
            <sz val="9"/>
            <color indexed="81"/>
            <rFont val="Tahoma"/>
            <family val="2"/>
            <charset val="186"/>
          </rPr>
          <t>Pagal KMS tarybos sprendimą 2020-07-30 Nr. T2-174</t>
        </r>
      </text>
    </comment>
    <comment ref="E197" authorId="1" shapeId="0">
      <text>
        <r>
          <rPr>
            <sz val="9"/>
            <color indexed="81"/>
            <rFont val="Tahoma"/>
            <family val="2"/>
            <charset val="186"/>
          </rPr>
          <t xml:space="preserve">Viešojo transporto rūšies diegimo Klaipėdos mieste gairės (2020-07-30, Nr. T2-200)
</t>
        </r>
      </text>
    </comment>
    <comment ref="K197" authorId="1" shapeId="0">
      <text>
        <r>
          <rPr>
            <sz val="9"/>
            <color indexed="81"/>
            <rFont val="Tahoma"/>
            <family val="2"/>
            <charset val="186"/>
          </rPr>
          <t xml:space="preserve">Projektą įgyvendina UAB "Klaipėdos autobusų parkas" Klimato kaitos programoje projekte "Daugiau švarios erdvės" su </t>
        </r>
        <r>
          <rPr>
            <b/>
            <sz val="9"/>
            <color indexed="81"/>
            <rFont val="Tahoma"/>
            <family val="2"/>
            <charset val="186"/>
          </rPr>
          <t>Savivaldybės 45 % prisidėjimu</t>
        </r>
        <r>
          <rPr>
            <sz val="9"/>
            <color indexed="81"/>
            <rFont val="Tahoma"/>
            <family val="2"/>
            <charset val="186"/>
          </rPr>
          <t xml:space="preserve">. Programos lėšas gaus UAB KAP. Tarybos sprendimas 2020-07-30 Nr.T2-174. Pirkimą planuoja šiemet baigti ir pasirašyti sutartį, autobusų gamyba apie 12 mėn. tai metų pabaigoj turėtų pristatyti.
</t>
        </r>
        <r>
          <rPr>
            <sz val="9"/>
            <color indexed="81"/>
            <rFont val="Tahoma"/>
            <family val="2"/>
            <charset val="186"/>
          </rPr>
          <t xml:space="preserve">
</t>
        </r>
      </text>
    </comment>
    <comment ref="E19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E200" authorId="1" shapeId="0">
      <text>
        <r>
          <rPr>
            <sz val="9"/>
            <color indexed="81"/>
            <rFont val="Tahoma"/>
            <family val="2"/>
            <charset val="186"/>
          </rPr>
          <t xml:space="preserve">P-3.1.2.2.
</t>
        </r>
      </text>
    </comment>
    <comment ref="E201" authorId="1" shapeId="0">
      <text>
        <r>
          <rPr>
            <sz val="9"/>
            <color indexed="81"/>
            <rFont val="Tahoma"/>
            <family val="2"/>
            <charset val="186"/>
          </rPr>
          <t xml:space="preserve">Viešojo transporto rūšies diegimo Klaipėdos mieste gairės (2020-07-30, Nr. T2-200)
</t>
        </r>
      </text>
    </comment>
    <comment ref="J201" authorId="4" shapeId="0">
      <text>
        <r>
          <rPr>
            <sz val="9"/>
            <color indexed="81"/>
            <rFont val="Tahoma"/>
            <family val="2"/>
            <charset val="186"/>
          </rPr>
          <t xml:space="preserve">KMSA su partneriu UAB „Klaipėdos autobusų parkas“ teikiamo projekto „Klaipėdos miesto viešojo transporto priemonių parko atnaujinimas“ tikslas - pagerinti viešojo transporto paslaugų kokybę Klaipėdos mieste. Fiziškai ir morališkai pasenę autobusai neskatina gyventojų naudotis viešuoju transportu. Nudėvėtų autobusų varikliai teršia aplinką CO2 ir kitais teršalais.
Įgyvendinus Projektą bus įsigyti 6 nauji elektrinės traukos autobusai. Preliminari projekto  pradžia 2022 m. birželio mėn., įgyvendinimo trukmė – 18 mėn. </t>
        </r>
        <r>
          <rPr>
            <b/>
            <sz val="9"/>
            <color indexed="81"/>
            <rFont val="Tahoma"/>
            <family val="2"/>
            <charset val="186"/>
          </rPr>
          <t>KMSA prisidėjimas - 15 proc.</t>
        </r>
      </text>
    </comment>
    <comment ref="E202" authorId="2" shapeId="0">
      <text>
        <r>
          <rPr>
            <sz val="9"/>
            <color indexed="81"/>
            <rFont val="Tahoma"/>
            <family val="2"/>
            <charset val="186"/>
          </rPr>
          <t>P-3.1.2.2.</t>
        </r>
      </text>
    </comment>
    <comment ref="E205"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E209" authorId="3" shapeId="0">
      <text>
        <r>
          <rPr>
            <sz val="9"/>
            <color indexed="81"/>
            <rFont val="Tahoma"/>
            <family val="2"/>
            <charset val="186"/>
          </rPr>
          <t>P2, Klaipėdos miesto darnaus judumo planas (2018-09-13, T2-185)</t>
        </r>
      </text>
    </comment>
    <comment ref="E213" authorId="0" shapeId="0">
      <text>
        <r>
          <rPr>
            <sz val="9"/>
            <color indexed="81"/>
            <rFont val="Tahoma"/>
            <family val="2"/>
            <charset val="186"/>
          </rPr>
          <t>P-3.1.1.2.</t>
        </r>
      </text>
    </comment>
    <comment ref="K214" authorId="5" shapeId="0">
      <text>
        <r>
          <rPr>
            <sz val="9"/>
            <color indexed="81"/>
            <rFont val="Tahoma"/>
            <family val="2"/>
            <charset val="186"/>
          </rPr>
          <t>1. Šilutės pl. ties PC "DEPO"
2. Mokyklos g. tarp Verpėjų ir Aguonų g.</t>
        </r>
      </text>
    </comment>
    <comment ref="K216" authorId="1" shapeId="0">
      <text>
        <r>
          <rPr>
            <b/>
            <sz val="9"/>
            <color indexed="81"/>
            <rFont val="Tahoma"/>
            <family val="2"/>
            <charset val="186"/>
          </rPr>
          <t>13 šviesoforų, kurie įrengti 2021 m., bus perduoti eksploatacijai 2022 m.</t>
        </r>
        <r>
          <rPr>
            <sz val="9"/>
            <color indexed="81"/>
            <rFont val="Tahoma"/>
            <family val="2"/>
            <charset val="186"/>
          </rPr>
          <t>:</t>
        </r>
        <r>
          <rPr>
            <sz val="9"/>
            <color indexed="81"/>
            <rFont val="Tahoma"/>
            <family val="2"/>
            <charset val="186"/>
          </rPr>
          <t xml:space="preserve">
1. šviesoforų postas Liepų g. ir Jaunystės g. sankryžoje;
2. pėsčiųjų perėja ties Taikos pr. 7;
3. pėsčiųjų perėja Taikos pr. ir  Debreceno g. sankryžoje;
4. pėsčiųjų perėjos ties Baltijos pr. 103;
5. pėsčiųjų perėja ties Dubysos g. 21;
6. pėsčiųjų perėja Šilutės pl. ir Svajonės g. sankryžoje;
7. šviesoforų postas Tilžės g.–Mokyklos g.– Šilutės pl. sankryžoje;
8. šviesoforų postas Šilutės pl. – Kauno g. sankryžoje; 
9. šviesoforų postas Tauralaukio g.–Klaipėdos g. sankryžoje;
10. šviesoforų postas Pajūrio g.–Debesų–Virkučių g. sankryžoje;
11. pėsčiųjų perėja Pajūrio g. ties Tuopų g.;
12. šviesoforų postas Pajūrio g. –Akmenų g.–Lazdynų g. sankryžoje;
13. šviesoforinė pėsčiųjų perėja Tilžės g. –  Komunarų g. sankryžoje;
</t>
        </r>
        <r>
          <rPr>
            <b/>
            <sz val="9"/>
            <color indexed="81"/>
            <rFont val="Tahoma"/>
            <family val="2"/>
            <charset val="186"/>
          </rPr>
          <t xml:space="preserve">6 šviesoforai, kurie bus perduoti eksploatacijai 2022 m.:
</t>
        </r>
        <r>
          <rPr>
            <sz val="9"/>
            <color indexed="81"/>
            <rFont val="Tahoma"/>
            <family val="2"/>
            <charset val="186"/>
          </rPr>
          <t>1.</t>
        </r>
        <r>
          <rPr>
            <b/>
            <sz val="9"/>
            <color indexed="81"/>
            <rFont val="Tahoma"/>
            <family val="2"/>
            <charset val="186"/>
          </rPr>
          <t xml:space="preserve"> </t>
        </r>
        <r>
          <rPr>
            <sz val="9"/>
            <color indexed="81"/>
            <rFont val="Tahoma"/>
            <family val="2"/>
            <charset val="186"/>
          </rPr>
          <t xml:space="preserve">perėjos per Minijos g. ties Nidos g. ir Strėvos g.; 
2. pėsčiųjų perėjos per Minijos g. ties Lakštučių g.;
3. pėsčiųjų perėjos per J. Janonio g. ties Juliaus Janonio g.; 
4. pėsčiųjų perėjos per Minijos g. tarp Naikupės g.;
5. Sulupės g. bei Minijos g. – Sulupės g. sankryžos;
6. pėsčiųjų perėja Statybininkų pr. 51. </t>
        </r>
      </text>
    </comment>
    <comment ref="K217" authorId="1" shapeId="0">
      <text>
        <r>
          <rPr>
            <sz val="9"/>
            <color indexed="81"/>
            <rFont val="Tahoma"/>
            <family val="2"/>
            <charset val="186"/>
          </rPr>
          <t xml:space="preserve">1. Liepų g. - Trilapio g. (Liepų g.- į Trilapio g. papildoma sekcija);
2. Sausio 15-osios -Taikos (diegimas į Eismo valdymo sistemą (EVS);
3. Šilutės pl. PP ties PC "DEPO" (diegimas į EVS, mygtuko įrengimas);
4. Taikos pr. PP-Poliklinika (diegimas į EVS);
</t>
        </r>
      </text>
    </comment>
    <comment ref="L217" authorId="1" shapeId="0">
      <text>
        <r>
          <rPr>
            <sz val="9"/>
            <color indexed="81"/>
            <rFont val="Tahoma"/>
            <family val="2"/>
            <charset val="186"/>
          </rPr>
          <t xml:space="preserve">1. Kretingos g. - Panevėžio g. sankryža (diegimas į EVS);
2. H. Manto g. - Pušyno g. sankryža (diegimas į EVS);
3. Priestočio g. - S.Nėries g. sankryža (diegimas į EVS);
4. H. Manto - Janonio g. sankryža (diegimas į EVS);
</t>
        </r>
      </text>
    </comment>
    <comment ref="K220" authorId="1" shapeId="0">
      <text>
        <r>
          <rPr>
            <sz val="9"/>
            <color indexed="81"/>
            <rFont val="Tahoma"/>
            <family val="2"/>
            <charset val="186"/>
          </rPr>
          <t xml:space="preserve">1. Šviesoforinė pėsčiųjų perėja, Kretingos g. 185;
2. Šviesoforinės pėsčiųjų perėjos, Liepojos g. ties Panevėžio g. (2 vnt.);
3. Šviesoforinė pėsčiųjų perėja, Statybininkų pr. 2;
4. Šviesoforinės pėsčiųjų perėjos (su įvaža), Dariaus ir Girėno g. 8A (3 vnt.);
5. Šviesoforinė sankryža, Taikos pr.–Jachtų g.; 
6. Šviesoforinė pėsčiųjų perėja, Gedminų g. 7 (perkėlimas);
7. Šviesoforinė pėsčiųjų perėja, Minijos g. ties Nendrių g.;
8. Šviesoforinė sankryža, Mokyklos g.–Verpėjų g. </t>
        </r>
      </text>
    </comment>
    <comment ref="E223" authorId="0" shapeId="0">
      <text>
        <r>
          <rPr>
            <sz val="9"/>
            <color indexed="81"/>
            <rFont val="Tahoma"/>
            <family val="2"/>
            <charset val="186"/>
          </rPr>
          <t>P-3.1.1.2.</t>
        </r>
      </text>
    </comment>
    <comment ref="K224" authorId="1" shapeId="0">
      <text>
        <r>
          <rPr>
            <sz val="9"/>
            <color indexed="81"/>
            <rFont val="Tahoma"/>
            <family val="2"/>
            <charset val="186"/>
          </rPr>
          <t>Stotelių sąrašą, kuriose bus įrengta neregių danga, metų bėgyje pateikia Transporto skyrius atlikęs apžiūras kartu su VšĮ „Klaipėdos keleivinis transportas“</t>
        </r>
        <r>
          <rPr>
            <sz val="9"/>
            <color indexed="81"/>
            <rFont val="Tahoma"/>
            <family val="2"/>
            <charset val="186"/>
          </rPr>
          <t xml:space="preserve">
</t>
        </r>
      </text>
    </comment>
    <comment ref="E225" authorId="5" shapeId="0">
      <text>
        <r>
          <rPr>
            <sz val="9"/>
            <color indexed="81"/>
            <rFont val="Tahoma"/>
            <family val="2"/>
            <charset val="186"/>
          </rPr>
          <t>P-3.1.2.2.</t>
        </r>
      </text>
    </comment>
    <comment ref="K226" authorId="1" shapeId="0">
      <text>
        <r>
          <rPr>
            <sz val="9"/>
            <color indexed="81"/>
            <rFont val="Tahoma"/>
            <family val="2"/>
            <charset val="186"/>
          </rPr>
          <t>Debreceno g. ir Šilutės pl. sankryža – 6 perėjos;
Debreceno g. ties 47 – 1 perėja;
Reikjaviko g. ties 7 ir 15 – 2 perėjos;
Varpų g. ties 3 – 1 perėja.</t>
        </r>
        <r>
          <rPr>
            <b/>
            <sz val="9"/>
            <color indexed="81"/>
            <rFont val="Tahoma"/>
            <family val="2"/>
            <charset val="186"/>
          </rPr>
          <t xml:space="preserve">
</t>
        </r>
        <r>
          <rPr>
            <sz val="9"/>
            <color indexed="81"/>
            <rFont val="Tahoma"/>
            <family val="2"/>
            <charset val="186"/>
          </rPr>
          <t xml:space="preserve">
</t>
        </r>
      </text>
    </comment>
    <comment ref="E227" authorId="5" shapeId="0">
      <text>
        <r>
          <rPr>
            <sz val="9"/>
            <color indexed="81"/>
            <rFont val="Tahoma"/>
            <family val="2"/>
            <charset val="186"/>
          </rPr>
          <t>P-3.1.3.6.</t>
        </r>
      </text>
    </comment>
    <comment ref="K228" authorId="1" shapeId="0">
      <text>
        <r>
          <rPr>
            <sz val="9"/>
            <color indexed="81"/>
            <rFont val="Tahoma"/>
            <family val="2"/>
            <charset val="186"/>
          </rPr>
          <t xml:space="preserve">Išplėtus rinkliavos zonas, bilietų automatų skaičius nesikeis, nes bus išimti iš jau esamų zonų (išskirstyti didesniais tarpais).
</t>
        </r>
      </text>
    </comment>
    <comment ref="E229" authorId="5" shapeId="0">
      <text>
        <r>
          <rPr>
            <sz val="9"/>
            <color indexed="81"/>
            <rFont val="Tahoma"/>
            <family val="2"/>
            <charset val="186"/>
          </rPr>
          <t>P-3.1.1.5.</t>
        </r>
      </text>
    </comment>
    <comment ref="E230"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E23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E232" authorId="5" shapeId="0">
      <text>
        <r>
          <rPr>
            <sz val="9"/>
            <color indexed="81"/>
            <rFont val="Tahoma"/>
            <family val="2"/>
            <charset val="186"/>
          </rPr>
          <t>P-2.4.3.5.</t>
        </r>
      </text>
    </comment>
    <comment ref="K232" authorId="1" shapeId="0">
      <text>
        <r>
          <rPr>
            <sz val="9"/>
            <color indexed="81"/>
            <rFont val="Tahoma"/>
            <family val="2"/>
            <charset val="186"/>
          </rPr>
          <t xml:space="preserve">Greičio matuoklio Sensys Gatso T3 Serijos
korpusas su muliažu (2
 x 5000 + PVM)
</t>
        </r>
      </text>
    </comment>
    <comment ref="E246"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48" authorId="0" shapeId="0">
      <text>
        <r>
          <rPr>
            <sz val="9"/>
            <color indexed="81"/>
            <rFont val="Tahoma"/>
            <family val="2"/>
            <charset val="186"/>
          </rPr>
          <t xml:space="preserve">P-3.1.3.7.; 3.1.3.3.
</t>
        </r>
      </text>
    </comment>
    <comment ref="E254" authorId="0" shapeId="0">
      <text>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J254" authorId="4" shapeId="0">
      <text>
        <r>
          <rPr>
            <sz val="9"/>
            <color indexed="81"/>
            <rFont val="Tahoma"/>
            <family val="2"/>
            <charset val="186"/>
          </rPr>
          <t xml:space="preserve">Projekto įgyvendinimas pratęstas iki 2022-08-31
</t>
        </r>
      </text>
    </comment>
    <comment ref="E255"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text>
    </comment>
    <comment ref="E257" authorId="0" shapeId="0">
      <text>
        <r>
          <rPr>
            <sz val="9"/>
            <color indexed="81"/>
            <rFont val="Tahoma"/>
            <family val="2"/>
            <charset val="186"/>
          </rPr>
          <t xml:space="preserve">P-3.1.1.1.
</t>
        </r>
      </text>
    </comment>
    <comment ref="E258" authorId="0" shapeId="0">
      <text>
        <r>
          <rPr>
            <b/>
            <sz val="9"/>
            <color indexed="81"/>
            <rFont val="Tahoma"/>
            <family val="2"/>
            <charset val="186"/>
          </rPr>
          <t xml:space="preserve">KEPS 3.3.4. </t>
        </r>
        <r>
          <rPr>
            <sz val="9"/>
            <color indexed="81"/>
            <rFont val="Tahoma"/>
            <family val="2"/>
            <charset val="186"/>
          </rPr>
          <t xml:space="preserve">Formuoti pagrindinę greitojo viešojo transporto ašį, įrengiant tramvajaus sistemą ar įsigyjant kitų transporto alternatyvų 
</t>
        </r>
      </text>
    </comment>
    <comment ref="E260" authorId="0" shapeId="0">
      <text>
        <r>
          <rPr>
            <sz val="9"/>
            <color indexed="81"/>
            <rFont val="Tahoma"/>
            <family val="2"/>
            <charset val="186"/>
          </rPr>
          <t>P2 Klaipėdos miesto darnaus judumo planas (2018-09-13, T2-185);</t>
        </r>
      </text>
    </comment>
    <comment ref="E262" authorId="0" shapeId="0">
      <text>
        <r>
          <rPr>
            <sz val="9"/>
            <color indexed="81"/>
            <rFont val="Tahoma"/>
            <family val="2"/>
            <charset val="186"/>
          </rPr>
          <t xml:space="preserve">P-3.1.1.1.
</t>
        </r>
      </text>
    </comment>
    <comment ref="E263" authorId="0" shapeId="0">
      <text>
        <r>
          <rPr>
            <sz val="9"/>
            <color indexed="81"/>
            <rFont val="Tahoma"/>
            <family val="2"/>
            <charset val="186"/>
          </rPr>
          <t xml:space="preserve">P-3.1.1.1.
</t>
        </r>
      </text>
    </comment>
    <comment ref="E264" authorId="0" shapeId="0">
      <text>
        <r>
          <rPr>
            <sz val="9"/>
            <color indexed="81"/>
            <rFont val="Tahoma"/>
            <family val="2"/>
            <charset val="186"/>
          </rPr>
          <t>P2 Klaipėdos miesto darnaus judumo planas (2018-09-13, T2-185);</t>
        </r>
      </text>
    </comment>
    <comment ref="E266" authorId="5" shapeId="0">
      <text>
        <r>
          <rPr>
            <sz val="9"/>
            <color indexed="81"/>
            <rFont val="Tahoma"/>
            <family val="2"/>
            <charset val="186"/>
          </rPr>
          <t>P-3.1.1.1.</t>
        </r>
      </text>
    </comment>
    <comment ref="E267"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K268" authorId="1" shapeId="0">
      <text>
        <r>
          <rPr>
            <sz val="9"/>
            <color indexed="81"/>
            <rFont val="Tahoma"/>
            <family val="2"/>
            <charset val="186"/>
          </rPr>
          <t>Elektromobilių įkrovimo stotelių įrengimas nusikėlė į 2022 m. Pačios stotelės jau pastatytos, bet dar ne visos veikia, nes ESO jų nepajungė. Taip pat stotelių įrengimas kainavo daugiau nei planuota. Nebuvo įvertinta ESO dalis.</t>
        </r>
        <r>
          <rPr>
            <sz val="9"/>
            <color indexed="81"/>
            <rFont val="Tahoma"/>
            <family val="2"/>
            <charset val="186"/>
          </rPr>
          <t xml:space="preserve">
</t>
        </r>
      </text>
    </comment>
    <comment ref="E26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E270" authorId="0" shapeId="0">
      <text>
        <r>
          <rPr>
            <sz val="9"/>
            <color indexed="81"/>
            <rFont val="Tahoma"/>
            <family val="2"/>
            <charset val="186"/>
          </rPr>
          <t xml:space="preserve">P-3.1.1.2 </t>
        </r>
      </text>
    </comment>
    <comment ref="K270" authorId="1" shapeId="0">
      <text>
        <r>
          <rPr>
            <sz val="9"/>
            <color indexed="81"/>
            <rFont val="Tahoma"/>
            <family val="2"/>
            <charset val="186"/>
          </rPr>
          <t>Dviračių saugykla - Malūnininkų g. 1;
Dviračių skaičiuoklės - prie p. c. ,,Akropolis“, Taikos pr. ir prie ,,Atgimimo“ stotelės;
Kintamos informacijos kelio ženklai - P. Lideiko g.</t>
        </r>
      </text>
    </comment>
    <comment ref="E272"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E273" authorId="0" shapeId="0">
      <text>
        <r>
          <rPr>
            <sz val="9"/>
            <color indexed="81"/>
            <rFont val="Tahoma"/>
            <family val="2"/>
            <charset val="186"/>
          </rPr>
          <t>P2 Klaipėdos miesto darnaus judumo planas (2018-09-13, T2-185);</t>
        </r>
      </text>
    </comment>
    <comment ref="E275" authorId="5" shapeId="0">
      <text>
        <r>
          <rPr>
            <sz val="9"/>
            <color indexed="81"/>
            <rFont val="Tahoma"/>
            <family val="2"/>
            <charset val="186"/>
          </rPr>
          <t>P-1.2.1.3., 3.1.2.3.</t>
        </r>
      </text>
    </comment>
    <comment ref="K278" authorId="1" shapeId="0">
      <text>
        <r>
          <rPr>
            <sz val="9"/>
            <color indexed="81"/>
            <rFont val="Tahoma"/>
            <family val="2"/>
            <charset val="186"/>
          </rPr>
          <t>Lėšų poreikis suskaičiuotas pagal šiuos išeitinius duomenis: 
1) navigacinis sezonas truks 180 dienų nuo kiekvienų metų balandžio 1 d.;
2) kursuos 3 vandens autobusai su 2 įkrovos stotelėmis (Senamiestis ir Tauralaukis), 12 ratų per dieną.
Pirmais metais bilietų pajamos dengtų ~50 proc. sąnaudų, vėliau jos gali mažėti.</t>
        </r>
        <r>
          <rPr>
            <b/>
            <sz val="9"/>
            <color indexed="81"/>
            <rFont val="Tahoma"/>
            <family val="2"/>
            <charset val="186"/>
          </rPr>
          <t xml:space="preserve"> 
Kompensacija bus mokama nuo 2022-06-15.
</t>
        </r>
        <r>
          <rPr>
            <sz val="9"/>
            <color indexed="81"/>
            <rFont val="Tahoma"/>
            <family val="2"/>
            <charset val="186"/>
          </rPr>
          <t xml:space="preserve">
</t>
        </r>
      </text>
    </comment>
    <comment ref="E281" authorId="5" shapeId="0">
      <text>
        <r>
          <rPr>
            <sz val="9"/>
            <color indexed="81"/>
            <rFont val="Tahoma"/>
            <family val="2"/>
            <charset val="186"/>
          </rPr>
          <t>P-3.1.3.3.; 3.1.3.</t>
        </r>
      </text>
    </comment>
  </commentList>
</comments>
</file>

<file path=xl/comments2.xml><?xml version="1.0" encoding="utf-8"?>
<comments xmlns="http://schemas.openxmlformats.org/spreadsheetml/2006/main">
  <authors>
    <author>Audra Cepiene</author>
    <author>Inga Mikalauskienė</author>
    <author>Rima Alisauskaite</author>
    <author>Indrė Butenienė</author>
    <author>Saulina Paulauskiene</author>
    <author>Snieguole Kacerauskaite</author>
  </authors>
  <commentList>
    <comment ref="F16" authorId="0" shapeId="0">
      <text>
        <r>
          <rPr>
            <sz val="9"/>
            <color indexed="81"/>
            <rFont val="Tahoma"/>
            <family val="2"/>
            <charset val="186"/>
          </rPr>
          <t>P1, 3.6. Miesto susisiekimo sistemos tobulinimas užtikrinant didesnį gatvių tinklo pralaidumą;</t>
        </r>
      </text>
    </comment>
    <comment ref="F17" authorId="0" shapeId="0">
      <text>
        <r>
          <rPr>
            <b/>
            <sz val="9"/>
            <color indexed="81"/>
            <rFont val="Tahoma"/>
            <family val="2"/>
            <charset val="186"/>
          </rPr>
          <t xml:space="preserve">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L17" authorId="1" shapeId="0">
      <text>
        <r>
          <rPr>
            <sz val="9"/>
            <color indexed="81"/>
            <rFont val="Tahoma"/>
            <family val="2"/>
            <charset val="186"/>
          </rPr>
          <t>II etape bus įrengiamos 2 požeminės perėjos. Jų pradinius darbus reikia atlikti vykdant I etapą, neatlikus jų, tektų ardyti įrengtas dangas (2021-10-30 pasitarimo protokolas Nr. ADM1-372).</t>
        </r>
      </text>
    </comment>
    <comment ref="F18"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t>
        </r>
      </text>
    </comment>
    <comment ref="F2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F22" authorId="1" shapeId="0">
      <text>
        <r>
          <rPr>
            <sz val="9"/>
            <color indexed="81"/>
            <rFont val="Tahoma"/>
            <family val="2"/>
            <charset val="186"/>
          </rPr>
          <t>P-3.1.3.1.</t>
        </r>
        <r>
          <rPr>
            <sz val="9"/>
            <color indexed="81"/>
            <rFont val="Tahoma"/>
            <family val="2"/>
            <charset val="186"/>
          </rPr>
          <t xml:space="preserve">
</t>
        </r>
      </text>
    </comment>
    <comment ref="F26"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F2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F34"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N35" authorId="1" shapeId="0">
      <text>
        <r>
          <rPr>
            <sz val="9"/>
            <color indexed="81"/>
            <rFont val="Tahoma"/>
            <family val="2"/>
            <charset val="186"/>
          </rPr>
          <t>Irklų, Slyvų, Kurėno, Ąžuolyno, Šilutės pl.</t>
        </r>
        <r>
          <rPr>
            <sz val="9"/>
            <color indexed="81"/>
            <rFont val="Tahoma"/>
            <family val="2"/>
            <charset val="186"/>
          </rPr>
          <t xml:space="preserve">
</t>
        </r>
      </text>
    </comment>
    <comment ref="O35" authorId="1" shapeId="0">
      <text>
        <r>
          <rPr>
            <sz val="9"/>
            <color indexed="81"/>
            <rFont val="Tahoma"/>
            <family val="2"/>
            <charset val="186"/>
          </rPr>
          <t>Mogiliovo, Autobusų stoties, Savivaldybės, Žemaičių, Malūno tvenkinio</t>
        </r>
      </text>
    </comment>
    <comment ref="F38"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F39" authorId="1" shapeId="0">
      <text>
        <r>
          <rPr>
            <sz val="9"/>
            <color indexed="81"/>
            <rFont val="Tahoma"/>
            <family val="2"/>
            <charset val="186"/>
          </rPr>
          <t xml:space="preserve">P-3.2.2.3., 3.1.2.2
</t>
        </r>
      </text>
    </comment>
    <comment ref="F4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42"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F4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46" authorId="2" shapeId="0">
      <text>
        <r>
          <rPr>
            <sz val="9"/>
            <color indexed="81"/>
            <rFont val="Tahoma"/>
            <family val="2"/>
            <charset val="186"/>
          </rPr>
          <t>P-3.2.2.3.</t>
        </r>
      </text>
    </comment>
    <comment ref="F50"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F5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J53" authorId="1" shapeId="0">
      <text>
        <r>
          <rPr>
            <sz val="9"/>
            <color indexed="81"/>
            <rFont val="Tahoma"/>
            <family val="2"/>
            <charset val="186"/>
          </rPr>
          <t xml:space="preserve">Lėšos pekeliamos tik galutiniam atsiskaitymui su Lietuvos automobilių klelių direkcija.
</t>
        </r>
      </text>
    </comment>
    <comment ref="F56" authorId="3" shapeId="0">
      <text>
        <r>
          <rPr>
            <sz val="9"/>
            <color indexed="81"/>
            <rFont val="Tahoma"/>
            <family val="2"/>
            <charset val="186"/>
          </rPr>
          <t>P1, 1.1.2. Parengtas ir įgyvendintas žvyruotų kelių asfaltavimo priemonių planas siekiant asfaltuoti ne mažiau kaip 10 km žvyruotų kelių, vnt</t>
        </r>
      </text>
    </comment>
    <comment ref="F5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F59" authorId="2" shapeId="0">
      <text>
        <r>
          <rPr>
            <sz val="9"/>
            <color indexed="81"/>
            <rFont val="Tahoma"/>
            <family val="2"/>
            <charset val="186"/>
          </rPr>
          <t>P-3.1.3.4.</t>
        </r>
      </text>
    </comment>
    <comment ref="M59" authorId="1" shapeId="0">
      <text>
        <r>
          <rPr>
            <sz val="9"/>
            <color indexed="81"/>
            <rFont val="Tahoma"/>
            <family val="2"/>
            <charset val="186"/>
          </rPr>
          <t xml:space="preserve">Slengių g., Lietaus g., Vaivorykštės g., Griaustinio g. , Arimų g., Vėjo g. (II dalies), Žvaigždžių g. rekonstravimas
</t>
        </r>
      </text>
    </comment>
    <comment ref="F62"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F6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E67" authorId="1" shapeId="0">
      <text>
        <r>
          <rPr>
            <sz val="9"/>
            <color indexed="81"/>
            <rFont val="Tahoma"/>
            <family val="2"/>
            <charset val="186"/>
          </rPr>
          <t>Palikta tik dalis objekto, nes nevykdant naujo tilto statybos, keičiasi Danės g.  rekonstrukcijos sprendiniai</t>
        </r>
      </text>
    </comment>
    <comment ref="M67" authorId="1" shapeId="0">
      <text>
        <r>
          <rPr>
            <sz val="9"/>
            <color indexed="81"/>
            <rFont val="Tahoma"/>
            <family val="2"/>
            <charset val="186"/>
          </rPr>
          <t xml:space="preserve">Ruožas nuo Laivų skg. iki Artojų g.
</t>
        </r>
      </text>
    </comment>
    <comment ref="F69" authorId="2" shapeId="0">
      <text>
        <r>
          <rPr>
            <sz val="9"/>
            <color indexed="81"/>
            <rFont val="Tahoma"/>
            <family val="2"/>
            <charset val="186"/>
          </rPr>
          <t>P-3.1.3.5.</t>
        </r>
      </text>
    </comment>
    <comment ref="F70" authorId="3" shapeId="0">
      <text>
        <r>
          <rPr>
            <sz val="9"/>
            <color indexed="81"/>
            <rFont val="Tahoma"/>
            <family val="2"/>
            <charset val="186"/>
          </rPr>
          <t>P1, 1.1.2. Parengtas ir įgyvendintas žvyruotų kelių asfaltavimo priemonių planas siekiant asfaltuoti ne mažiau kaip 10 km žvyruotų kelių, vnt</t>
        </r>
      </text>
    </comment>
    <comment ref="M70"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M71"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F72" authorId="2" shapeId="0">
      <text>
        <r>
          <rPr>
            <sz val="9"/>
            <color indexed="81"/>
            <rFont val="Tahoma"/>
            <family val="2"/>
            <charset val="186"/>
          </rPr>
          <t>P-3.1.3.4.</t>
        </r>
      </text>
    </comment>
    <comment ref="F74" authorId="2" shapeId="0">
      <text>
        <r>
          <rPr>
            <sz val="9"/>
            <color indexed="81"/>
            <rFont val="Tahoma"/>
            <family val="2"/>
            <charset val="186"/>
          </rPr>
          <t>P-3.1.3.4.</t>
        </r>
      </text>
    </comment>
    <comment ref="F75" authorId="0" shapeId="0">
      <text>
        <r>
          <rPr>
            <sz val="9"/>
            <color indexed="81"/>
            <rFont val="Tahoma"/>
            <family val="2"/>
            <charset val="186"/>
          </rPr>
          <t>P1, 3.6. Miesto susisiekimo sistemos tobulinimas užtikrinant didesnį gatvių tinklo pralaidumą;</t>
        </r>
      </text>
    </comment>
    <comment ref="F83" authorId="0" shapeId="0">
      <text>
        <r>
          <rPr>
            <sz val="9"/>
            <color indexed="81"/>
            <rFont val="Tahoma"/>
            <family val="2"/>
            <charset val="186"/>
          </rPr>
          <t>P1, 3.6. Miesto susisiekimo sistemos tobulinimas užtikrinant didesnį gatvių tinklo pralaidumą;</t>
        </r>
      </text>
    </comment>
    <comment ref="F85" authorId="2" shapeId="0">
      <text>
        <r>
          <rPr>
            <sz val="9"/>
            <color indexed="81"/>
            <rFont val="Tahoma"/>
            <family val="2"/>
            <charset val="186"/>
          </rPr>
          <t>P-3.1.3.5.</t>
        </r>
      </text>
    </comment>
    <comment ref="F87" authorId="2" shapeId="0">
      <text>
        <r>
          <rPr>
            <sz val="9"/>
            <color indexed="81"/>
            <rFont val="Tahoma"/>
            <family val="2"/>
            <charset val="186"/>
          </rPr>
          <t>P-1.1.2.3.</t>
        </r>
      </text>
    </comment>
    <comment ref="M87" authorId="1" shapeId="0">
      <text>
        <r>
          <rPr>
            <sz val="9"/>
            <color indexed="81"/>
            <rFont val="Tahoma"/>
            <family val="2"/>
            <charset val="186"/>
          </rPr>
          <t xml:space="preserve">Įrengtas naujas žvejų laivams skirtas slipas (aikštelė, skirta valtims nuleisti ir ištraukti iš vandens)
</t>
        </r>
      </text>
    </comment>
    <comment ref="F91" authorId="2" shapeId="0">
      <text>
        <r>
          <rPr>
            <sz val="9"/>
            <color indexed="81"/>
            <rFont val="Tahoma"/>
            <family val="2"/>
            <charset val="186"/>
          </rPr>
          <t>P-1.1.2.3.</t>
        </r>
      </text>
    </comment>
    <comment ref="F92" authorId="0" shapeId="0">
      <text>
        <r>
          <rPr>
            <sz val="9"/>
            <color indexed="81"/>
            <rFont val="Tahoma"/>
            <family val="2"/>
            <charset val="186"/>
          </rPr>
          <t>Klaipėdos miesto darnaus judumo planas (2018-09-13, T2-185)</t>
        </r>
        <r>
          <rPr>
            <b/>
            <sz val="9"/>
            <color indexed="81"/>
            <rFont val="Tahoma"/>
            <family val="2"/>
            <charset val="186"/>
          </rPr>
          <t xml:space="preserve">
</t>
        </r>
        <r>
          <rPr>
            <sz val="9"/>
            <color indexed="81"/>
            <rFont val="Tahoma"/>
            <family val="2"/>
            <charset val="186"/>
          </rPr>
          <t xml:space="preserve">
</t>
        </r>
      </text>
    </comment>
    <comment ref="F93" authorId="2" shapeId="0">
      <text>
        <r>
          <rPr>
            <sz val="9"/>
            <color indexed="81"/>
            <rFont val="Tahoma"/>
            <family val="2"/>
            <charset val="186"/>
          </rPr>
          <t>P-3.1.1.4.</t>
        </r>
      </text>
    </comment>
    <comment ref="F96" authorId="2" shapeId="0">
      <text>
        <r>
          <rPr>
            <sz val="9"/>
            <color indexed="81"/>
            <rFont val="Tahoma"/>
            <family val="2"/>
            <charset val="186"/>
          </rPr>
          <t>P-3.1.1.4.</t>
        </r>
      </text>
    </comment>
    <comment ref="F10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K105" authorId="4" shapeId="0">
      <text>
        <r>
          <rPr>
            <sz val="9"/>
            <color indexed="81"/>
            <rFont val="Tahoma"/>
            <family val="2"/>
            <charset val="186"/>
          </rPr>
          <t>Laborotoriniams bandymams, kurių neapmoka iš KPP lėšų</t>
        </r>
      </text>
    </comment>
    <comment ref="F12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J123" authorId="5" shapeId="0">
      <text>
        <r>
          <rPr>
            <sz val="9"/>
            <color indexed="81"/>
            <rFont val="Tahoma"/>
            <family val="2"/>
            <charset val="186"/>
          </rPr>
          <t xml:space="preserve">Žvyruotų gatvių dangų priežiūra - 140 t. €;
Akmens grindinio priežiūros darbai - 50,3 t. €;
Miesto gatvių asfaltbetonio dangų priežiūra - 831,5 t. €
</t>
        </r>
        <r>
          <rPr>
            <sz val="9"/>
            <color indexed="81"/>
            <rFont val="Tahoma"/>
            <family val="2"/>
            <charset val="186"/>
          </rPr>
          <t xml:space="preserve">
</t>
        </r>
      </text>
    </comment>
    <comment ref="F125" authorId="4" shapeId="0">
      <text>
        <r>
          <rPr>
            <sz val="9"/>
            <color indexed="81"/>
            <rFont val="Tahoma"/>
            <family val="2"/>
            <charset val="186"/>
          </rPr>
          <t>P-3.1.3.4.</t>
        </r>
      </text>
    </comment>
    <comment ref="F12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27" authorId="4" shapeId="0">
      <text>
        <r>
          <rPr>
            <sz val="9"/>
            <color indexed="81"/>
            <rFont val="Tahoma"/>
            <family val="2"/>
            <charset val="186"/>
          </rPr>
          <t>P-3.1.3.4.</t>
        </r>
      </text>
    </comment>
    <comment ref="F12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30" authorId="1" shapeId="0">
      <text>
        <r>
          <rPr>
            <sz val="9"/>
            <color indexed="81"/>
            <rFont val="Tahoma"/>
            <family val="2"/>
            <charset val="186"/>
          </rPr>
          <t xml:space="preserve">P-3.1.1.3.; 3.1.1.2.
</t>
        </r>
      </text>
    </comment>
    <comment ref="J130" authorId="4" shapeId="0">
      <text>
        <r>
          <rPr>
            <sz val="9"/>
            <color indexed="81"/>
            <rFont val="Tahoma"/>
            <family val="2"/>
            <charset val="186"/>
          </rPr>
          <t>Didesnė lėšų dalis numatoma iš SB lėšų, nes didžioji dalis remontų numatyta kiemuose. Tokių darbų Kelių direkcija neapmoka.</t>
        </r>
      </text>
    </comment>
    <comment ref="N132" authorId="4" shapeId="0">
      <text>
        <r>
          <rPr>
            <sz val="9"/>
            <color indexed="81"/>
            <rFont val="Tahoma"/>
            <family val="2"/>
            <charset val="186"/>
          </rPr>
          <t>Žaliakalnio gimnazija</t>
        </r>
      </text>
    </comment>
    <comment ref="O132" authorId="4" shapeId="0">
      <text>
        <r>
          <rPr>
            <sz val="9"/>
            <color indexed="81"/>
            <rFont val="Tahoma"/>
            <family val="2"/>
            <charset val="186"/>
          </rPr>
          <t>Vyturio progimnazija</t>
        </r>
      </text>
    </comment>
    <comment ref="P132" authorId="4" shapeId="0">
      <text>
        <r>
          <rPr>
            <sz val="9"/>
            <color indexed="81"/>
            <rFont val="Tahoma"/>
            <family val="2"/>
            <charset val="186"/>
          </rPr>
          <t>L/d Pakalnutė</t>
        </r>
      </text>
    </comment>
    <comment ref="Q132" authorId="4" shapeId="0">
      <text>
        <r>
          <rPr>
            <sz val="9"/>
            <color indexed="81"/>
            <rFont val="Tahoma"/>
            <family val="2"/>
            <charset val="186"/>
          </rPr>
          <t>Gabijos progimnazija</t>
        </r>
      </text>
    </comment>
    <comment ref="F133" authorId="4" shapeId="0">
      <text>
        <r>
          <rPr>
            <sz val="9"/>
            <color indexed="81"/>
            <rFont val="Tahoma"/>
            <family val="2"/>
            <charset val="186"/>
          </rPr>
          <t>P-3.1.3.6.</t>
        </r>
      </text>
    </comment>
    <comment ref="O134" authorId="1" shapeId="0">
      <text>
        <r>
          <rPr>
            <sz val="9"/>
            <color indexed="81"/>
            <rFont val="Tahoma"/>
            <family val="2"/>
            <charset val="186"/>
          </rPr>
          <t>Papildomai prisideda 2 tiltai: pėsčiųjų tiltas per geležinkelį Priestočio gatvėje ir metalinis tiltelis prie Jono kalnelio</t>
        </r>
        <r>
          <rPr>
            <b/>
            <sz val="9"/>
            <color indexed="81"/>
            <rFont val="Tahoma"/>
            <family val="2"/>
            <charset val="186"/>
          </rPr>
          <t xml:space="preserve">
</t>
        </r>
        <r>
          <rPr>
            <sz val="9"/>
            <color indexed="81"/>
            <rFont val="Tahoma"/>
            <family val="2"/>
            <charset val="186"/>
          </rPr>
          <t xml:space="preserve">
</t>
        </r>
      </text>
    </comment>
    <comment ref="J140" authorId="1" shapeId="0">
      <text>
        <r>
          <rPr>
            <sz val="9"/>
            <color indexed="81"/>
            <rFont val="Tahoma"/>
            <family val="2"/>
            <charset val="186"/>
          </rPr>
          <t xml:space="preserve">
Lėšų poreikio didėjimas dėl naujų sutarčių pirkimo, nes tikimasi didesnių kainų dėl brangstančių objektų vertės, nuo kurių skaičiuojama techninės priežiūros kaina.</t>
        </r>
      </text>
    </comment>
    <comment ref="F143" authorId="2" shapeId="0">
      <text>
        <r>
          <rPr>
            <sz val="9"/>
            <color indexed="81"/>
            <rFont val="Tahoma"/>
            <family val="2"/>
            <charset val="186"/>
          </rPr>
          <t>P-3.1.3.5.</t>
        </r>
      </text>
    </comment>
    <comment ref="E145"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O145" authorId="5" shapeId="0">
      <text>
        <r>
          <rPr>
            <sz val="9"/>
            <color indexed="81"/>
            <rFont val="Tahoma"/>
            <family val="2"/>
            <charset val="186"/>
          </rPr>
          <t>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t>
        </r>
        <r>
          <rPr>
            <sz val="9"/>
            <color indexed="81"/>
            <rFont val="Tahoma"/>
            <family val="2"/>
            <charset val="186"/>
          </rPr>
          <t xml:space="preserve">
</t>
        </r>
      </text>
    </comment>
    <comment ref="F146" authorId="2" shapeId="0">
      <text>
        <r>
          <rPr>
            <sz val="9"/>
            <color indexed="81"/>
            <rFont val="Tahoma"/>
            <family val="2"/>
            <charset val="186"/>
          </rPr>
          <t>P-3.1.3.4.</t>
        </r>
      </text>
    </comment>
    <comment ref="O146"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 ref="F155" authorId="4" shapeId="0">
      <text>
        <r>
          <rPr>
            <sz val="9"/>
            <color indexed="81"/>
            <rFont val="Tahoma"/>
            <family val="2"/>
            <charset val="186"/>
          </rPr>
          <t>P-3.2.2.2.</t>
        </r>
      </text>
    </comment>
    <comment ref="H156" authorId="4" shapeId="0">
      <text>
        <r>
          <rPr>
            <sz val="9"/>
            <color indexed="81"/>
            <rFont val="Tahoma"/>
            <family val="2"/>
            <charset val="186"/>
          </rPr>
          <t>Kompensacija pagal 2020 m. rugsėjo 16 d. sutartį Nr. J9-2473 su UAB „Vaikų pasaulis“</t>
        </r>
      </text>
    </comment>
    <comment ref="F162" authorId="1" shapeId="0">
      <text>
        <r>
          <rPr>
            <sz val="9"/>
            <color indexed="81"/>
            <rFont val="Tahoma"/>
            <family val="2"/>
            <charset val="186"/>
          </rPr>
          <t>P-3.1.3.5.
2023-2025 m.</t>
        </r>
      </text>
    </comment>
    <comment ref="F166" authorId="2" shapeId="0">
      <text>
        <r>
          <rPr>
            <sz val="9"/>
            <color indexed="81"/>
            <rFont val="Tahoma"/>
            <family val="2"/>
            <charset val="186"/>
          </rPr>
          <t>P-3.1.3.6.</t>
        </r>
      </text>
    </comment>
    <comment ref="O167" authorId="1" shapeId="0">
      <text>
        <r>
          <rPr>
            <sz val="9"/>
            <color indexed="81"/>
            <rFont val="Tahoma"/>
            <family val="2"/>
            <charset val="186"/>
          </rPr>
          <t xml:space="preserve">Projekto pirkimas kartu su rangos darbais (79,0 tūkst. Eur projektui ir rangos darbams; 1,0 tūkst. Eur projekto ekspertizei) 
</t>
        </r>
      </text>
    </comment>
    <comment ref="O169" authorId="1" shapeId="0">
      <text>
        <r>
          <rPr>
            <sz val="9"/>
            <color indexed="81"/>
            <rFont val="Tahoma"/>
            <family val="2"/>
            <charset val="186"/>
          </rPr>
          <t xml:space="preserve">Kaina skaičiuota vadovaujantis Statinių statybos skaičiuojamųjų kainų palyginamaisiais ekonominiais rodikliais bei bendraisiais ekonominiais normatyvais. Priemonę inicijuoja Transporto sk. (2021-11-11 VS-8875) pagal atliktą VšĮ Transporto kompetencijų agentūros saugaus eismo tyrimą. Klausimas svarstytas Saugaus eismo 2021-09 mėn.komisijos posėdyje (protokolas ADM-530)
</t>
        </r>
      </text>
    </comment>
    <comment ref="E174" authorId="5" shapeId="0">
      <text>
        <r>
          <rPr>
            <sz val="9"/>
            <color indexed="81"/>
            <rFont val="Tahoma"/>
            <family val="2"/>
            <charset val="186"/>
          </rPr>
          <t>Susijusi su 11 pr. "Sporto ir laisvalaikio komplekso statyba (koncesijos procedūrų vykdymas)"</t>
        </r>
        <r>
          <rPr>
            <sz val="9"/>
            <color indexed="81"/>
            <rFont val="Tahoma"/>
            <family val="2"/>
            <charset val="186"/>
          </rPr>
          <t xml:space="preserve">
</t>
        </r>
      </text>
    </comment>
    <comment ref="F176" authorId="2" shapeId="0">
      <text>
        <r>
          <rPr>
            <sz val="9"/>
            <color indexed="81"/>
            <rFont val="Tahoma"/>
            <family val="2"/>
            <charset val="186"/>
          </rPr>
          <t>P-3.1.3.5.</t>
        </r>
      </text>
    </comment>
    <comment ref="F179" authorId="2" shapeId="0">
      <text>
        <r>
          <rPr>
            <sz val="9"/>
            <color indexed="81"/>
            <rFont val="Tahoma"/>
            <family val="2"/>
            <charset val="186"/>
          </rPr>
          <t>P-1.2.1.1.</t>
        </r>
      </text>
    </comment>
    <comment ref="F183" authorId="2" shapeId="0">
      <text>
        <r>
          <rPr>
            <sz val="9"/>
            <color indexed="81"/>
            <rFont val="Tahoma"/>
            <family val="2"/>
            <charset val="186"/>
          </rPr>
          <t>P-1.1.1.5.</t>
        </r>
      </text>
    </comment>
    <comment ref="F185" authorId="2" shapeId="0">
      <text>
        <r>
          <rPr>
            <sz val="9"/>
            <color indexed="81"/>
            <rFont val="Tahoma"/>
            <family val="2"/>
            <charset val="186"/>
          </rPr>
          <t>P-1.1.1.5.</t>
        </r>
      </text>
    </comment>
    <comment ref="F191" authorId="4" shapeId="0">
      <text>
        <r>
          <rPr>
            <sz val="9"/>
            <color indexed="81"/>
            <rFont val="Tahoma"/>
            <family val="2"/>
            <charset val="186"/>
          </rPr>
          <t>P-3.1.2., 3.1.2.1., 3.1.2.2</t>
        </r>
      </text>
    </comment>
    <comment ref="F192"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F200" authorId="4" shapeId="0">
      <text>
        <r>
          <rPr>
            <sz val="9"/>
            <color indexed="81"/>
            <rFont val="Tahoma"/>
            <family val="2"/>
            <charset val="186"/>
          </rPr>
          <t>P-3.1.2., 3.1.2.1., 3.1.2.2</t>
        </r>
      </text>
    </comment>
    <comment ref="J203" authorId="1" shapeId="0">
      <text>
        <r>
          <rPr>
            <sz val="9"/>
            <color indexed="81"/>
            <rFont val="Tahoma"/>
            <family val="2"/>
            <charset val="186"/>
          </rPr>
          <t xml:space="preserve">Lėšų poreikis didėja dėl drastiško suskystintų gamtinių dujų kainos augimo, vyriausybės planuojamo minimalaus darbo užmokesčio didinimo. Taip pat anksčiau nebuvo įvertinta vežėjo rentabilumo suma.
</t>
        </r>
      </text>
    </comment>
    <comment ref="Q203" authorId="1" shapeId="0">
      <text>
        <r>
          <rPr>
            <sz val="9"/>
            <color indexed="81"/>
            <rFont val="Tahoma"/>
            <family val="2"/>
            <charset val="186"/>
          </rPr>
          <t xml:space="preserve">Iki 2024 m. gruodžio 6 d. </t>
        </r>
        <r>
          <rPr>
            <sz val="9"/>
            <color indexed="81"/>
            <rFont val="Tahoma"/>
            <family val="2"/>
            <charset val="186"/>
          </rPr>
          <t xml:space="preserve">
</t>
        </r>
      </text>
    </comment>
    <comment ref="F205"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J205" authorId="1" shapeId="0">
      <text>
        <r>
          <rPr>
            <sz val="9"/>
            <color indexed="81"/>
            <rFont val="Tahoma"/>
            <family val="2"/>
            <charset val="186"/>
          </rPr>
          <t xml:space="preserve">Lėšų poreikis didėja dėl elektros kainos augimo, vyriausybės planuojamo minimalaus darbo užmokesčio didinimo ir elektrinių autobusų kiekių didėjimo. Taip pat anksčiau nebuvo įvertinta vežėjo rentabilumo suma. 
</t>
        </r>
      </text>
    </comment>
    <comment ref="O205" authorId="1" shapeId="0">
      <text>
        <r>
          <rPr>
            <sz val="9"/>
            <color indexed="81"/>
            <rFont val="Tahoma"/>
            <family val="2"/>
            <charset val="186"/>
          </rPr>
          <t xml:space="preserve">1. 2 elektriniai autobusai Dancer;
2. 2022 m. III ketvirtyje AB „Klaipėdos autobusų parkas“  numato pradėti eksploatuoti 10 naujų elektra varomų trumpų autobusų, įsigyjamų veiklos nuomos pagrindais; 
3. 2022 m. IV ketvirtyje AB „Klaipėdos autobusų parkas“  planuoja pradėti eksploatuoti 10 naujų elektra valdomų trumpų autobusų, įsigyjamų pagal Klimato kaitos programą (APVA).
 </t>
        </r>
      </text>
    </comment>
    <comment ref="Q205" authorId="4" shapeId="0">
      <text>
        <r>
          <rPr>
            <sz val="9"/>
            <color indexed="81"/>
            <rFont val="Tahoma"/>
            <family val="2"/>
            <charset val="186"/>
          </rPr>
          <t>2 autobusams Dancer iki 2025-03-25</t>
        </r>
      </text>
    </comment>
    <comment ref="F215" authorId="0" shapeId="0">
      <text>
        <r>
          <rPr>
            <sz val="9"/>
            <color indexed="81"/>
            <rFont val="Tahoma"/>
            <family val="2"/>
            <charset val="186"/>
          </rPr>
          <t xml:space="preserve">Klaipėdos miesto darnaus judumo planas (2018-09-13, T2-185)
</t>
        </r>
      </text>
    </comment>
    <comment ref="O215" authorId="1" shapeId="0">
      <text>
        <r>
          <rPr>
            <sz val="9"/>
            <color indexed="81"/>
            <rFont val="Tahoma"/>
            <family val="2"/>
            <charset val="186"/>
          </rPr>
          <t>1. Autobusų stoties stotelė, Butkų Juzės g. ties Salomėjos Nėries 16B;
2. Rumpiškės stotelė, Sausio 15-osios g. 8A;
3. Pasažo stotelė, Vingio g. 5;
4. Bibliotekos stotelė, H. Manto g. 31A.
5. Sveikatos priežiūros st., Taikos pr. 97b</t>
        </r>
      </text>
    </comment>
    <comment ref="O217" authorId="1" shapeId="0">
      <text>
        <r>
          <rPr>
            <sz val="9"/>
            <color indexed="81"/>
            <rFont val="Tahoma"/>
            <family val="2"/>
            <charset val="186"/>
          </rPr>
          <t>Baltijos stotelė į šiaurę, Taikos pr. 71;
Baltijos stotrlė į pietus, Taikos pr. 66A;
Vėtrungės stotelė į pietus; Taikos pr. 28;
Kauno stotelė į pietus; Taikos pr. 52C;
Naujojo turgaus iš Centro (sodininkų) stotelė, Taikos pr. 80;
Rumpiškės stotelė į rytus, Sausio 15-osios g. 8A;
Pasažo stotelė į šiaurę, Vingio g. 5.</t>
        </r>
      </text>
    </comment>
    <comment ref="F219" authorId="2" shapeId="0">
      <text>
        <r>
          <rPr>
            <sz val="9"/>
            <color indexed="81"/>
            <rFont val="Tahoma"/>
            <family val="2"/>
            <charset val="186"/>
          </rPr>
          <t>P-3.1.2.2.</t>
        </r>
      </text>
    </comment>
    <comment ref="F222"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r>
          <rPr>
            <b/>
            <sz val="9"/>
            <color indexed="81"/>
            <rFont val="Tahoma"/>
            <family val="2"/>
            <charset val="186"/>
          </rPr>
          <t>P2</t>
        </r>
        <r>
          <rPr>
            <sz val="9"/>
            <color indexed="81"/>
            <rFont val="Tahoma"/>
            <family val="2"/>
            <charset val="186"/>
          </rPr>
          <t xml:space="preserve"> Klaipėdos miesto darnaus judumo planas (2018-09-13, T2-185)</t>
        </r>
      </text>
    </comment>
    <comment ref="F223" authorId="3"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224"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F224" authorId="1" shapeId="0">
      <text>
        <r>
          <rPr>
            <sz val="9"/>
            <color indexed="81"/>
            <rFont val="Tahoma"/>
            <family val="2"/>
            <charset val="186"/>
          </rPr>
          <t xml:space="preserve">Viešojo transporto rūšies diegimo Klaipėdos mieste gairės (2020-07-30, Nr. T2-200)
</t>
        </r>
      </text>
    </comment>
    <comment ref="F227" authorId="4" shapeId="0">
      <text>
        <r>
          <rPr>
            <sz val="9"/>
            <color indexed="81"/>
            <rFont val="Tahoma"/>
            <family val="2"/>
            <charset val="186"/>
          </rPr>
          <t>P</t>
        </r>
        <r>
          <rPr>
            <b/>
            <sz val="9"/>
            <color indexed="81"/>
            <rFont val="Tahoma"/>
            <family val="2"/>
            <charset val="186"/>
          </rPr>
          <t>-</t>
        </r>
        <r>
          <rPr>
            <sz val="9"/>
            <color indexed="81"/>
            <rFont val="Tahoma"/>
            <family val="2"/>
            <charset val="186"/>
          </rPr>
          <t>3.1.2.2.</t>
        </r>
      </text>
    </comment>
    <comment ref="E228" authorId="1" shapeId="0">
      <text>
        <r>
          <rPr>
            <sz val="9"/>
            <color indexed="81"/>
            <rFont val="Tahoma"/>
            <family val="2"/>
            <charset val="186"/>
          </rPr>
          <t>Pagal KMS tarybos sprendimą 2020-07-30 Nr. T2-174</t>
        </r>
      </text>
    </comment>
    <comment ref="F228" authorId="1" shapeId="0">
      <text>
        <r>
          <rPr>
            <sz val="9"/>
            <color indexed="81"/>
            <rFont val="Tahoma"/>
            <family val="2"/>
            <charset val="186"/>
          </rPr>
          <t xml:space="preserve">Viešojo transporto rūšies diegimo Klaipėdos mieste gairės (2020-07-30, Nr. T2-200)
</t>
        </r>
      </text>
    </comment>
    <comment ref="J228" authorId="1" shapeId="0">
      <text>
        <r>
          <rPr>
            <sz val="9"/>
            <color indexed="81"/>
            <rFont val="Tahoma"/>
            <family val="2"/>
            <charset val="186"/>
          </rPr>
          <t xml:space="preserve">Projektą įgyvendina UAB "Klaipėdos autobusų parkas" Klimato kaitos programoje projekte "Daugiau švarios erdvės" su </t>
        </r>
        <r>
          <rPr>
            <b/>
            <sz val="9"/>
            <color indexed="81"/>
            <rFont val="Tahoma"/>
            <family val="2"/>
            <charset val="186"/>
          </rPr>
          <t>Savivaldybės 45 % prisidėjimu</t>
        </r>
        <r>
          <rPr>
            <sz val="9"/>
            <color indexed="81"/>
            <rFont val="Tahoma"/>
            <family val="2"/>
            <charset val="186"/>
          </rPr>
          <t xml:space="preserve">. Programos lėšas gaus UAB KAP. Tarybos sprendimas 2020-07-30 Nr.T2-174. Pirkimą planuoja šiemet baigti ir pasirašyti sutartį, autobusų gamyba apie 12 mėn. tai metų pabaigoj turėtų pristatyti.
</t>
        </r>
        <r>
          <rPr>
            <sz val="9"/>
            <color indexed="81"/>
            <rFont val="Tahoma"/>
            <family val="2"/>
            <charset val="186"/>
          </rPr>
          <t xml:space="preserve">
</t>
        </r>
      </text>
    </comment>
    <comment ref="F231" authorId="1" shapeId="0">
      <text>
        <r>
          <rPr>
            <sz val="9"/>
            <color indexed="81"/>
            <rFont val="Tahoma"/>
            <family val="2"/>
            <charset val="186"/>
          </rPr>
          <t xml:space="preserve">P-3.1.2.2.
</t>
        </r>
      </text>
    </comment>
    <comment ref="F23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F233" authorId="1" shapeId="0">
      <text>
        <r>
          <rPr>
            <sz val="9"/>
            <color indexed="81"/>
            <rFont val="Tahoma"/>
            <family val="2"/>
            <charset val="186"/>
          </rPr>
          <t xml:space="preserve">Viešojo transporto rūšies diegimo Klaipėdos mieste gairės (2020-07-30, Nr. T2-200)
</t>
        </r>
      </text>
    </comment>
    <comment ref="M233" authorId="5" shapeId="0">
      <text>
        <r>
          <rPr>
            <sz val="9"/>
            <color indexed="81"/>
            <rFont val="Tahoma"/>
            <family val="2"/>
            <charset val="186"/>
          </rPr>
          <t xml:space="preserve">KMSA su partneriu UAB „Klaipėdos autobusų parkas“ teikiamo projekto „Klaipėdos miesto viešojo transporto priemonių parko atnaujinimas“ tikslas - pagerinti viešojo transporto paslaugų kokybę Klaipėdos mieste. Fiziškai ir morališkai pasenę autobusai neskatina gyventojų naudotis viešuoju transportu. Nudėvėtų autobusų varikliai teršia aplinką CO2 ir kitais teršalais.
Įgyvendinus Projektą bus įsigyti 6 nauji elektrinės traukos autobusai. Preliminari projekto  pradžia 2022 m. birželio mėn., įgyvendinimo trukmė – 18 mėn. </t>
        </r>
        <r>
          <rPr>
            <b/>
            <sz val="9"/>
            <color indexed="81"/>
            <rFont val="Tahoma"/>
            <family val="2"/>
            <charset val="186"/>
          </rPr>
          <t>KMSA prisidėjimas - 15 proc.</t>
        </r>
      </text>
    </comment>
    <comment ref="F234" authorId="2" shapeId="0">
      <text>
        <r>
          <rPr>
            <sz val="9"/>
            <color indexed="81"/>
            <rFont val="Tahoma"/>
            <family val="2"/>
            <charset val="186"/>
          </rPr>
          <t>P-3.1.2.2.</t>
        </r>
      </text>
    </comment>
    <comment ref="F23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F241" authorId="3" shapeId="0">
      <text>
        <r>
          <rPr>
            <sz val="9"/>
            <color indexed="81"/>
            <rFont val="Tahoma"/>
            <family val="2"/>
            <charset val="186"/>
          </rPr>
          <t>P2, Klaipėdos miesto darnaus judumo planas (2018-09-13, T2-185)</t>
        </r>
      </text>
    </comment>
    <comment ref="F242" authorId="0" shapeId="0">
      <text>
        <r>
          <rPr>
            <sz val="9"/>
            <color indexed="81"/>
            <rFont val="Tahoma"/>
            <family val="2"/>
            <charset val="186"/>
          </rPr>
          <t>P-3.1.1.2.</t>
        </r>
      </text>
    </comment>
    <comment ref="N243" authorId="4" shapeId="0">
      <text>
        <r>
          <rPr>
            <sz val="9"/>
            <color indexed="81"/>
            <rFont val="Tahoma"/>
            <family val="2"/>
            <charset val="186"/>
          </rPr>
          <t>Rodiklis naikinamas, nes tai yra tik vienas iš daugelio smulkių darbų</t>
        </r>
      </text>
    </comment>
    <comment ref="O245" authorId="4" shapeId="0">
      <text>
        <r>
          <rPr>
            <sz val="9"/>
            <color indexed="81"/>
            <rFont val="Tahoma"/>
            <family val="2"/>
            <charset val="186"/>
          </rPr>
          <t>1. Šilutės pl. ties PC "DEPO"
2. Mokyklos g. tarp Verpėjų ir Aguonų g.</t>
        </r>
      </text>
    </comment>
    <comment ref="J246" authorId="1" shapeId="0">
      <text>
        <r>
          <rPr>
            <sz val="9"/>
            <color indexed="81"/>
            <rFont val="Tahoma"/>
            <family val="2"/>
            <charset val="186"/>
          </rPr>
          <t>Turto patikėjimo sutartis - UAB "Gatvių apšvietimas" (2018-12-19 Nr. J9-2705)</t>
        </r>
        <r>
          <rPr>
            <sz val="9"/>
            <color indexed="81"/>
            <rFont val="Tahoma"/>
            <family val="2"/>
            <charset val="186"/>
          </rPr>
          <t xml:space="preserve">
</t>
        </r>
      </text>
    </comment>
    <comment ref="J247" authorId="4" shapeId="0">
      <text>
        <r>
          <rPr>
            <sz val="9"/>
            <color indexed="81"/>
            <rFont val="Tahoma"/>
            <family val="2"/>
            <charset val="186"/>
          </rPr>
          <t>Įvairūs smulkūs remonto darbai pagal įkainius šviesoforams, kurių likutinė vertė 0,0 Eur.</t>
        </r>
      </text>
    </comment>
    <comment ref="O247" authorId="1" shapeId="0">
      <text>
        <r>
          <rPr>
            <b/>
            <sz val="9"/>
            <color indexed="81"/>
            <rFont val="Tahoma"/>
            <family val="2"/>
            <charset val="186"/>
          </rPr>
          <t>13 šviesoforų, kurie įrengti 2021 m., bus perduoti eksploatacijai 2022 m.</t>
        </r>
        <r>
          <rPr>
            <sz val="9"/>
            <color indexed="81"/>
            <rFont val="Tahoma"/>
            <family val="2"/>
            <charset val="186"/>
          </rPr>
          <t>:</t>
        </r>
        <r>
          <rPr>
            <sz val="9"/>
            <color indexed="81"/>
            <rFont val="Tahoma"/>
            <family val="2"/>
            <charset val="186"/>
          </rPr>
          <t xml:space="preserve">
1. šviesoforų postas Liepų g. ir Jaunystės g. sankryžoje;
2. pėsčiųjų perėja ties Taikos pr. 7;
3. pėsčiųjų perėja Taikos pr. ir  Debreceno g. sankryžoje;
4. pėsčiųjų perėjos ties Baltijos pr. 103;
5. pėsčiųjų perėja ties Dubysos g. 21;
6. pėsčiųjų perėja Šilutės pl. ir Svajonės g. sankryžoje;
7. šviesoforų postas Tilžės g.–Mokyklos g.– Šilutės pl. sankryžoje;
8. šviesoforų postas Šilutės pl. – Kauno g. sankryžoje; 
9. šviesoforų postas Tauralaukio g.–Klaipėdos g. sankryžoje;
10. šviesoforų postas Pajūrio g.–Debesų–Virkučių g. sankryžoje;
11. pėsčiųjų perėja Pajūrio g. ties Tuopų g.;
12. šviesoforų postas Pajūrio g. –Akmenų g.–Lazdynų g. sankryžoje;
13. šviesoforinė pėsčiųjų perėja Tilžės g. –  Komunarų g. sankryžoje;
</t>
        </r>
        <r>
          <rPr>
            <b/>
            <sz val="9"/>
            <color indexed="81"/>
            <rFont val="Tahoma"/>
            <family val="2"/>
            <charset val="186"/>
          </rPr>
          <t xml:space="preserve">6 šviesoforai, kurie bus perduoti eksploatacijai 2022 m.:
</t>
        </r>
        <r>
          <rPr>
            <sz val="9"/>
            <color indexed="81"/>
            <rFont val="Tahoma"/>
            <family val="2"/>
            <charset val="186"/>
          </rPr>
          <t>1.</t>
        </r>
        <r>
          <rPr>
            <b/>
            <sz val="9"/>
            <color indexed="81"/>
            <rFont val="Tahoma"/>
            <family val="2"/>
            <charset val="186"/>
          </rPr>
          <t xml:space="preserve"> </t>
        </r>
        <r>
          <rPr>
            <sz val="9"/>
            <color indexed="81"/>
            <rFont val="Tahoma"/>
            <family val="2"/>
            <charset val="186"/>
          </rPr>
          <t xml:space="preserve">perėjos per Minijos g. ties Nidos g. ir Strėvos g.; 
2. pėsčiųjų perėjos per Minijos g. ties Lakštučių g.;
3. pėsčiųjų perėjos per J. Janonio g. ties Juliaus Janonio g.; 
4. pėsčiųjų perėjos per Minijos g. tarp Naikupės g.;
5. Sulupės g. bei Minijos g. – Sulupės g. sankryžos;
6. pėsčiųjų perėja Statybininkų pr. 51. </t>
        </r>
      </text>
    </comment>
    <comment ref="J248" authorId="1" shapeId="0">
      <text>
        <r>
          <rPr>
            <sz val="9"/>
            <color indexed="81"/>
            <rFont val="Tahoma"/>
            <family val="2"/>
            <charset val="186"/>
          </rPr>
          <t xml:space="preserve">Pagal turto patikėjimo sutarties su UAB "Gatvių apšvietimas" (2018-12-19 Nr. J9-2705) 10.8 punktą savivaldybė turi aprūpinti Patikėtinį reikiamomis medžiagomis (šviefosofrų valdymo plokštė, valdiklis PLV, laikmatis  ir pan.) kapitaliniam remontui. 
Todėl būtina numatyti lėšų valdiklių įsigijimui. Valdiklių vidutinis įkainis paskaičiuotas pagal 2021 m. liepos 20 Nr. 2021/ Sut.S.01-05 su UAB „SW Traffic“
</t>
        </r>
      </text>
    </comment>
    <comment ref="O248" authorId="1" shapeId="0">
      <text>
        <r>
          <rPr>
            <sz val="9"/>
            <color indexed="81"/>
            <rFont val="Tahoma"/>
            <family val="2"/>
            <charset val="186"/>
          </rPr>
          <t xml:space="preserve">1. Liepų g. - Trilapio g. (Liepų g.- į Trilapio g. papildoma sekcija);
2. Sausio 15-osios -Taikos (diegimas į Eismo valdymo sistemą (EVS);
3. Šilutės pl. PP ties PC "DEPO" (diegimas į EVS, mygtuko įrengimas);
4. Taikos pr. PP-Poliklinika (diegimas į EVS);
</t>
        </r>
      </text>
    </comment>
    <comment ref="P248" authorId="1" shapeId="0">
      <text>
        <r>
          <rPr>
            <sz val="9"/>
            <color indexed="81"/>
            <rFont val="Tahoma"/>
            <family val="2"/>
            <charset val="186"/>
          </rPr>
          <t xml:space="preserve">1. Kretingos g. - Panevėžio g. sankryža (diegimas į EVS);
2. H. Manto g. - Pušyno g. sankryža (diegimas į EVS);
3. Priestočio g. - S.Nėries g. sankryža (diegimas į EVS);
4. H. Manto - Janonio g. sankryža (diegimas į EVS);
</t>
        </r>
      </text>
    </comment>
    <comment ref="O251" authorId="1" shapeId="0">
      <text>
        <r>
          <rPr>
            <sz val="9"/>
            <color indexed="81"/>
            <rFont val="Tahoma"/>
            <family val="2"/>
            <charset val="186"/>
          </rPr>
          <t xml:space="preserve">1. Šviesoforinė pėsčiųjų perėja, Kretingos g. 185;
2. Šviesoforinės pėsčiųjų perėjos, Liepojos g. ties Panevėžio g. (2 vnt.);
3. Šviesoforinė pėsčiųjų perėja, Statybininkų pr. 2;
4. Šviesoforinės pėsčiųjų perėjos (su įvaža), Dariaus ir Girėno g. 8A (3 vnt.);
5. Šviesoforinė sankryža, Taikos pr.–Jachtų g.; 
6. Šviesoforinė pėsčiųjų perėja, Gedminų g. 7 (perkėlimas);
7. Šviesoforinė pėsčiųjų perėja, Minijos g. ties Nendrių g.;
8. Šviesoforinė sankryža, Mokyklos g.–Verpėjų g. </t>
        </r>
      </text>
    </comment>
    <comment ref="F254" authorId="0" shapeId="0">
      <text>
        <r>
          <rPr>
            <sz val="9"/>
            <color indexed="81"/>
            <rFont val="Tahoma"/>
            <family val="2"/>
            <charset val="186"/>
          </rPr>
          <t>P-3.1.1.2.</t>
        </r>
      </text>
    </comment>
    <comment ref="O255" authorId="1" shapeId="0">
      <text>
        <r>
          <rPr>
            <sz val="9"/>
            <color indexed="81"/>
            <rFont val="Tahoma"/>
            <family val="2"/>
            <charset val="186"/>
          </rPr>
          <t>Stotelių sąrašą, kuriose bus įrengta neregių danga, metų bėgyje pateikia Transporto skyrius atlikęs apžiūras kartu su VšĮ „Klaipėdos keleivinis transportas“</t>
        </r>
        <r>
          <rPr>
            <sz val="9"/>
            <color indexed="81"/>
            <rFont val="Tahoma"/>
            <family val="2"/>
            <charset val="186"/>
          </rPr>
          <t xml:space="preserve">
</t>
        </r>
      </text>
    </comment>
    <comment ref="F256" authorId="4" shapeId="0">
      <text>
        <r>
          <rPr>
            <sz val="9"/>
            <color indexed="81"/>
            <rFont val="Tahoma"/>
            <family val="2"/>
            <charset val="186"/>
          </rPr>
          <t>P-3.1.2.2.</t>
        </r>
      </text>
    </comment>
    <comment ref="J257" authorId="1" shapeId="0">
      <text>
        <r>
          <rPr>
            <sz val="9"/>
            <color indexed="81"/>
            <rFont val="Tahoma"/>
            <family val="2"/>
            <charset val="186"/>
          </rPr>
          <t>Pabrango atramos žymėjimas, apie 30-40 proc. šviestuvai, darbai. Planuojama įtraukti papildomus perėjos tvarkymo darbus - perėjos dažymas ir ženklinimas.</t>
        </r>
      </text>
    </comment>
    <comment ref="N257" authorId="1" shapeId="0">
      <text>
        <r>
          <rPr>
            <b/>
            <sz val="9"/>
            <color indexed="81"/>
            <rFont val="Tahoma"/>
            <family val="2"/>
            <charset val="186"/>
          </rPr>
          <t>2021 m.</t>
        </r>
        <r>
          <rPr>
            <sz val="9"/>
            <color indexed="81"/>
            <rFont val="Tahoma"/>
            <family val="2"/>
            <charset val="186"/>
          </rPr>
          <t xml:space="preserve">
1.Debreceno g. 94 – 1 perėja
2. Naikupės g. 30 – 1 perėja
3. I. Kanto g. 16  – 1 perėja
4. Sausio 15-osios g. ties Birutės g. – 1 perėja
5. Bijūnų g. 10 – 1 perėja
6. Liepojos g. 45 – 1 perėja (į Jūrininkų ligoninę)
7. Liepojos g. 41 – 1 perėja (į Universitetinę ligoninę)
8. Taikos pr. 122 – 2 perėjos
9. Naikupės g. ties Poilsio g. – 1 perėja
10. Kuosų g. 16 – 1 perėja (nauja).</t>
        </r>
        <r>
          <rPr>
            <b/>
            <sz val="9"/>
            <color indexed="81"/>
            <rFont val="Tahoma"/>
            <family val="2"/>
            <charset val="186"/>
          </rPr>
          <t xml:space="preserve">
</t>
        </r>
        <r>
          <rPr>
            <sz val="9"/>
            <color indexed="81"/>
            <rFont val="Tahoma"/>
            <family val="2"/>
            <charset val="186"/>
          </rPr>
          <t xml:space="preserve">
</t>
        </r>
      </text>
    </comment>
    <comment ref="O257" authorId="1" shapeId="0">
      <text>
        <r>
          <rPr>
            <sz val="9"/>
            <color indexed="81"/>
            <rFont val="Tahoma"/>
            <family val="2"/>
            <charset val="186"/>
          </rPr>
          <t>Debreceno g. ir Šilutės pl. sankryža – 6 perėjos;
Debreceno g. ties 47 – 1 perėja;
Reikjaviko g. ties 7 ir 15 – 2 perėjos;
Varpų g. ties 3 – 1 perėja.</t>
        </r>
        <r>
          <rPr>
            <b/>
            <sz val="9"/>
            <color indexed="81"/>
            <rFont val="Tahoma"/>
            <family val="2"/>
            <charset val="186"/>
          </rPr>
          <t xml:space="preserve">
</t>
        </r>
        <r>
          <rPr>
            <sz val="9"/>
            <color indexed="81"/>
            <rFont val="Tahoma"/>
            <family val="2"/>
            <charset val="186"/>
          </rPr>
          <t xml:space="preserve">
</t>
        </r>
      </text>
    </comment>
    <comment ref="F258" authorId="4" shapeId="0">
      <text>
        <r>
          <rPr>
            <sz val="9"/>
            <color indexed="81"/>
            <rFont val="Tahoma"/>
            <family val="2"/>
            <charset val="186"/>
          </rPr>
          <t>P-3.1.3.6.</t>
        </r>
      </text>
    </comment>
    <comment ref="J259" authorId="1" shapeId="0">
      <text>
        <r>
          <rPr>
            <sz val="9"/>
            <color indexed="81"/>
            <rFont val="Tahoma"/>
            <family val="2"/>
            <charset val="186"/>
          </rPr>
          <t>Pasirašyta nauja sutartis mažesniu įkainiu. Įkainis buvo 31,3 proc., dabar 27,9 proc. nuo surinktos rinkliavos.</t>
        </r>
      </text>
    </comment>
    <comment ref="O259" authorId="1" shapeId="0">
      <text>
        <r>
          <rPr>
            <sz val="9"/>
            <color indexed="81"/>
            <rFont val="Tahoma"/>
            <family val="2"/>
            <charset val="186"/>
          </rPr>
          <t xml:space="preserve">Išplėtus rinkliavos zonas, bilietų automatų skaičius nesikeis, nes bus išimti iš jau esamų zonų (išskirstyti didesniais tarpais).
</t>
        </r>
      </text>
    </comment>
    <comment ref="F260" authorId="4" shapeId="0">
      <text>
        <r>
          <rPr>
            <sz val="9"/>
            <color indexed="81"/>
            <rFont val="Tahoma"/>
            <family val="2"/>
            <charset val="186"/>
          </rPr>
          <t>P-3.1.1.5.</t>
        </r>
      </text>
    </comment>
    <comment ref="F261"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F26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F263" authorId="4" shapeId="0">
      <text>
        <r>
          <rPr>
            <sz val="9"/>
            <color indexed="81"/>
            <rFont val="Tahoma"/>
            <family val="2"/>
            <charset val="186"/>
          </rPr>
          <t>P-2.4.3.5.</t>
        </r>
      </text>
    </comment>
    <comment ref="O263" authorId="1" shapeId="0">
      <text>
        <r>
          <rPr>
            <sz val="9"/>
            <color indexed="81"/>
            <rFont val="Tahoma"/>
            <family val="2"/>
            <charset val="186"/>
          </rPr>
          <t xml:space="preserve">Greičio matuoklio Sensys Gatso T3 Serijos
korpusas su muliažu (2
 x 5000 + PVM)
</t>
        </r>
      </text>
    </comment>
    <comment ref="J265" authorId="1" shapeId="0">
      <text>
        <r>
          <rPr>
            <sz val="9"/>
            <color indexed="81"/>
            <rFont val="Tahoma"/>
            <family val="2"/>
            <charset val="186"/>
          </rPr>
          <t xml:space="preserve">Didesnis poreikis, planuojama atlikti papildomai 2 kvartalų auditus, pagal bendruomenių prašymus.
</t>
        </r>
      </text>
    </comment>
    <comment ref="F269"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F270" authorId="0" shapeId="0">
      <text>
        <r>
          <rPr>
            <b/>
            <sz val="9"/>
            <color indexed="81"/>
            <rFont val="Tahoma"/>
            <family val="2"/>
            <charset val="186"/>
          </rPr>
          <t xml:space="preserve"> P2,</t>
        </r>
        <r>
          <rPr>
            <sz val="9"/>
            <color indexed="81"/>
            <rFont val="Tahoma"/>
            <family val="2"/>
            <charset val="186"/>
          </rPr>
          <t xml:space="preserve"> Klaipėdos miesto darnaus judumo planas (2018-09-13, T2-185)
</t>
        </r>
      </text>
    </comment>
    <comment ref="F271" authorId="0" shapeId="0">
      <text>
        <r>
          <rPr>
            <sz val="9"/>
            <color indexed="81"/>
            <rFont val="Tahoma"/>
            <family val="2"/>
            <charset val="186"/>
          </rPr>
          <t xml:space="preserve"> P-3.1.3.7., 3.1.1.1.</t>
        </r>
      </text>
    </comment>
    <comment ref="F273"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F275" authorId="0" shapeId="0">
      <text>
        <r>
          <rPr>
            <sz val="9"/>
            <color indexed="81"/>
            <rFont val="Tahoma"/>
            <family val="2"/>
            <charset val="186"/>
          </rPr>
          <t xml:space="preserve">P-3.1.3.7.; 3.1.3.3.
</t>
        </r>
      </text>
    </comment>
    <comment ref="J276" authorId="1" shapeId="0">
      <text>
        <r>
          <rPr>
            <sz val="9"/>
            <color indexed="81"/>
            <rFont val="Tahoma"/>
            <family val="2"/>
            <charset val="186"/>
          </rPr>
          <t xml:space="preserve">Dalis darbų nusikėlė į 2022 m., nes visame pasaulyje dėl CoVid-19 pandemijos yra sutrikęs medžiagų tiekimas, trūksta komponentų šviesoforų postų valdymo įrangai pagaminti, todėl vėluoja medžiagų pristatymai.
</t>
        </r>
      </text>
    </comment>
    <comment ref="F285" authorId="0" shapeId="0">
      <text>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M285" authorId="5" shapeId="0">
      <text>
        <r>
          <rPr>
            <sz val="9"/>
            <color indexed="81"/>
            <rFont val="Tahoma"/>
            <family val="2"/>
            <charset val="186"/>
          </rPr>
          <t xml:space="preserve">Projekto įgyvendinimas pratęstas iki 2022-08-31
</t>
        </r>
      </text>
    </comment>
    <comment ref="F286"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text>
    </comment>
    <comment ref="F288" authorId="0" shapeId="0">
      <text>
        <r>
          <rPr>
            <sz val="9"/>
            <color indexed="81"/>
            <rFont val="Tahoma"/>
            <family val="2"/>
            <charset val="186"/>
          </rPr>
          <t xml:space="preserve">P-3.1.1.1.
</t>
        </r>
      </text>
    </comment>
    <comment ref="F289" authorId="0" shapeId="0">
      <text>
        <r>
          <rPr>
            <b/>
            <sz val="9"/>
            <color indexed="81"/>
            <rFont val="Tahoma"/>
            <family val="2"/>
            <charset val="186"/>
          </rPr>
          <t xml:space="preserve">KEPS 3.3.4. </t>
        </r>
        <r>
          <rPr>
            <sz val="9"/>
            <color indexed="81"/>
            <rFont val="Tahoma"/>
            <family val="2"/>
            <charset val="186"/>
          </rPr>
          <t xml:space="preserve">Formuoti pagrindinę greitojo viešojo transporto ašį, įrengiant tramvajaus sistemą ar įsigyjant kitų transporto alternatyvų 
</t>
        </r>
      </text>
    </comment>
    <comment ref="F291" authorId="0" shapeId="0">
      <text>
        <r>
          <rPr>
            <sz val="9"/>
            <color indexed="81"/>
            <rFont val="Tahoma"/>
            <family val="2"/>
            <charset val="186"/>
          </rPr>
          <t>P2 Klaipėdos miesto darnaus judumo planas (2018-09-13, T2-185);</t>
        </r>
      </text>
    </comment>
    <comment ref="F293" authorId="0" shapeId="0">
      <text>
        <r>
          <rPr>
            <sz val="9"/>
            <color indexed="81"/>
            <rFont val="Tahoma"/>
            <family val="2"/>
            <charset val="186"/>
          </rPr>
          <t xml:space="preserve">P-3.1.1.1.
</t>
        </r>
      </text>
    </comment>
    <comment ref="F294" authorId="0" shapeId="0">
      <text>
        <r>
          <rPr>
            <sz val="9"/>
            <color indexed="81"/>
            <rFont val="Tahoma"/>
            <family val="2"/>
            <charset val="186"/>
          </rPr>
          <t xml:space="preserve">P-3.1.1.1.
</t>
        </r>
      </text>
    </comment>
    <comment ref="F295" authorId="0" shapeId="0">
      <text>
        <r>
          <rPr>
            <sz val="9"/>
            <color indexed="81"/>
            <rFont val="Tahoma"/>
            <family val="2"/>
            <charset val="186"/>
          </rPr>
          <t>P2 Klaipėdos miesto darnaus judumo planas (2018-09-13, T2-185);</t>
        </r>
      </text>
    </comment>
    <comment ref="F297" authorId="4" shapeId="0">
      <text>
        <r>
          <rPr>
            <sz val="9"/>
            <color indexed="81"/>
            <rFont val="Tahoma"/>
            <family val="2"/>
            <charset val="186"/>
          </rPr>
          <t>P-3.1.1.1.</t>
        </r>
      </text>
    </comment>
    <comment ref="F298"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N299" authorId="4" shapeId="0">
      <text>
        <r>
          <rPr>
            <b/>
            <sz val="9"/>
            <color indexed="81"/>
            <rFont val="Tahoma"/>
            <family val="2"/>
            <charset val="186"/>
          </rPr>
          <t xml:space="preserve">2021 m. bus įrengtos naujos 8 stotelės: </t>
        </r>
        <r>
          <rPr>
            <sz val="9"/>
            <color indexed="81"/>
            <rFont val="Tahoma"/>
            <family val="2"/>
            <charset val="186"/>
          </rPr>
          <t xml:space="preserve">
H. Manto g. 33 (1 vnt.)
Pilies g. 2A  (1 vnt.)
Bangų g. 3  (1 vnt.)
Paryžiaus Komunos g. 2  (1 vnt.)
Liepojos g. 41  (1 vnt.)
Sinagogų g. 7  (1 vnt.)
Molo g. 33  (1 vnt.)
S. Nėries g. 16B  (1 vnt.)
Elekromobilių stotelės gautos iš valstybės. Įrengti jas savivaldybė turi savo lėšomis.</t>
        </r>
      </text>
    </comment>
    <comment ref="O299" authorId="1" shapeId="0">
      <text>
        <r>
          <rPr>
            <sz val="9"/>
            <color indexed="81"/>
            <rFont val="Tahoma"/>
            <family val="2"/>
            <charset val="186"/>
          </rPr>
          <t>Elektromobilių įkrovimo stotelių įrengimas nusikėlė į 2022 m. Pačios stotelės jau pastatytos, bet dar ne visos veikia, nes ESO jų nepajungė. Taip pat stotelių įrengimas kainavo daugiau nei planuota. Nebuvo įvertinta ESO dalis.</t>
        </r>
        <r>
          <rPr>
            <sz val="9"/>
            <color indexed="81"/>
            <rFont val="Tahoma"/>
            <family val="2"/>
            <charset val="186"/>
          </rPr>
          <t xml:space="preserve">
</t>
        </r>
      </text>
    </comment>
    <comment ref="F300"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F301" authorId="0" shapeId="0">
      <text>
        <r>
          <rPr>
            <sz val="9"/>
            <color indexed="81"/>
            <rFont val="Tahoma"/>
            <family val="2"/>
            <charset val="186"/>
          </rPr>
          <t xml:space="preserve">P-3.1.1.2 </t>
        </r>
      </text>
    </comment>
    <comment ref="O301" authorId="1" shapeId="0">
      <text>
        <r>
          <rPr>
            <sz val="9"/>
            <color indexed="81"/>
            <rFont val="Tahoma"/>
            <family val="2"/>
            <charset val="186"/>
          </rPr>
          <t>Dviračių saugykla - Malūnininkų g. 1;
Dviračių skaičiuoklės - prie p. c. ,,Akropolis“, Taikos pr. ir prie ,,Atgimimo“ stotelės;
Kintamos informacijos kelio ženklai - P. Lideiko g.</t>
        </r>
      </text>
    </comment>
    <comment ref="F303"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F304" authorId="0" shapeId="0">
      <text>
        <r>
          <rPr>
            <sz val="9"/>
            <color indexed="81"/>
            <rFont val="Tahoma"/>
            <family val="2"/>
            <charset val="186"/>
          </rPr>
          <t>P2 Klaipėdos miesto darnaus judumo planas (2018-09-13, T2-185);</t>
        </r>
      </text>
    </comment>
    <comment ref="F306" authorId="4" shapeId="0">
      <text>
        <r>
          <rPr>
            <sz val="9"/>
            <color indexed="81"/>
            <rFont val="Tahoma"/>
            <family val="2"/>
            <charset val="186"/>
          </rPr>
          <t>P-1.2.1.3., 3.1.2.3.</t>
        </r>
      </text>
    </comment>
    <comment ref="J309" authorId="1" shapeId="0">
      <text>
        <r>
          <rPr>
            <sz val="9"/>
            <color indexed="81"/>
            <rFont val="Tahoma"/>
            <family val="2"/>
            <charset val="186"/>
          </rPr>
          <t>Lėšų poreikis suskaičiuotas pagal šiuos išeitinius duomenis: 
1) navigacinis sezonas truks 180 dienų nuo kiekvienų metų balandžio 1 d.;
2) kursuos 3 vandens autobusai su 2 įkrovos stotelėmis (Senamiestis ir Tauralaukis), 12 ratų per dieną.
Pirmais metais bilietų pajamos dengtų ~50 proc. sąnaudų, vėliau jos gali mažėti.</t>
        </r>
        <r>
          <rPr>
            <b/>
            <sz val="9"/>
            <color indexed="81"/>
            <rFont val="Tahoma"/>
            <family val="2"/>
            <charset val="186"/>
          </rPr>
          <t xml:space="preserve"> 
Kompensacija bus mokama nuo 2022-06-15.
</t>
        </r>
        <r>
          <rPr>
            <sz val="9"/>
            <color indexed="81"/>
            <rFont val="Tahoma"/>
            <family val="2"/>
            <charset val="186"/>
          </rPr>
          <t xml:space="preserve">
</t>
        </r>
      </text>
    </comment>
    <comment ref="F312" authorId="4" shapeId="0">
      <text>
        <r>
          <rPr>
            <sz val="9"/>
            <color indexed="81"/>
            <rFont val="Tahoma"/>
            <family val="2"/>
            <charset val="186"/>
          </rPr>
          <t>P-3.1.3.3.; 3.1.3.</t>
        </r>
      </text>
    </comment>
  </commentList>
</comments>
</file>

<file path=xl/comments3.xml><?xml version="1.0" encoding="utf-8"?>
<comments xmlns="http://schemas.openxmlformats.org/spreadsheetml/2006/main">
  <authors>
    <author>Indrė Butenienė</author>
    <author>Inga Mikalauskienė</author>
    <author>Rima Alisauskaite</author>
    <author>Snieguole Kacerauskaite</author>
  </authors>
  <commentList>
    <comment ref="C6" authorId="0" shapeId="0">
      <text>
        <r>
          <rPr>
            <sz val="9"/>
            <color indexed="81"/>
            <rFont val="Tahoma"/>
            <family val="2"/>
            <charset val="186"/>
          </rPr>
          <t>P1, 1.1.2. Parengtas ir įgyvendintas žvyruotų kelių asfaltavimo priemonių planas siekiant asfaltuoti ne mažiau kaip 10 km žvyruotų kelių, vnt</t>
        </r>
      </text>
    </comment>
    <comment ref="C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C9" authorId="2" shapeId="0">
      <text>
        <r>
          <rPr>
            <sz val="9"/>
            <color indexed="81"/>
            <rFont val="Tahoma"/>
            <family val="2"/>
            <charset val="186"/>
          </rPr>
          <t>P-3.1.3.4.</t>
        </r>
      </text>
    </comment>
    <comment ref="J9" authorId="1" shapeId="0">
      <text>
        <r>
          <rPr>
            <sz val="9"/>
            <color indexed="81"/>
            <rFont val="Tahoma"/>
            <family val="2"/>
            <charset val="186"/>
          </rPr>
          <t xml:space="preserve">Slengių g., Lietaus g., Vaivorykštės g., Griaustinio g. , Arimų g., Vėjo g. (II dalies), Žvaigždžių g. rekonstravimas
</t>
        </r>
      </text>
    </comment>
    <comment ref="C11" authorId="0" shapeId="0">
      <text>
        <r>
          <rPr>
            <sz val="9"/>
            <color indexed="81"/>
            <rFont val="Tahoma"/>
            <family val="2"/>
            <charset val="186"/>
          </rPr>
          <t>P1, 1.1.2. Parengtas ir įgyvendintas žvyruotų kelių asfaltavimo priemonių planas siekiant asfaltuoti ne mažiau kaip 10 km žvyruotų kelių, vnt</t>
        </r>
      </text>
    </comment>
    <comment ref="J11"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J12"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C13" authorId="2" shapeId="0">
      <text>
        <r>
          <rPr>
            <sz val="9"/>
            <color indexed="81"/>
            <rFont val="Tahoma"/>
            <family val="2"/>
            <charset val="186"/>
          </rPr>
          <t>P-3.1.3.4.</t>
        </r>
      </text>
    </comment>
    <comment ref="C15" authorId="2" shapeId="0">
      <text>
        <r>
          <rPr>
            <sz val="9"/>
            <color indexed="81"/>
            <rFont val="Tahoma"/>
            <family val="2"/>
            <charset val="186"/>
          </rPr>
          <t>P-3.1.3.4.</t>
        </r>
      </text>
    </comment>
    <comment ref="B23"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L23" authorId="3" shapeId="0">
      <text>
        <r>
          <rPr>
            <sz val="9"/>
            <color indexed="81"/>
            <rFont val="Tahoma"/>
            <family val="2"/>
            <charset val="186"/>
          </rPr>
          <t xml:space="preserve">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
</t>
        </r>
      </text>
    </comment>
    <comment ref="C24" authorId="2" shapeId="0">
      <text>
        <r>
          <rPr>
            <sz val="9"/>
            <color indexed="81"/>
            <rFont val="Tahoma"/>
            <family val="2"/>
            <charset val="186"/>
          </rPr>
          <t>P-3.1.3.4.</t>
        </r>
      </text>
    </comment>
    <comment ref="L24"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List>
</comments>
</file>

<file path=xl/sharedStrings.xml><?xml version="1.0" encoding="utf-8"?>
<sst xmlns="http://schemas.openxmlformats.org/spreadsheetml/2006/main" count="1683" uniqueCount="459">
  <si>
    <t>Uždavinio kodas</t>
  </si>
  <si>
    <t>Priemonės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</si>
  <si>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</si>
  <si>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</si>
  <si>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</si>
  <si>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</si>
  <si>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</si>
  <si>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</si>
  <si>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</si>
  <si>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</si>
  <si>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</si>
  <si>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</si>
  <si>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</si>
  <si>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</si>
  <si>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</si>
  <si>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</si>
  <si>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</si>
  <si>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</si>
  <si>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</si>
  <si>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</si>
  <si>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</si>
  <si>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</si>
  <si>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</si>
  <si>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</si>
  <si>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</si>
  <si>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</si>
  <si>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</si>
  <si>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 xml:space="preserve"> Užtikrinti patogios viešojo transporto sistemos funkcionavimą</t>
  </si>
  <si>
    <t>04</t>
  </si>
  <si>
    <t>05</t>
  </si>
  <si>
    <t>06</t>
  </si>
  <si>
    <t>07</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</si>
  <si>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</si>
  <si>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</si>
  <si>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</si>
  <si>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</si>
  <si>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</si>
  <si>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ES</t>
  </si>
  <si>
    <t>Kt</t>
  </si>
  <si>
    <t>Parengtas techninis projektas, vnt.</t>
  </si>
  <si>
    <t>I</t>
  </si>
  <si>
    <t>KVJUD</t>
  </si>
  <si>
    <t>Transporto kompensacijų mokėjimas:</t>
  </si>
  <si>
    <t>Asfaltuotų daugiabučių kiemų dangų remontas</t>
  </si>
  <si>
    <t>Patikrinta viešojo transporto priemonių, tūkst. vnt.</t>
  </si>
  <si>
    <t>Viešojo transporto paslaugų organizavimas:</t>
  </si>
  <si>
    <t xml:space="preserve">Iš viso  programai:  </t>
  </si>
  <si>
    <t>Pajūrio g. rekonstravimas</t>
  </si>
  <si>
    <t>SB(L)</t>
  </si>
  <si>
    <t>Strateginis tikslas 02. Kurti mieste patrauklią, švarią ir saugią gyvenamąją aplinką</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</si>
  <si>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</si>
  <si>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</si>
  <si>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</si>
  <si>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</si>
  <si>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</si>
  <si>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</si>
  <si>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</si>
  <si>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SB(VRL)</t>
  </si>
  <si>
    <t>Suženklinta gatvių, ha</t>
  </si>
  <si>
    <t>Eksploatuojama greičio matuoklių, vnt.</t>
  </si>
  <si>
    <t xml:space="preserve">Savivaldybės biudžetas, iš jo: </t>
  </si>
  <si>
    <t xml:space="preserve">Parengtas techninis projektas, vnt. </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</si>
  <si>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</si>
  <si>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</si>
  <si>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SB(KPP)</t>
  </si>
  <si>
    <t>Asfaltbetonio dangos, žvyruotos dangos ir akmenimis grįstų miesto gatvių dangos remontas</t>
  </si>
  <si>
    <t>Eismo reguliavimo infrastruktūros eksploatacija ir įrengimas</t>
  </si>
  <si>
    <t>Mokamo automobilių stovėjimo sistemos mieste kūrimas ir išlaikymas</t>
  </si>
  <si>
    <t>Eismo srautų reguliavimo ir saugumo priemonių įgyvendinimas:</t>
  </si>
  <si>
    <t>tūkst. Eur</t>
  </si>
  <si>
    <t xml:space="preserve">Diegti eismo srautų reguliavimo ir saugumo priemones </t>
  </si>
  <si>
    <t xml:space="preserve">Eksploatuojama eismo reguliavimo priemonių, tūkst. vnt. </t>
  </si>
  <si>
    <t xml:space="preserve">Susisiekimo sistemos objektų pritaikymas neįgaliesiems  </t>
  </si>
  <si>
    <t>Klaipėdos miesto viešojo transporto švieslenčių ir informacinių švieslenčių įrengimas ir atnaujinimas</t>
  </si>
  <si>
    <t>Baltijos pr. ir Šilutės pl. žiedinės sankryžos rekonstravimas</t>
  </si>
  <si>
    <t>Suteikta gatvių dangų, konstruktyvo ir betoninių gaminių kontrolinių bandymų paslaugų. Užbaigtumas, proc.</t>
  </si>
  <si>
    <t>Eksploatuojama bilietų automatų, vnt.</t>
  </si>
  <si>
    <t>Kompensuota bilietų profesinių mokyklų moksleiviams, tūkst. vnt.</t>
  </si>
  <si>
    <t>Atlikta rekonstravimo darbų. Užbaigtumas, proc.</t>
  </si>
  <si>
    <t>Atlikta gatvės (1374 m ) rekonstravimo darbų. Užbaigtumas, proc.</t>
  </si>
  <si>
    <t>Įstaigų, kurių kiemuose atlikta asfalto dangos remonto darbų, skaičius</t>
  </si>
  <si>
    <t xml:space="preserve">Klaipėdos miesto gatvių pėsčiųjų perėjų kryptinis apšvietimas </t>
  </si>
  <si>
    <t>Kompensuota nuostolingų maršrutų, vnt.</t>
  </si>
  <si>
    <t xml:space="preserve">Nuostolių kompensacijų mokėjimas: </t>
  </si>
  <si>
    <t>patirtų įgyvendinant ES Sanglaudos fondų finansuojamus ekologiškų viešojo transporto  priemonių įsigijimo projektus</t>
  </si>
  <si>
    <r>
      <t xml:space="preserve">Programų lėšų likučių lėšos </t>
    </r>
    <r>
      <rPr>
        <b/>
        <sz val="10"/>
        <rFont val="Times New Roman"/>
        <family val="1"/>
        <charset val="186"/>
      </rPr>
      <t xml:space="preserve">SB(L) </t>
    </r>
  </si>
  <si>
    <t>Subsidijuojamų maršrutų skaičius:</t>
  </si>
  <si>
    <t>Atlikta gatvės (600 m) rekonstravimo darbų.
Užbaigtumas, proc.</t>
  </si>
  <si>
    <t>Atlikta žiedinės sankryžos rekonstravimo darbų. Užbaigtumas, proc.</t>
  </si>
  <si>
    <t>10</t>
  </si>
  <si>
    <t>08</t>
  </si>
  <si>
    <t>Elektra varomo viešojo transporto naujų galimybių plėtra (DEPO), ELENA</t>
  </si>
  <si>
    <t>Įdiegta dviračių saugojimo (angl. bike-storing) sistema, vnt.</t>
  </si>
  <si>
    <t>Transporto skyrius</t>
  </si>
  <si>
    <t>Tauralaukio gyvenvietės gatvių rekonstravimas</t>
  </si>
  <si>
    <t>Klaipėdos miestui priklausančių elektromobilių įkrovimo stotelių eksploatavimas ir priežiūra</t>
  </si>
  <si>
    <t>SB(ES)</t>
  </si>
  <si>
    <t>Eksploatuojama elektromobilių įkrovimo stotelių, vnt.</t>
  </si>
  <si>
    <t>P2</t>
  </si>
  <si>
    <t>Žvejybos produktų iškrovimo vietos prie jūros Klaipėdos miesto teritorijoje įrengimas</t>
  </si>
  <si>
    <t>LRVB</t>
  </si>
  <si>
    <r>
      <t xml:space="preserve">Valstybės biudžeto specialiosios tikslinės dotacijos lėšos </t>
    </r>
    <r>
      <rPr>
        <b/>
        <sz val="10"/>
        <rFont val="Times New Roman"/>
        <family val="1"/>
        <charset val="186"/>
      </rPr>
      <t>SB(VB)</t>
    </r>
  </si>
  <si>
    <t>Atlikta eismo juostos įrengimo darbų. Užbaigtumas, proc.</t>
  </si>
  <si>
    <t>Prižiūrėta tiltų ir viadukų, vnt.</t>
  </si>
  <si>
    <t>Pėsčiųjų ir dviračių takų, šaligatvių (su dviračių takais) remonto bei įrengimo darbai</t>
  </si>
  <si>
    <t>Keleivinio transporto stotelių su įvažomis Klaipėdos miesto gatvėse projektavimas ir įrengimas</t>
  </si>
  <si>
    <t>Įrengtas įvažos pratęsimas, vnt.</t>
  </si>
  <si>
    <t>Tilžės g. nuo Šilutės pl. iki geležinkelio pervažos rekonstravimas, pertvarkant žiedinę Mokyklos g. ir Šilutės pl. sankryžą</t>
  </si>
  <si>
    <t>Suremontuota asfaltbetonio dangos duobių kiemuose, ha</t>
  </si>
  <si>
    <t>Atnaujinta šaligatvių miesto gatvėse, ha</t>
  </si>
  <si>
    <t>Suremontuota gatvių akmens grindinio dangos  senamiesčio gatvėse, ha</t>
  </si>
  <si>
    <t>Suremontuota šaligatvių (su dviračių takais), ha</t>
  </si>
  <si>
    <t>Atnaujinta dekoratyvinių kelio ženklų stovų, vnt.</t>
  </si>
  <si>
    <t>Nuostolingų maršrutų subsidijavimas priemiesčio ir miesto maršrutus aptarnaujantiems vežėjams</t>
  </si>
  <si>
    <r>
      <t xml:space="preserve">Planuojamos kelių priežiūros ir plėtros programos lėšos </t>
    </r>
    <r>
      <rPr>
        <b/>
        <sz val="10"/>
        <rFont val="Times New Roman"/>
        <family val="1"/>
        <charset val="186"/>
      </rPr>
      <t>SB(KPP)</t>
    </r>
  </si>
  <si>
    <t xml:space="preserve">Renginių, kurių metu keleiviams bus taikomos lengvatos, vnt. </t>
  </si>
  <si>
    <t>URBACT III projekto „Gyvos gatvės“ įgyvendinimas</t>
  </si>
  <si>
    <t>Įgyvendintas projektas, vnt.</t>
  </si>
  <si>
    <t>P6</t>
  </si>
  <si>
    <t>Mėgėjų sodų teritorijoje savivaldybių institucijų valdomų kelių remontas</t>
  </si>
  <si>
    <t>Senamiesčio gatvės</t>
  </si>
  <si>
    <t>Įdiegta paslauga. Užbaigtumas, proc.</t>
  </si>
  <si>
    <t>Naujai įrengta šviesoforų, vnt.</t>
  </si>
  <si>
    <t>Atlikta teritorijos paprastojo remonto darbų. Užbaigtumas, proc.</t>
  </si>
  <si>
    <t>Paprastojo remonto ir priežiūros darbų techninė priežiūra</t>
  </si>
  <si>
    <t>Gatvių tiesimas ir rekonstravimas:</t>
  </si>
  <si>
    <t>Šilutės plento ruožo nuo Tilžės g. iki geležinkelio pervažos (iki Kauno g.) rekonstrukcija (SM programa 06.2.1-TID-R-511 pr.Vietinių kelių vystymas)</t>
  </si>
  <si>
    <t>Įrengta stotelių su įvažomis, vnt.</t>
  </si>
  <si>
    <t>Įdiegta transporto (I etapas) valdymo sistema. Užbaigtumas, proc.</t>
  </si>
  <si>
    <t>Atlikta Dailės g. su projekto parengimu  remonto darbų. Užbaigtumas, proc.</t>
  </si>
  <si>
    <t>Atlikta Dienovidžio g. remonto darbų. Užbaigtumas, proc.</t>
  </si>
  <si>
    <t>P1</t>
  </si>
  <si>
    <t>Lypkių pervažos įrengimas</t>
  </si>
  <si>
    <t>09</t>
  </si>
  <si>
    <t>Tauralaukio gatvės</t>
  </si>
  <si>
    <t>Darnaus judumo projektų įgyvendinimas:</t>
  </si>
  <si>
    <t>Viešojo transporto parko atnaujinimo veiksmų plano parengimas ir įgyvendinimas</t>
  </si>
  <si>
    <t>11</t>
  </si>
  <si>
    <t>12</t>
  </si>
  <si>
    <t>13</t>
  </si>
  <si>
    <t>14</t>
  </si>
  <si>
    <t>Rekonstruoti, tiesti ir prižiūrėti gatves</t>
  </si>
  <si>
    <t>Statybos ir infrastruktūros plėtros skyrius</t>
  </si>
  <si>
    <t xml:space="preserve">Projektų skyrius </t>
  </si>
  <si>
    <t>Miesto tvarkymo skyrius</t>
  </si>
  <si>
    <t>Projektų skyrius</t>
  </si>
  <si>
    <t xml:space="preserve"> Transporto skyrius</t>
  </si>
  <si>
    <t xml:space="preserve"> Ištisinio asfaltbetonio dangos įrengimas: </t>
  </si>
  <si>
    <t>P</t>
  </si>
  <si>
    <t>Įrengtas laikinas kelias (Lypkių pervažoje). Užbaigtumas, proc.</t>
  </si>
  <si>
    <t>SB(ESA)</t>
  </si>
  <si>
    <r>
      <t xml:space="preserve">Savivaldybės biudžeto apyvartos lėšos Europos Sąjungos finansinės paramos programų laikinam lėšų stygiui dengti </t>
    </r>
    <r>
      <rPr>
        <b/>
        <sz val="10"/>
        <rFont val="Times New Roman"/>
        <family val="1"/>
        <charset val="186"/>
      </rPr>
      <t xml:space="preserve"> SB(ESA)</t>
    </r>
  </si>
  <si>
    <t>15</t>
  </si>
  <si>
    <t>16</t>
  </si>
  <si>
    <t>17</t>
  </si>
  <si>
    <t>20</t>
  </si>
  <si>
    <t>21</t>
  </si>
  <si>
    <t>22</t>
  </si>
  <si>
    <t>23</t>
  </si>
  <si>
    <t>24</t>
  </si>
  <si>
    <t>25</t>
  </si>
  <si>
    <t>Klaipėdos miesto gatvių rekonstravimas bendromis savivaldybės ir privačių asmenų lėšomis</t>
  </si>
  <si>
    <t>Vilniaus dailės akademijos Klaipėdos fakulteto teritorijos sutvarkymas</t>
  </si>
  <si>
    <t>Transporto balso funkcijos, skirtos regėjimo negalią turintiems žmonėms, įdiegimas</t>
  </si>
  <si>
    <t>Eksploatuojama elektromobilių įkrovimo stotelių, įrengtų pagal ES projektą, vnt.</t>
  </si>
  <si>
    <t xml:space="preserve"> Miesto tvarkymo sk.</t>
  </si>
  <si>
    <t>Įsigyta šviesoforų postų eismo valdymo įrenginių, vnt.</t>
  </si>
  <si>
    <t>Ekonominės plėtros grupė</t>
  </si>
  <si>
    <t>Transporto  skyrius</t>
  </si>
  <si>
    <t>Vyr. patarėjas G. Dovidaitis</t>
  </si>
  <si>
    <t>Vyr. patarėja I. Kubilienė</t>
  </si>
  <si>
    <t>patirtų vykdant keleivinio kelių transporto viešųjų paslaugų vežant keleivius vietinio (miesto) reguliaraus susisiekimo autobusų maršrutais</t>
  </si>
  <si>
    <t>patirtų dėl naudojamų transporto priemonių pakeitimo ekologiškomis viešojo transporto priemonėmis</t>
  </si>
  <si>
    <t xml:space="preserve">Teatro ir Sukilėlių g. rekonstrukcija </t>
  </si>
  <si>
    <t>Danės g. rekonstravimas</t>
  </si>
  <si>
    <t xml:space="preserve">Sodų bendrija „Vaiteliai“–„Rasa“ kursavimas </t>
  </si>
  <si>
    <t>Maršrutas į LEZ teritoriją</t>
  </si>
  <si>
    <t>Kursuojančių ekologiškų elektrinių autobusų skaičius, vnt.</t>
  </si>
  <si>
    <r>
      <rPr>
        <b/>
        <sz val="10"/>
        <rFont val="Times New Roman"/>
        <family val="1"/>
        <charset val="186"/>
      </rPr>
      <t xml:space="preserve">I etapas. </t>
    </r>
    <r>
      <rPr>
        <sz val="10"/>
        <rFont val="Times New Roman"/>
        <family val="1"/>
        <charset val="186"/>
      </rPr>
      <t>Tilžės g. nuo Šilutės pl. iki geležinkelio pervažos rekonstravimas</t>
    </r>
  </si>
  <si>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</si>
  <si>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Atliktas gatvių – Klaipėdos g. (500 m) ir Virkučių g. (1004 m) rekonstravimas. Užbaigtumas, proc.</t>
  </si>
  <si>
    <t xml:space="preserve">  vežėjams už lengvatas turinčių keleivių vežimą</t>
  </si>
  <si>
    <t xml:space="preserve"> moksleiviams</t>
  </si>
  <si>
    <t xml:space="preserve"> profesinių mokyklų moksleiviams</t>
  </si>
  <si>
    <t xml:space="preserve"> papildomoms socialinėms grupėms</t>
  </si>
  <si>
    <t>nuostolių, patirtų vežant keleivius vietinio reguliaraus susisiekimo autobusų maršrutais renginių metu, kompensavimas</t>
  </si>
  <si>
    <r>
      <t>Įvažos pratęsimo Naujojo turgaus autobusų stotelėje įrengimas (</t>
    </r>
    <r>
      <rPr>
        <i/>
        <sz val="10"/>
        <rFont val="Times New Roman"/>
        <family val="1"/>
        <charset val="186"/>
      </rPr>
      <t>kryptis į pietinę miesto dalį</t>
    </r>
    <r>
      <rPr>
        <sz val="10"/>
        <rFont val="Times New Roman"/>
        <family val="1"/>
        <charset val="186"/>
      </rPr>
      <t xml:space="preserve">)  </t>
    </r>
  </si>
  <si>
    <t>Projekto „Darnaus judumo planavimas: bendradarbiavimas bei ryšiai urbanistinėje sistemoje (SUMP-PLUS)“ įgyvendinimas</t>
  </si>
  <si>
    <t>Įrengta neregių vedimo dangos autobusų stotelėse, vnt.</t>
  </si>
  <si>
    <t>Apšviesta pėsčiųjų perėjų, vnt.</t>
  </si>
  <si>
    <t>Joniškės g. (neremontuotas ruožas šalia Klaipėdos baldų įmonės iki Bangų g.)</t>
  </si>
  <si>
    <t>Mogiliovo gyvenamojo rajono gatvės (labiausiai pažeistos vietos)</t>
  </si>
  <si>
    <t>Vingio g. (ruožas nuo Smiltelės g. iki Šilutės pl.)</t>
  </si>
  <si>
    <t>Infrastruktūros įrengimas, reikalingas BRT sistemai funkcionuoti</t>
  </si>
  <si>
    <t>Saugaus eismo auditas</t>
  </si>
  <si>
    <t>Atlikta auditų, vnt.</t>
  </si>
  <si>
    <t>Įrengta elektromobilių įkrovimo stotelių, vnt.</t>
  </si>
  <si>
    <t>Įgyvendintas projekto etapas, vnt.</t>
  </si>
  <si>
    <t>Atlikta Arimų g. remonto darbų. Užbaigtumas, proc.</t>
  </si>
  <si>
    <t>Atlikta Neringos g. remonto darbų. Užbaigtumas, proc.</t>
  </si>
  <si>
    <t>Atlikta rangos darbų, proc.</t>
  </si>
  <si>
    <t>Finansinės ataskaitos auditas, vnt.</t>
  </si>
  <si>
    <t xml:space="preserve">Transporto (eismo) valdymo sistemos diegimas: </t>
  </si>
  <si>
    <t xml:space="preserve">Parengto projekto šviesoforų montavimo darbai </t>
  </si>
  <si>
    <t xml:space="preserve">Apšvietimo ir kietųjų dangų atstatymo ir įrengimo darbai </t>
  </si>
  <si>
    <t xml:space="preserve">Valdymo sistemos su viešojo transporto prioritetu programinės įrangos diegimas ir priežiūros paslaugos </t>
  </si>
  <si>
    <t>Įdiegta transporto valdymo sistema, proc</t>
  </si>
  <si>
    <t>Vykdomas garantinis aptarnavimas, mėn.</t>
  </si>
  <si>
    <t xml:space="preserve">Uostamiesčiai: darnaus judumo principų integravimas (PORT Cities: Integrating Sustainability, PORTIS) </t>
  </si>
  <si>
    <t>Jaunystės g. ir privažiuojamojo kelio sankryžos, Rūko g. kapitalinis remontas</t>
  </si>
  <si>
    <t>SB(ESL)</t>
  </si>
  <si>
    <r>
      <t xml:space="preserve">Europos Sąjungos finansinės paramos lėšų likučio metų pradžioje lėšos </t>
    </r>
    <r>
      <rPr>
        <b/>
        <sz val="10"/>
        <rFont val="Times New Roman"/>
        <family val="1"/>
        <charset val="186"/>
      </rPr>
      <t>SB(ESL)</t>
    </r>
  </si>
  <si>
    <t>SB(P)</t>
  </si>
  <si>
    <r>
      <t xml:space="preserve">Savivaldybės paskolų lėšos </t>
    </r>
    <r>
      <rPr>
        <b/>
        <sz val="10"/>
        <rFont val="Times New Roman"/>
        <family val="1"/>
        <charset val="186"/>
      </rPr>
      <t>SB(P)</t>
    </r>
    <r>
      <rPr>
        <sz val="10"/>
        <rFont val="Times New Roman"/>
        <family val="1"/>
        <charset val="186"/>
      </rPr>
      <t xml:space="preserve">        
</t>
    </r>
  </si>
  <si>
    <t>SB(SPI)</t>
  </si>
  <si>
    <r>
      <t xml:space="preserve">Pajamų įmokų infrastruktūros plėtrai lėšos </t>
    </r>
    <r>
      <rPr>
        <b/>
        <sz val="10"/>
        <rFont val="Times New Roman"/>
        <family val="1"/>
        <charset val="186"/>
      </rPr>
      <t>SB(SPI)</t>
    </r>
  </si>
  <si>
    <t>SB(K)</t>
  </si>
  <si>
    <r>
      <t>Valstybės biudžeto kompensacija 2020 m. negautoms pajamoms padengti</t>
    </r>
    <r>
      <rPr>
        <b/>
        <sz val="10"/>
        <rFont val="Times New Roman"/>
        <family val="1"/>
        <charset val="186"/>
      </rPr>
      <t xml:space="preserve"> SB(K)</t>
    </r>
  </si>
  <si>
    <t>Liepų, Jaunystės ir Arimų gatvių sankryžos (įrengiant šviesoforus ir apšvietimą) kapitalinis remontas:</t>
  </si>
  <si>
    <t>Liepų, Jaunystės ir Arimų gatvių sankryžos  kapitalinis remontas</t>
  </si>
  <si>
    <t xml:space="preserve"> Liepų, Jaunystės ir Arimų gatvių sankryžos  šviesoforų ir apšvietimo įrengimas </t>
  </si>
  <si>
    <t>Atlikta šviesoforų įrengimo darbų, proc.</t>
  </si>
  <si>
    <t>Atlikta apšvietimo įrengimo darbų, proc.</t>
  </si>
  <si>
    <t>P3</t>
  </si>
  <si>
    <t>P4</t>
  </si>
  <si>
    <t>Produkto kriterijaus</t>
  </si>
  <si>
    <t>SB(VB)</t>
  </si>
  <si>
    <t>Pravažiuojamo kelio tarp Bokštų ir Jūros g. įrengimas</t>
  </si>
  <si>
    <t>26</t>
  </si>
  <si>
    <t>Įvažiuojamųjų kelių atnaujinimas:</t>
  </si>
  <si>
    <t>Įvažiuojamojo kelio į Debreceno g. 61</t>
  </si>
  <si>
    <t>27</t>
  </si>
  <si>
    <t>S. Daukanto g. nuo Šaulių g. iki J. Zauerveino g. kapitalinis remontas</t>
  </si>
  <si>
    <t>planas</t>
  </si>
  <si>
    <t>SB(ŽPL)</t>
  </si>
  <si>
    <t>Atlikta papildomų perėjos įrengimo, dangos, apšvietimo atnaujinimo darbų. Užbaigtumas proc.</t>
  </si>
  <si>
    <t>Pastato Pilies g. 2A nugriovimas ir automobilių stovėjimo aikštelės įrengimas (praplėtimas)</t>
  </si>
  <si>
    <t>Atlikta įvažiuojamojo kelio į Jaunystės g. 7 paprastojo remonto darbų. Užbaigtumas, proc.</t>
  </si>
  <si>
    <t>Įvažiuojamojo kelio į Jaunystės g. 7 (Nr. LM1242) paprastojo remonto darbai</t>
  </si>
  <si>
    <t>Danės upės pritaikymas laivybai ir vandens autobuso maršruto įdiegimas</t>
  </si>
  <si>
    <t>Parengtas takų iki pontoninių prieplaukų projektas, vnt.</t>
  </si>
  <si>
    <t>2021-ieji metai**</t>
  </si>
  <si>
    <t>2022-ieji metai</t>
  </si>
  <si>
    <t>2023-ieji metai</t>
  </si>
  <si>
    <t>2024-ieji metai</t>
  </si>
  <si>
    <t>Priemonės požymis*</t>
  </si>
  <si>
    <t>Vykdytojas (skyrius/asmuo)</t>
  </si>
  <si>
    <t>Asignavimai 2021-iesiems metams**</t>
  </si>
  <si>
    <t>Lėšų poreikis biudžetiniams 2022-iesiems metams</t>
  </si>
  <si>
    <t>2023-ųjų metų lėšų projektas</t>
  </si>
  <si>
    <t>2024-ųjų metų lėšų projektas</t>
  </si>
  <si>
    <t xml:space="preserve">2021–2024 M. KLAIPĖDOS MIESTO SAVIVALDYBĖS  </t>
  </si>
  <si>
    <t>Asignavimai 2021-iesiems metams</t>
  </si>
  <si>
    <t>Klemiškės g. rekonstravimas</t>
  </si>
  <si>
    <t>Gatvės ir pėsčiųjų bei dviračių takų įrengimas prisidedant prie BĮ Lietuvos jūrų muziejaus projekto „Baltijos jūros gyvūnų reabilitacinis centras“  įgyvendinimo</t>
  </si>
  <si>
    <t>28</t>
  </si>
  <si>
    <t>29</t>
  </si>
  <si>
    <t>30</t>
  </si>
  <si>
    <t>31</t>
  </si>
  <si>
    <t>Karklų g.</t>
  </si>
  <si>
    <t>Kalvos g.</t>
  </si>
  <si>
    <t>Žardininkų g.</t>
  </si>
  <si>
    <t>Laukininkų g.</t>
  </si>
  <si>
    <t xml:space="preserve">Įvažiuojamojo kelio ir šalia esančio skvero į Taikos pr. 109 </t>
  </si>
  <si>
    <t>Įvažiuojamojo kelio į Taikos pr. 101</t>
  </si>
  <si>
    <t>Dubliuojančios gatvės nuo Šiltnamių g. iki Klaipėdos g. su pėsčiųjų ir dviračių taku ir įvažomis į Liepojos g. įrengimas</t>
  </si>
  <si>
    <t>Papildomos eismo juostos ir pėsčiųjų saugumo salelės Mogiliovo gatvėje įrengimas</t>
  </si>
  <si>
    <t>33</t>
  </si>
  <si>
    <t xml:space="preserve">Įrengta švieslenčių miesto autobusų stotelėse, vnt.  </t>
  </si>
  <si>
    <t>Įsigyta autobusų, vnt.</t>
  </si>
  <si>
    <t>Avaringiausių vietų juodųjų dėmių nustatymas ir tobulinimo ar pertvarkymo projektinių schemų parengimas</t>
  </si>
  <si>
    <t>Subsidijuojamas Danės upės vandens kelio maršrutas, vnt.</t>
  </si>
  <si>
    <t>J. Zauerveino g.</t>
  </si>
  <si>
    <t>Parko g.</t>
  </si>
  <si>
    <t>Statybininkų pr. 36-70 kelio ruožas</t>
  </si>
  <si>
    <t xml:space="preserve">Nuvažiavimo ruožas iš Mokyklos g. į Joniškės g. ir užvažiavimo ruožas iš Joniškės g. į Mokyklos g. </t>
  </si>
  <si>
    <t>Žvejybos produktų iškrovimo vietos prie Pilies tilto Klaipėdoje įrengimas</t>
  </si>
  <si>
    <t>N</t>
  </si>
  <si>
    <t xml:space="preserve">Miesto tvarkymo skyrius </t>
  </si>
  <si>
    <t>T</t>
  </si>
  <si>
    <t xml:space="preserve">Bangų g. </t>
  </si>
  <si>
    <t xml:space="preserve">Reikjaviko g. </t>
  </si>
  <si>
    <t>Šturmanų g.</t>
  </si>
  <si>
    <t>Parduota lengvatinių bilietų pradinių klasių moksleiviams, tūkst. vnt.</t>
  </si>
  <si>
    <t>Kompensuota bilietų moksleivaims, tūkst. vnt.</t>
  </si>
  <si>
    <t>Atnaujinta pėsčiųjų perėjų šviesoforų, vnt.</t>
  </si>
  <si>
    <t>Įsigyta greičio matuoklių korpusų su muliažo dangteliu, vnt.</t>
  </si>
  <si>
    <t>Pateikti pertvarkymo projektiniai pasiūlymai avaringiausiose vietose, vnt.</t>
  </si>
  <si>
    <t>Dviračių įrenginių ir kintamos informacijos kelio ženklų priežiūra</t>
  </si>
  <si>
    <t>Prižiūrima dviračių įrenginių (dviračių saugyklų ir skaičiuoklių) ir kintamos informacijos kelio ženklų, vnt.</t>
  </si>
  <si>
    <t>Darnaus judumo priemonių diegimas Klaipėdos mieste</t>
  </si>
  <si>
    <t>32</t>
  </si>
  <si>
    <t>34</t>
  </si>
  <si>
    <t>35</t>
  </si>
  <si>
    <t>Paryžiaus Komunos g. rekonstravimas (nuo Šilutės pl. iki Taikos pr.)</t>
  </si>
  <si>
    <t>Smiltynės g. ir krantinės rekonstravimas nuo Jūrų muziejaus iki Senosios Smiltynės perkėlos</t>
  </si>
  <si>
    <t>36</t>
  </si>
  <si>
    <t>Aukštosios g. rekonstrukcija</t>
  </si>
  <si>
    <t>37</t>
  </si>
  <si>
    <t>38</t>
  </si>
  <si>
    <t>39</t>
  </si>
  <si>
    <t>Esamo melioracinio griovio iškėlimas iš investicinių sklypų Verslo g. ir Metalo g. Klaipėdos laisvosios ekonominės zonos teritorijoje</t>
  </si>
  <si>
    <t>Žaliosios energijos infrastruktūros įrengimas</t>
  </si>
  <si>
    <t>LEZ teritorija:</t>
  </si>
  <si>
    <t xml:space="preserve"> P2</t>
  </si>
  <si>
    <t xml:space="preserve">P1 </t>
  </si>
  <si>
    <t>UAB „Klaipėdos autobusų parkas“ įstatinio kapitalo didinimas  (elektra varomų autobusų įsigijimas (prisidėjimas))</t>
  </si>
  <si>
    <t>Atlikta rangos darbų. Užbaigtumas, proc.</t>
  </si>
  <si>
    <t>Atlikta rangos darbų.  Užbaigtumas, proc.</t>
  </si>
  <si>
    <t>Atlikta techninių priežiūrų, vnt.</t>
  </si>
  <si>
    <t>Įrengta takų, vnt.</t>
  </si>
  <si>
    <t>Įrengta pontoninių prieplaukų, vnt.</t>
  </si>
  <si>
    <t>Įrengta elektros įvadų, vnt.</t>
  </si>
  <si>
    <t>Įtraukta Lietuvos automobilių kelių direkcijos dalis pagal planuojamą pasirašyti bendradarbiavimo sutartį (lėšos detalizuotos pirkimo vertei pagrįsti), proc.</t>
  </si>
  <si>
    <t xml:space="preserve">Parengta projektų, vnt. </t>
  </si>
  <si>
    <t xml:space="preserve"> P</t>
  </si>
  <si>
    <t xml:space="preserve">P2   </t>
  </si>
  <si>
    <t>Atlikta rangos darbų (Vikingų g.). Užbaigtumas, proc.</t>
  </si>
  <si>
    <t>Atlikta (Tauro 10-oji g.)  rangos darbų. Užbaigtumas, proc.</t>
  </si>
  <si>
    <t>Atlikta (Karlskronos g.)  rangos darbų. Užbaigtumas, proc.</t>
  </si>
  <si>
    <t>Atlikta (Tauro 1-oji  g.)  rangos darbų. Užbaigtumas, proc.</t>
  </si>
  <si>
    <t>Padidintas kapitalas, proc.</t>
  </si>
  <si>
    <t>N
I</t>
  </si>
  <si>
    <t>Vyr. patarėjas
G. Dovidaitis</t>
  </si>
  <si>
    <t>Atlikta rangos darbų (I etapas). Užbaigtumas, proc.</t>
  </si>
  <si>
    <t>Atlikta rangos darbų (II etapas). Užbaigtumas, proc.</t>
  </si>
  <si>
    <t>Mokyklos g. ir Laukų g. žiedinės sankryžos įrengimas</t>
  </si>
  <si>
    <t xml:space="preserve">Parengti techniniai projektai, vnt. </t>
  </si>
  <si>
    <t>SB(ŽP)</t>
  </si>
  <si>
    <r>
      <t xml:space="preserve">Žemės pardavimų lėšos </t>
    </r>
    <r>
      <rPr>
        <b/>
        <sz val="10"/>
        <rFont val="Times New Roman"/>
        <family val="1"/>
        <charset val="186"/>
      </rPr>
      <t>SB(ŽP)</t>
    </r>
  </si>
  <si>
    <t>Daugiaaukštės automobilių stovėjimo aikštelės teritorijoje  Bangų g., Klaipėdoje, įrengimas</t>
  </si>
  <si>
    <t xml:space="preserve">Turto valdymo skyrius </t>
  </si>
  <si>
    <t>Malūninkų g.</t>
  </si>
  <si>
    <t>Automatinės eismo priežiūros prietaisų eksploatacija ir įrengimas</t>
  </si>
  <si>
    <t>19</t>
  </si>
  <si>
    <r>
      <t xml:space="preserve">Klaipėdos miesto žvyruotų gatvių kapitalinis remontas </t>
    </r>
    <r>
      <rPr>
        <i/>
        <sz val="10"/>
        <rFont val="Times New Roman"/>
        <family val="1"/>
        <charset val="186"/>
      </rPr>
      <t>(pravažiavimai tarp Molo g. ir Pamario g. (Girulių pl.), Serviso g., Šilo g., pravažiavimo kelias tarp Šilo g. ir Druskininkų g., Nidos g. atkarpa nuo Nidos g. 17 iki Nidos g. 13,  Gilijos g. atkarpa nuo Nidos g. iki Rambyno g., Rasos g., Saulėlydžio atkarpa nuo Spindulio g. iki Saulėlydžio g. 8, Saulės g. atkarpa nuo Spindulio g. iki Rūko g., Naktigonės g., Spindulio g.)</t>
    </r>
  </si>
  <si>
    <t>iš viso:</t>
  </si>
  <si>
    <t>1. Nidos g.;</t>
  </si>
  <si>
    <t>2. Gilijos g.;</t>
  </si>
  <si>
    <t>3. Serviso g. (dalis);</t>
  </si>
  <si>
    <t>4. Pravažiavimai tarp Pamario ir Molo g.;</t>
  </si>
  <si>
    <t>10. Pušyno skg.;</t>
  </si>
  <si>
    <t>11. Lendrūnų g.;</t>
  </si>
  <si>
    <t>12. Tauro 1-oji g.;</t>
  </si>
  <si>
    <t>13. Tauro 10-oji g.;</t>
  </si>
  <si>
    <t>14. Baltijos 2-oji g.;</t>
  </si>
  <si>
    <t>15. Baltijos 3-oji g.;</t>
  </si>
  <si>
    <t>16. Raganių 1-oji g.;</t>
  </si>
  <si>
    <t>17. Kadagių g. (dalis);</t>
  </si>
  <si>
    <t>18. Spindulio g.;</t>
  </si>
  <si>
    <t>19. Jachtų g.;</t>
  </si>
  <si>
    <t>20. Karlskronos g.;</t>
  </si>
  <si>
    <t>21. Tauro 18-oji g.;</t>
  </si>
  <si>
    <t>22. Tomo g. (dalis);</t>
  </si>
  <si>
    <t>23. Blušių g. (dalis);</t>
  </si>
  <si>
    <t>24. Bičiulių g.;</t>
  </si>
  <si>
    <t>25. Obelų g.;</t>
  </si>
  <si>
    <t>26. Kelias į Laistų sodus;</t>
  </si>
  <si>
    <t>27. Pravažiuojamasis kelias prie Laistų 2-oji g. 18;</t>
  </si>
  <si>
    <t>28. Baltijos 4-oji g.;</t>
  </si>
  <si>
    <t>29. Baltijos 5-oji g.;</t>
  </si>
  <si>
    <t>30. Baltijos 8-oji g.;</t>
  </si>
  <si>
    <t>31. Baltijos 9-oji g.;</t>
  </si>
  <si>
    <t>32. Baltijos 10-oji g.;</t>
  </si>
  <si>
    <t>33. Baltijos 11-oji g.;</t>
  </si>
  <si>
    <t>34. Raganių 2-oji g.;</t>
  </si>
  <si>
    <t xml:space="preserve">35. Renetų g.; </t>
  </si>
  <si>
    <t>36. Pravažiuojamasis Renetų g. kelias: LM1186;1187;1188;</t>
  </si>
  <si>
    <t>37. Tauro 2-oji g.;</t>
  </si>
  <si>
    <t>38. Tauro 3-oji g.;</t>
  </si>
  <si>
    <t>39. Tauro 5-oji g.;</t>
  </si>
  <si>
    <t>40. Tauro 11-oji g.;</t>
  </si>
  <si>
    <t>41. Tauro 16-oji g.;</t>
  </si>
  <si>
    <t>42. Baltijos 14-oji g.;</t>
  </si>
  <si>
    <t>43. Inkaro 2-oji g.;</t>
  </si>
  <si>
    <t>44. Inkaro 3-oji g.;</t>
  </si>
  <si>
    <t>45. Raganių 3-oji g.;</t>
  </si>
  <si>
    <t>46. Raganių 4-oji g.;</t>
  </si>
  <si>
    <t>47. Kelias į Tauro sodus;</t>
  </si>
  <si>
    <t>48. Draugystės 1-oji g.;</t>
  </si>
  <si>
    <t>49. Draugystės 2-oji g.;</t>
  </si>
  <si>
    <t>50. Draugystės 3-oji g.;</t>
  </si>
  <si>
    <t>51. Tauro 4-oji g.;</t>
  </si>
  <si>
    <t>52. Tauro 6-oji g.;</t>
  </si>
  <si>
    <t>53. Tauro 7-oji g.;</t>
  </si>
  <si>
    <t>54. Tauro 8-oji g.;</t>
  </si>
  <si>
    <t>55. Tauro 9-oji g.;</t>
  </si>
  <si>
    <t>56. Tauro 12-oji g.;</t>
  </si>
  <si>
    <t>57. Tauro 13-oji g.;</t>
  </si>
  <si>
    <t>58. Tauro 14-oji g.;</t>
  </si>
  <si>
    <t>59. Tauro 15-oji g.;</t>
  </si>
  <si>
    <t>60. Tauro 17-oji g.;</t>
  </si>
  <si>
    <t>61. Baltijos 12-oji g.;</t>
  </si>
  <si>
    <t>62. Saulės g. (dalisLM1236);</t>
  </si>
  <si>
    <t>63. Irklų g.;</t>
  </si>
  <si>
    <t>64. Kurėnų g.;</t>
  </si>
  <si>
    <t>65. Vikingų g.;</t>
  </si>
  <si>
    <t>66. Laistų 2-oji g.;</t>
  </si>
  <si>
    <t>67. Laistų 3-oji g.;</t>
  </si>
  <si>
    <t>68. Jaunystės g. (dalis);</t>
  </si>
  <si>
    <t>69. Pravažiuojamasis kelias iki SB „Dobilas“ ;</t>
  </si>
  <si>
    <t>70. Įvažiuojamasis kelias į SB „Dobilas“.</t>
  </si>
  <si>
    <t>ŽVYRUOTŲ KELIŲ IR GATVIŲ DARBŲ PRIEMONĖS</t>
  </si>
  <si>
    <t>Klaipėdos mieste esančių sodininkų bendrijų kelių ir gatvių ir kitų mieste esančių žvyruotų kelių ir gatvių darbų eiliškumo sąrašas (pagal 2021-03-19 įsakymą Nr. AD1-343):</t>
  </si>
  <si>
    <t>5. Saulėlydžio g. (dalis);</t>
  </si>
  <si>
    <t>6. Naktigonės g.;</t>
  </si>
  <si>
    <t>7. Rasos g.;</t>
  </si>
  <si>
    <t>8. Šilo g.;</t>
  </si>
  <si>
    <t>9. Barškių g.;</t>
  </si>
  <si>
    <t>Pirminis 2021 m. poreikis 4962,4 (4900 + 62,4). Svarstant planą buvo nuo kompensacijų nuimta ir pridėta nuostoliams, nes jau buvo tikimais, kad bus ribojimai ir bus mažiau keleivių.</t>
  </si>
  <si>
    <t>Medžiagų tyrimas ir kontroliniai bandymai, topografinių nuotraukų, išpildomųjų geodezinių nuotraukų įsigijimas, statinių projektų ekspertizių, inžinerinės bei želdinių tvarkymo paslaugos</t>
  </si>
  <si>
    <t>Mogiliovo gyvenamojo rajono gatvės (Lūžų g., Brožynų g.)</t>
  </si>
  <si>
    <t>Raudonės g.</t>
  </si>
  <si>
    <t>H. Manto g. (labiausiai pažeistos vietos)</t>
  </si>
  <si>
    <t>2023-iųjų metų lėšų projektas</t>
  </si>
  <si>
    <t>**Pagal Klaipėdos miesto savivaldybės tarybos sprendimus: 2021-02-25 Nr. T2-24, 2021-04-29 Nr. T2-90; 2021-06-22 Nr. T2-157; 2021-09-30 Nr. T2-192; 2021-11-25 Nr. T2-247; 2021-12-22 Nr. T2-292.</t>
  </si>
  <si>
    <t>* Nurodoma: 1) ar priemonė nauja (N), ar tęstinė (T); 
                     2) ar projektas investicinis (I);
                     3) KMS 2021–2030 m. Strateginio plėtros plano priemonės, kuri įgyvendinama per šį (n-1)–(n+2) metų SVP, eil. Nr.</t>
  </si>
  <si>
    <r>
      <t xml:space="preserve">Europos Sąjungos finansinės paramos lėšos, kurios įtrauktos į savivaldybės biudžetą </t>
    </r>
    <r>
      <rPr>
        <b/>
        <sz val="10"/>
        <rFont val="Times New Roman"/>
        <family val="1"/>
        <charset val="186"/>
      </rPr>
      <t>SB(ES)</t>
    </r>
  </si>
  <si>
    <r>
      <t xml:space="preserve">Kelių priežiūros ir plėtros programos lėšos, įtrauktos į savivaldybės biudžetą </t>
    </r>
    <r>
      <rPr>
        <b/>
        <sz val="10"/>
        <rFont val="Times New Roman"/>
        <family val="1"/>
        <charset val="186"/>
      </rPr>
      <t>SB(KPP)</t>
    </r>
  </si>
  <si>
    <r>
      <t xml:space="preserve">Parduota lengvatinių bilietų senjorams nuo </t>
    </r>
    <r>
      <rPr>
        <sz val="10"/>
        <rFont val="Times New Roman"/>
        <family val="1"/>
        <charset val="186"/>
      </rPr>
      <t>70</t>
    </r>
    <r>
      <rPr>
        <sz val="10"/>
        <color theme="1"/>
        <rFont val="Times New Roman"/>
        <family val="1"/>
        <charset val="186"/>
      </rPr>
      <t xml:space="preserve"> metų, tūkst. vnt.</t>
    </r>
  </si>
  <si>
    <t>Ekologiškų viešojo transporto priemonių, kuriomis važiuojant patiriama nuostolių, vnt.</t>
  </si>
  <si>
    <t>Ekologiškų viešojo transporto priemonių (elektrinių autobusų), kuriomis važiuojant patiriama nuostolių, vnt.</t>
  </si>
  <si>
    <t>Maršruto Klaipėdos autobusų stotis–Palangos oro uostas kursavimas</t>
  </si>
  <si>
    <t>Įrengta elektros įvadų švieslentėms įrengti, vnt.</t>
  </si>
  <si>
    <t>Parengtas kintamos informacijos ženklų ant Mokyklos g. viaduko techninis projektas, vnt.</t>
  </si>
  <si>
    <t>Įrengti kintamos informacijos ženklai ant Mokyklos g. viaduko, proc.</t>
  </si>
  <si>
    <t>Pritaikyta krantinė senamiestyje, vnt</t>
  </si>
  <si>
    <t>Kiemų ir privažiuojamųjų kelių prie biudžetinių įstaigų dangos remontas</t>
  </si>
  <si>
    <r>
      <t xml:space="preserve">Klaipėdos miesto žvyruotų gatvių kapitalinis remontas </t>
    </r>
    <r>
      <rPr>
        <i/>
        <sz val="10"/>
        <rFont val="Times New Roman"/>
        <family val="1"/>
        <charset val="186"/>
      </rPr>
      <t>(pravažiuojamieji keliai tarp Molo g. ir Pamario g. (Girulių pl.), Serviso g., Šilo g., pravažiuojamasis kelias tarp Šilo g. ir Druskininkų g., Nidos g. ruožas nuo Nidos g. 17 iki Nidos g. 13,  Gilijos g. ruožas nuo Nidos g. iki Rambyno g., Rasos g., Saulėlydžio g. ruožas nuo Spindulio g. iki Saulėlydžio g. 8, Saulės g. ruožas nuo Spindulio g. iki Rūko g., Naktigonės g., Spindulio g.)</t>
    </r>
  </si>
  <si>
    <t>Eismo reguliavimo įrangos (šviesoforų) modernizavimas žaliosios bangos principu Taikos prospekte</t>
  </si>
  <si>
    <t xml:space="preserve">P6  </t>
  </si>
  <si>
    <t>Aiškinamojo rašto 3 priedas</t>
  </si>
  <si>
    <t xml:space="preserve">2022–2024 M. KLAIPĖDOS MIESTO SAVIVALDYBĖS  </t>
  </si>
  <si>
    <t>Atlikta (Vikingų g.) rangos darbų . Užbaigtumas, proc.</t>
  </si>
  <si>
    <t xml:space="preserve">Klaipėdos miesto savivaldybės susisiekimo sistemos  priežiūros ir plėtros programos (Nr. 06) aprašymo       </t>
  </si>
  <si>
    <t>priedas</t>
  </si>
  <si>
    <t>SB'</t>
  </si>
  <si>
    <t>SB(L)'</t>
  </si>
  <si>
    <t>SB(VB)'</t>
  </si>
  <si>
    <t>KVJUD'</t>
  </si>
  <si>
    <t>SB(ŽP)'</t>
  </si>
  <si>
    <t>LRVB'</t>
  </si>
  <si>
    <t>SB(ES)'</t>
  </si>
  <si>
    <t>SB(KPP)'</t>
  </si>
  <si>
    <t>SB(ESL)'</t>
  </si>
  <si>
    <t>SB(VRL)'</t>
  </si>
  <si>
    <t>SB(ŽPL)'</t>
  </si>
  <si>
    <t>Kt'</t>
  </si>
  <si>
    <t>SB(VR)'</t>
  </si>
  <si>
    <t>ES'</t>
  </si>
  <si>
    <t>SB(ESA)'</t>
  </si>
  <si>
    <t xml:space="preserve">P    </t>
  </si>
  <si>
    <t xml:space="preserve">P   </t>
  </si>
  <si>
    <t xml:space="preserve">P </t>
  </si>
  <si>
    <t xml:space="preserve">P  </t>
  </si>
  <si>
    <t xml:space="preserve">P1
P2 </t>
  </si>
  <si>
    <t>* N – nauja priemonė, T – tęstinė priemonė, I – investicijų projektas.</t>
  </si>
  <si>
    <t>SAVIVALDYBĖS LĖŠOS, IŠ VISO:</t>
  </si>
  <si>
    <t>Klaipėdos miesto viešojo transporto priemonių  atnaujinimas (naujų autobusų įsigijimas)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</si>
</sst>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
    <numFmt numFmtId="166" formatCode="[$-409]General"/>
    <numFmt numFmtId="167" formatCode="0.0"/>
  </numFmts>
  <fonts count="29" x14ac:knownFonts="1">
    <font>
      <sz val="10"/>
      <name val="Arial"/>
      <charset val="186"/>
    </font>
    <font>
      <sz val="10"/>
      <name val="Times New Roman"/>
      <family val="1"/>
      <charset val="186"/>
    </font>
    <font>
      <b/>
      <sz val="10"/>
      <name val="Times New Roman"/>
      <family val="1"/>
      <charset val="186"/>
    </font>
    <font>
      <b/>
      <sz val="10"/>
      <name val="Times New Roman"/>
      <family val="1"/>
      <charset val="204"/>
    </font>
    <font>
      <sz val="9"/>
      <name val="Times New Roman"/>
      <family val="1"/>
      <charset val="186"/>
    </font>
    <font>
      <sz val="10"/>
      <name val="Arial"/>
      <family val="2"/>
      <charset val="186"/>
    </font>
    <font>
      <b/>
      <sz val="9"/>
      <name val="Times New Roman"/>
      <family val="1"/>
      <charset val="186"/>
    </font>
    <font>
      <i/>
      <sz val="10"/>
      <name val="Times New Roman"/>
      <family val="1"/>
      <charset val="186"/>
    </font>
    <font>
      <sz val="10"/>
      <name val="Times New Roman"/>
      <family val="1"/>
    </font>
    <font>
      <b/>
      <sz val="10"/>
      <name val="Arial"/>
      <family val="2"/>
      <charset val="186"/>
    </font>
    <font>
      <sz val="11"/>
      <color rgb="FF000000"/>
      <name val="Calibri"/>
      <family val="2"/>
      <charset val="186"/>
    </font>
    <font>
      <sz val="12"/>
      <name val="Times New Roman"/>
      <family val="1"/>
      <charset val="186"/>
    </font>
    <font>
      <b/>
      <sz val="12"/>
      <name val="Times New Roman"/>
      <family val="1"/>
      <charset val="186"/>
    </font>
    <font>
      <sz val="10"/>
      <name val="Arial"/>
      <family val="2"/>
    </font>
    <font>
      <b/>
      <sz val="9"/>
      <color indexed="81"/>
      <name val="Tahoma"/>
      <family val="2"/>
      <charset val="186"/>
    </font>
    <font>
      <sz val="9"/>
      <color indexed="81"/>
      <name val="Tahoma"/>
      <family val="2"/>
      <charset val="186"/>
    </font>
    <font>
      <sz val="10"/>
      <name val="Times"/>
      <family val="1"/>
    </font>
    <font>
      <sz val="10"/>
      <color rgb="FFFF0000"/>
      <name val="Times New Roman"/>
      <family val="1"/>
      <charset val="186"/>
    </font>
    <font>
      <sz val="12"/>
      <name val="Times New Roman"/>
      <family val="1"/>
    </font>
    <font>
      <sz val="9"/>
      <name val="Times New Roman"/>
      <family val="1"/>
    </font>
    <font>
      <sz val="10"/>
      <color rgb="FFC00000"/>
      <name val="Times New Roman"/>
      <family val="1"/>
      <charset val="186"/>
    </font>
    <font>
      <sz val="10"/>
      <color rgb="FF00B050"/>
      <name val="Times New Roman"/>
      <family val="1"/>
      <charset val="186"/>
    </font>
    <font>
      <sz val="10"/>
      <color theme="1"/>
      <name val="Times New Roman"/>
      <family val="1"/>
      <charset val="186"/>
    </font>
    <font>
      <b/>
      <sz val="10"/>
      <color rgb="FFFF0000"/>
      <name val="Times New Roman"/>
      <family val="1"/>
      <charset val="186"/>
    </font>
    <font>
      <strike/>
      <sz val="10"/>
      <name val="Times New Roman"/>
      <family val="1"/>
      <charset val="186"/>
    </font>
    <font>
      <b/>
      <sz val="10"/>
      <color rgb="FF00B050"/>
      <name val="Times New Roman"/>
      <family val="1"/>
      <charset val="186"/>
    </font>
    <font>
      <b/>
      <sz val="10"/>
      <name val="Times"/>
      <family val="1"/>
    </font>
    <font>
      <sz val="10"/>
      <color theme="0"/>
      <name val="Times New Roman"/>
      <family val="1"/>
      <charset val="186"/>
    </font>
    <font>
      <sz val="11"/>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top style="hair">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0" fontId="5" fillId="0" borderId="0"/>
    <xf numFmtId="166" fontId="10" fillId="0" borderId="0" applyBorder="0" applyProtection="0"/>
  </cellStyleXfs>
  <cellXfs count="1470">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0" xfId="1" applyFont="1" applyBorder="1" applyAlignment="1">
      <alignment vertical="top"/>
    </xf>
    <xf numFmtId="0" fontId="5" fillId="0" borderId="0" xfId="0" applyFont="1"/>
    <xf numFmtId="0" fontId="2" fillId="0" borderId="0" xfId="0" applyNumberFormat="1" applyFont="1" applyAlignment="1">
      <alignment vertical="top"/>
    </xf>
    <xf numFmtId="49" fontId="2" fillId="2" borderId="29" xfId="0" applyNumberFormat="1" applyFont="1" applyFill="1" applyBorder="1" applyAlignment="1">
      <alignment horizontal="center" vertical="top"/>
    </xf>
    <xf numFmtId="165" fontId="1" fillId="0" borderId="0" xfId="0" applyNumberFormat="1" applyFont="1" applyAlignment="1">
      <alignment vertical="top"/>
    </xf>
    <xf numFmtId="49" fontId="2" fillId="9" borderId="13" xfId="0" applyNumberFormat="1" applyFont="1" applyFill="1" applyBorder="1" applyAlignment="1">
      <alignment horizontal="center" vertical="top" wrapText="1"/>
    </xf>
    <xf numFmtId="3" fontId="1" fillId="0" borderId="0" xfId="0" applyNumberFormat="1" applyFont="1" applyBorder="1" applyAlignment="1">
      <alignment vertical="top"/>
    </xf>
    <xf numFmtId="165" fontId="1" fillId="0" borderId="0" xfId="0" applyNumberFormat="1" applyFont="1" applyBorder="1" applyAlignment="1">
      <alignment vertical="top"/>
    </xf>
    <xf numFmtId="165" fontId="1" fillId="0" borderId="20" xfId="0" applyNumberFormat="1" applyFont="1" applyBorder="1" applyAlignment="1">
      <alignment horizontal="center" vertical="top"/>
    </xf>
    <xf numFmtId="165" fontId="1" fillId="7" borderId="35" xfId="0" applyNumberFormat="1" applyFont="1" applyFill="1" applyBorder="1" applyAlignment="1">
      <alignment horizontal="center" vertical="top"/>
    </xf>
    <xf numFmtId="165" fontId="1" fillId="7" borderId="4" xfId="0" applyNumberFormat="1" applyFont="1" applyFill="1" applyBorder="1" applyAlignment="1">
      <alignment horizontal="center" vertical="top"/>
    </xf>
    <xf numFmtId="165" fontId="2" fillId="9" borderId="56" xfId="0" applyNumberFormat="1" applyFont="1" applyFill="1" applyBorder="1" applyAlignment="1">
      <alignment horizontal="center" vertical="top"/>
    </xf>
    <xf numFmtId="165" fontId="1" fillId="7" borderId="71" xfId="0" applyNumberFormat="1" applyFont="1" applyFill="1" applyBorder="1" applyAlignment="1">
      <alignment horizontal="center" vertical="top"/>
    </xf>
    <xf numFmtId="165" fontId="2" fillId="9" borderId="43" xfId="0" applyNumberFormat="1" applyFont="1" applyFill="1" applyBorder="1" applyAlignment="1">
      <alignment horizontal="center" vertical="top"/>
    </xf>
    <xf numFmtId="165" fontId="2" fillId="2" borderId="2" xfId="0" applyNumberFormat="1" applyFont="1" applyFill="1" applyBorder="1" applyAlignment="1">
      <alignment horizontal="center" vertical="top"/>
    </xf>
    <xf numFmtId="165" fontId="2" fillId="9" borderId="44"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0" xfId="0" applyNumberFormat="1" applyFont="1" applyFill="1" applyBorder="1" applyAlignment="1">
      <alignment horizontal="center" vertical="top"/>
    </xf>
    <xf numFmtId="165" fontId="2" fillId="5" borderId="43"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7" borderId="11" xfId="0" applyNumberFormat="1" applyFont="1" applyFill="1" applyBorder="1" applyAlignment="1">
      <alignment vertical="top" wrapText="1"/>
    </xf>
    <xf numFmtId="165" fontId="2" fillId="8" borderId="50" xfId="0" applyNumberFormat="1" applyFont="1" applyFill="1" applyBorder="1" applyAlignment="1">
      <alignment horizontal="center" vertical="top"/>
    </xf>
    <xf numFmtId="165" fontId="1" fillId="7" borderId="59"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49" fontId="1" fillId="7" borderId="39" xfId="0" applyNumberFormat="1" applyFont="1" applyFill="1" applyBorder="1" applyAlignment="1">
      <alignment horizontal="center" vertical="top"/>
    </xf>
    <xf numFmtId="165" fontId="2" fillId="7" borderId="33" xfId="0" applyNumberFormat="1" applyFont="1" applyFill="1" applyBorder="1" applyAlignment="1">
      <alignment vertical="top" wrapText="1"/>
    </xf>
    <xf numFmtId="165" fontId="1" fillId="0" borderId="12" xfId="0" applyNumberFormat="1" applyFont="1" applyBorder="1" applyAlignment="1">
      <alignment horizontal="center" vertical="top" wrapText="1"/>
    </xf>
    <xf numFmtId="165" fontId="1" fillId="7" borderId="62" xfId="0" applyNumberFormat="1" applyFont="1" applyFill="1" applyBorder="1" applyAlignment="1">
      <alignment vertical="top" wrapText="1"/>
    </xf>
    <xf numFmtId="49" fontId="2" fillId="9" borderId="13" xfId="0" applyNumberFormat="1" applyFont="1" applyFill="1" applyBorder="1" applyAlignment="1">
      <alignment horizontal="center" vertical="top"/>
    </xf>
    <xf numFmtId="165" fontId="2" fillId="2" borderId="45" xfId="0" applyNumberFormat="1" applyFont="1" applyFill="1" applyBorder="1" applyAlignment="1">
      <alignment horizontal="center" vertical="top"/>
    </xf>
    <xf numFmtId="165" fontId="2" fillId="2" borderId="33" xfId="0" applyNumberFormat="1" applyFont="1" applyFill="1" applyBorder="1" applyAlignment="1">
      <alignment horizontal="center" vertical="top"/>
    </xf>
    <xf numFmtId="165" fontId="2" fillId="2" borderId="58" xfId="0" applyNumberFormat="1" applyFont="1" applyFill="1" applyBorder="1" applyAlignment="1">
      <alignment horizontal="center" vertical="top"/>
    </xf>
    <xf numFmtId="165" fontId="1" fillId="8" borderId="20" xfId="0" applyNumberFormat="1" applyFont="1" applyFill="1" applyBorder="1" applyAlignment="1">
      <alignment horizontal="center" vertical="top"/>
    </xf>
    <xf numFmtId="165" fontId="2" fillId="5" borderId="20" xfId="0" applyNumberFormat="1" applyFont="1" applyFill="1" applyBorder="1" applyAlignment="1">
      <alignment horizontal="center" vertical="top"/>
    </xf>
    <xf numFmtId="165" fontId="2" fillId="4" borderId="50" xfId="0" applyNumberFormat="1" applyFont="1" applyFill="1" applyBorder="1" applyAlignment="1">
      <alignment horizontal="center" vertical="top"/>
    </xf>
    <xf numFmtId="165" fontId="1" fillId="7" borderId="68" xfId="0" applyNumberFormat="1" applyFont="1" applyFill="1" applyBorder="1" applyAlignment="1">
      <alignment horizontal="left" vertical="top" wrapText="1"/>
    </xf>
    <xf numFmtId="165" fontId="5" fillId="7" borderId="23" xfId="0" applyNumberFormat="1" applyFont="1" applyFill="1" applyBorder="1" applyAlignment="1">
      <alignment horizontal="center" vertical="center" wrapText="1"/>
    </xf>
    <xf numFmtId="165" fontId="5" fillId="7" borderId="15" xfId="0" applyNumberFormat="1" applyFont="1" applyFill="1" applyBorder="1" applyAlignment="1">
      <alignment horizontal="center" wrapText="1"/>
    </xf>
    <xf numFmtId="49" fontId="2" fillId="9" borderId="28" xfId="0" applyNumberFormat="1" applyFont="1" applyFill="1" applyBorder="1" applyAlignment="1">
      <alignment horizontal="center" vertical="top"/>
    </xf>
    <xf numFmtId="165" fontId="2" fillId="8" borderId="45" xfId="0" applyNumberFormat="1" applyFont="1" applyFill="1" applyBorder="1" applyAlignment="1">
      <alignment horizontal="center" vertical="top"/>
    </xf>
    <xf numFmtId="165" fontId="2" fillId="8" borderId="21" xfId="0" applyNumberFormat="1" applyFont="1" applyFill="1" applyBorder="1" applyAlignment="1">
      <alignment horizontal="center" vertical="top"/>
    </xf>
    <xf numFmtId="165" fontId="2" fillId="8" borderId="9" xfId="0" applyNumberFormat="1" applyFont="1" applyFill="1" applyBorder="1" applyAlignment="1">
      <alignment vertical="top"/>
    </xf>
    <xf numFmtId="165" fontId="2" fillId="8" borderId="39" xfId="0" applyNumberFormat="1" applyFont="1" applyFill="1" applyBorder="1" applyAlignment="1">
      <alignment vertical="top"/>
    </xf>
    <xf numFmtId="49" fontId="2" fillId="8" borderId="26" xfId="0" applyNumberFormat="1" applyFont="1" applyFill="1" applyBorder="1" applyAlignment="1">
      <alignment horizontal="center" vertical="top"/>
    </xf>
    <xf numFmtId="165" fontId="2" fillId="8" borderId="39" xfId="0" applyNumberFormat="1" applyFont="1" applyFill="1" applyBorder="1" applyAlignment="1">
      <alignment horizontal="center" vertical="top"/>
    </xf>
    <xf numFmtId="165" fontId="1" fillId="7" borderId="12" xfId="0" applyNumberFormat="1" applyFont="1" applyFill="1" applyBorder="1" applyAlignment="1">
      <alignment horizontal="center" vertical="top" wrapText="1"/>
    </xf>
    <xf numFmtId="165" fontId="1" fillId="7" borderId="62" xfId="0" applyNumberFormat="1" applyFont="1" applyFill="1" applyBorder="1" applyAlignment="1">
      <alignment horizontal="left" vertical="top" wrapText="1"/>
    </xf>
    <xf numFmtId="165" fontId="2" fillId="7" borderId="32" xfId="0" applyNumberFormat="1" applyFont="1" applyFill="1" applyBorder="1" applyAlignment="1">
      <alignment horizontal="center" vertical="top"/>
    </xf>
    <xf numFmtId="49" fontId="2" fillId="8" borderId="21" xfId="0" applyNumberFormat="1" applyFont="1" applyFill="1" applyBorder="1" applyAlignment="1">
      <alignment horizontal="center" vertical="top"/>
    </xf>
    <xf numFmtId="165" fontId="1" fillId="7" borderId="20" xfId="0" applyNumberFormat="1" applyFont="1" applyFill="1" applyBorder="1" applyAlignment="1">
      <alignment horizontal="center" vertical="center"/>
    </xf>
    <xf numFmtId="165" fontId="2" fillId="7" borderId="46" xfId="0" applyNumberFormat="1" applyFont="1" applyFill="1" applyBorder="1" applyAlignment="1">
      <alignment horizontal="center" vertical="top" wrapText="1"/>
    </xf>
    <xf numFmtId="165" fontId="2" fillId="8" borderId="19" xfId="0" applyNumberFormat="1" applyFont="1" applyFill="1" applyBorder="1" applyAlignment="1">
      <alignment horizontal="center" vertical="top" wrapText="1"/>
    </xf>
    <xf numFmtId="165" fontId="2" fillId="5" borderId="8" xfId="0" applyNumberFormat="1" applyFont="1" applyFill="1" applyBorder="1" applyAlignment="1">
      <alignment horizontal="center" vertical="top" wrapText="1"/>
    </xf>
    <xf numFmtId="0" fontId="1" fillId="7" borderId="6" xfId="0" applyFont="1" applyFill="1" applyBorder="1" applyAlignment="1">
      <alignment horizontal="center" vertical="top"/>
    </xf>
    <xf numFmtId="0" fontId="1" fillId="7" borderId="20" xfId="0" applyFont="1" applyFill="1" applyBorder="1" applyAlignment="1">
      <alignment horizontal="center" vertical="top"/>
    </xf>
    <xf numFmtId="0" fontId="1" fillId="7" borderId="62" xfId="0" applyFont="1" applyFill="1" applyBorder="1" applyAlignment="1">
      <alignment vertical="top" wrapText="1"/>
    </xf>
    <xf numFmtId="165" fontId="1" fillId="7" borderId="64" xfId="0" applyNumberFormat="1" applyFont="1" applyFill="1" applyBorder="1" applyAlignment="1">
      <alignment vertical="top" wrapText="1"/>
    </xf>
    <xf numFmtId="165" fontId="2" fillId="9" borderId="7" xfId="0" applyNumberFormat="1" applyFont="1" applyFill="1" applyBorder="1" applyAlignment="1">
      <alignment horizontal="center" vertical="top"/>
    </xf>
    <xf numFmtId="165" fontId="2" fillId="2" borderId="25" xfId="0" applyNumberFormat="1" applyFont="1" applyFill="1" applyBorder="1" applyAlignment="1">
      <alignment horizontal="center" vertical="top"/>
    </xf>
    <xf numFmtId="165" fontId="5" fillId="7" borderId="15" xfId="0" applyNumberFormat="1" applyFont="1" applyFill="1" applyBorder="1" applyAlignment="1">
      <alignment vertical="top" wrapText="1"/>
    </xf>
    <xf numFmtId="49" fontId="2" fillId="8" borderId="39" xfId="0" applyNumberFormat="1" applyFont="1" applyFill="1" applyBorder="1" applyAlignment="1">
      <alignment horizontal="center" vertical="top"/>
    </xf>
    <xf numFmtId="0" fontId="1" fillId="7" borderId="15" xfId="0" applyFont="1" applyFill="1" applyBorder="1" applyAlignment="1">
      <alignment horizontal="center" vertical="top"/>
    </xf>
    <xf numFmtId="165" fontId="1" fillId="8" borderId="14" xfId="0" applyNumberFormat="1" applyFont="1" applyFill="1" applyBorder="1" applyAlignment="1">
      <alignment horizontal="center" vertical="top" wrapText="1"/>
    </xf>
    <xf numFmtId="165" fontId="1" fillId="8" borderId="19"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0" borderId="0" xfId="0" applyNumberFormat="1" applyFont="1" applyAlignment="1">
      <alignment horizontal="center" vertical="top"/>
    </xf>
    <xf numFmtId="165" fontId="2" fillId="7" borderId="15" xfId="0" applyNumberFormat="1" applyFont="1" applyFill="1" applyBorder="1" applyAlignment="1">
      <alignment horizontal="center" vertical="top"/>
    </xf>
    <xf numFmtId="165" fontId="1" fillId="7" borderId="19" xfId="0" applyNumberFormat="1" applyFont="1" applyFill="1" applyBorder="1" applyAlignment="1">
      <alignment horizontal="center" vertical="top"/>
    </xf>
    <xf numFmtId="49" fontId="2" fillId="2" borderId="21" xfId="0" applyNumberFormat="1" applyFont="1" applyFill="1" applyBorder="1" applyAlignment="1">
      <alignment horizontal="center" vertical="top"/>
    </xf>
    <xf numFmtId="165" fontId="2" fillId="9" borderId="3"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49" fontId="2" fillId="7" borderId="21" xfId="0" applyNumberFormat="1" applyFont="1" applyFill="1" applyBorder="1" applyAlignment="1">
      <alignment horizontal="center" vertical="top"/>
    </xf>
    <xf numFmtId="49" fontId="2" fillId="2" borderId="39" xfId="0" applyNumberFormat="1" applyFont="1" applyFill="1" applyBorder="1" applyAlignment="1">
      <alignment horizontal="center" vertical="top"/>
    </xf>
    <xf numFmtId="49" fontId="2" fillId="9" borderId="3"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165" fontId="5" fillId="7" borderId="15" xfId="0" applyNumberFormat="1" applyFont="1" applyFill="1" applyBorder="1" applyAlignment="1">
      <alignment horizontal="center" vertical="center" wrapText="1"/>
    </xf>
    <xf numFmtId="165" fontId="1" fillId="0" borderId="15" xfId="0" applyNumberFormat="1" applyFont="1" applyBorder="1" applyAlignment="1">
      <alignment horizontal="center" vertical="top" wrapText="1"/>
    </xf>
    <xf numFmtId="0" fontId="1" fillId="0" borderId="0" xfId="0" applyNumberFormat="1" applyFont="1" applyAlignment="1">
      <alignment vertical="top"/>
    </xf>
    <xf numFmtId="3" fontId="1" fillId="7" borderId="31"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74" xfId="0" applyNumberFormat="1" applyFont="1" applyFill="1" applyBorder="1" applyAlignment="1">
      <alignment horizontal="center" vertical="top"/>
    </xf>
    <xf numFmtId="49" fontId="1" fillId="7" borderId="31" xfId="0" applyNumberFormat="1" applyFont="1" applyFill="1" applyBorder="1" applyAlignment="1">
      <alignment horizontal="center" vertical="top"/>
    </xf>
    <xf numFmtId="165" fontId="1" fillId="0" borderId="53" xfId="0" applyNumberFormat="1" applyFont="1" applyBorder="1" applyAlignment="1">
      <alignment vertical="top"/>
    </xf>
    <xf numFmtId="3" fontId="1" fillId="0" borderId="35" xfId="0" applyNumberFormat="1" applyFont="1" applyFill="1" applyBorder="1" applyAlignment="1">
      <alignment horizontal="center" vertical="top"/>
    </xf>
    <xf numFmtId="165" fontId="2" fillId="7" borderId="59" xfId="0" applyNumberFormat="1" applyFont="1" applyFill="1" applyBorder="1" applyAlignment="1">
      <alignment horizontal="center" vertical="top" wrapText="1"/>
    </xf>
    <xf numFmtId="165" fontId="1" fillId="8" borderId="1" xfId="0" applyNumberFormat="1" applyFont="1" applyFill="1" applyBorder="1" applyAlignment="1">
      <alignment vertical="top" wrapText="1"/>
    </xf>
    <xf numFmtId="165" fontId="1" fillId="7" borderId="66" xfId="0" applyNumberFormat="1" applyFont="1" applyFill="1" applyBorder="1" applyAlignment="1">
      <alignment vertical="top" wrapText="1"/>
    </xf>
    <xf numFmtId="0" fontId="2" fillId="0" borderId="0" xfId="0" applyFont="1" applyAlignment="1">
      <alignment vertical="center"/>
    </xf>
    <xf numFmtId="165" fontId="9" fillId="7" borderId="9" xfId="0" applyNumberFormat="1" applyFont="1" applyFill="1" applyBorder="1" applyAlignment="1">
      <alignment horizontal="center" vertical="center" textRotation="90" wrapText="1"/>
    </xf>
    <xf numFmtId="0" fontId="2" fillId="0" borderId="0" xfId="0" applyFont="1" applyAlignment="1">
      <alignment horizontal="center" vertical="center"/>
    </xf>
    <xf numFmtId="165" fontId="1" fillId="7" borderId="23" xfId="0" applyNumberFormat="1" applyFont="1" applyFill="1" applyBorder="1" applyAlignment="1">
      <alignment wrapText="1"/>
    </xf>
    <xf numFmtId="165" fontId="5" fillId="7" borderId="23" xfId="0" applyNumberFormat="1" applyFont="1" applyFill="1" applyBorder="1" applyAlignment="1">
      <alignment vertical="top" wrapText="1"/>
    </xf>
    <xf numFmtId="165" fontId="1" fillId="7" borderId="15" xfId="0" applyNumberFormat="1" applyFont="1" applyFill="1" applyBorder="1" applyAlignment="1">
      <alignment vertical="top" wrapText="1"/>
    </xf>
    <xf numFmtId="165" fontId="1" fillId="7" borderId="23" xfId="0" applyNumberFormat="1" applyFont="1" applyFill="1" applyBorder="1" applyAlignment="1">
      <alignment vertical="top" wrapText="1"/>
    </xf>
    <xf numFmtId="49" fontId="1" fillId="0" borderId="9" xfId="0" applyNumberFormat="1" applyFont="1" applyFill="1" applyBorder="1" applyAlignment="1">
      <alignment horizontal="left" vertical="top" wrapText="1"/>
    </xf>
    <xf numFmtId="49" fontId="1" fillId="7" borderId="17" xfId="0" applyNumberFormat="1" applyFont="1" applyFill="1" applyBorder="1" applyAlignment="1">
      <alignment horizontal="center" vertical="top"/>
    </xf>
    <xf numFmtId="49" fontId="1" fillId="7" borderId="29" xfId="0" applyNumberFormat="1" applyFont="1" applyFill="1" applyBorder="1" applyAlignment="1">
      <alignment horizontal="center" vertical="top"/>
    </xf>
    <xf numFmtId="49" fontId="1" fillId="7" borderId="9" xfId="0" applyNumberFormat="1" applyFont="1" applyFill="1" applyBorder="1" applyAlignment="1">
      <alignment horizontal="center" vertical="top"/>
    </xf>
    <xf numFmtId="49" fontId="1" fillId="7" borderId="24"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3" fontId="1" fillId="7" borderId="73" xfId="0" applyNumberFormat="1" applyFont="1" applyFill="1" applyBorder="1" applyAlignment="1">
      <alignment horizontal="center" vertical="top"/>
    </xf>
    <xf numFmtId="165" fontId="1" fillId="7" borderId="16" xfId="0" applyNumberFormat="1" applyFont="1" applyFill="1" applyBorder="1" applyAlignment="1">
      <alignment horizontal="center" vertical="top"/>
    </xf>
    <xf numFmtId="49" fontId="2" fillId="7" borderId="1"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77" xfId="0" applyNumberFormat="1" applyFont="1" applyFill="1" applyBorder="1" applyAlignment="1">
      <alignment horizontal="center" vertical="top"/>
    </xf>
    <xf numFmtId="165" fontId="1" fillId="7" borderId="36" xfId="0" applyNumberFormat="1" applyFont="1" applyFill="1" applyBorder="1" applyAlignment="1">
      <alignment horizontal="center" vertical="top"/>
    </xf>
    <xf numFmtId="165" fontId="1" fillId="7" borderId="46" xfId="0" applyNumberFormat="1" applyFont="1" applyFill="1" applyBorder="1" applyAlignment="1">
      <alignment horizontal="center" vertical="top"/>
    </xf>
    <xf numFmtId="165" fontId="1" fillId="7" borderId="81" xfId="0" applyNumberFormat="1" applyFont="1" applyFill="1" applyBorder="1" applyAlignment="1">
      <alignment horizontal="center" vertical="top"/>
    </xf>
    <xf numFmtId="165" fontId="1" fillId="7" borderId="78" xfId="0" applyNumberFormat="1" applyFont="1" applyFill="1" applyBorder="1" applyAlignment="1">
      <alignment horizontal="center" vertical="top"/>
    </xf>
    <xf numFmtId="165" fontId="1" fillId="7" borderId="59" xfId="0" applyNumberFormat="1" applyFont="1" applyFill="1" applyBorder="1" applyAlignment="1">
      <alignment vertical="top"/>
    </xf>
    <xf numFmtId="165" fontId="1" fillId="7" borderId="59" xfId="1" applyNumberFormat="1" applyFont="1" applyFill="1" applyBorder="1" applyAlignment="1">
      <alignment horizontal="center" vertical="top"/>
    </xf>
    <xf numFmtId="165" fontId="1" fillId="8" borderId="48" xfId="0" applyNumberFormat="1" applyFont="1" applyFill="1" applyBorder="1" applyAlignment="1">
      <alignment horizontal="center" vertical="top"/>
    </xf>
    <xf numFmtId="165" fontId="1" fillId="7" borderId="59" xfId="0" applyNumberFormat="1" applyFont="1" applyFill="1" applyBorder="1" applyAlignment="1">
      <alignment horizontal="center" vertical="center"/>
    </xf>
    <xf numFmtId="165" fontId="1" fillId="7" borderId="70"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165" fontId="2" fillId="8" borderId="82" xfId="0" applyNumberFormat="1" applyFont="1" applyFill="1" applyBorder="1" applyAlignment="1">
      <alignment horizontal="center" vertical="top"/>
    </xf>
    <xf numFmtId="165" fontId="1" fillId="7" borderId="38" xfId="0" applyNumberFormat="1" applyFont="1" applyFill="1" applyBorder="1" applyAlignment="1">
      <alignment horizontal="center" vertical="top"/>
    </xf>
    <xf numFmtId="165" fontId="1" fillId="7" borderId="57" xfId="0" applyNumberFormat="1" applyFont="1" applyFill="1" applyBorder="1" applyAlignment="1">
      <alignment vertical="top"/>
    </xf>
    <xf numFmtId="165" fontId="1" fillId="7" borderId="46" xfId="0" applyNumberFormat="1" applyFont="1" applyFill="1" applyBorder="1" applyAlignment="1">
      <alignment horizontal="center" vertical="center"/>
    </xf>
    <xf numFmtId="165" fontId="2" fillId="2" borderId="54" xfId="0" applyNumberFormat="1" applyFont="1" applyFill="1" applyBorder="1" applyAlignment="1">
      <alignment horizontal="center" vertical="top"/>
    </xf>
    <xf numFmtId="165" fontId="1" fillId="7" borderId="57" xfId="0" applyNumberFormat="1" applyFont="1" applyFill="1" applyBorder="1" applyAlignment="1">
      <alignment horizontal="center" vertical="top"/>
    </xf>
    <xf numFmtId="0" fontId="2" fillId="7" borderId="17" xfId="0" applyFont="1" applyFill="1" applyBorder="1" applyAlignment="1">
      <alignment horizontal="center" vertical="top" wrapText="1"/>
    </xf>
    <xf numFmtId="0" fontId="2" fillId="7" borderId="9" xfId="0" applyFont="1" applyFill="1" applyBorder="1" applyAlignment="1">
      <alignment horizontal="center" vertical="top" wrapText="1"/>
    </xf>
    <xf numFmtId="49" fontId="2" fillId="7" borderId="17" xfId="0" applyNumberFormat="1" applyFont="1" applyFill="1" applyBorder="1" applyAlignment="1">
      <alignment horizontal="center" vertical="top" wrapText="1"/>
    </xf>
    <xf numFmtId="3" fontId="1" fillId="7" borderId="69" xfId="0" applyNumberFormat="1" applyFont="1" applyFill="1" applyBorder="1" applyAlignment="1">
      <alignment horizontal="center" vertical="top"/>
    </xf>
    <xf numFmtId="49" fontId="2" fillId="7" borderId="24" xfId="0" applyNumberFormat="1" applyFont="1" applyFill="1" applyBorder="1" applyAlignment="1">
      <alignment vertical="top"/>
    </xf>
    <xf numFmtId="49" fontId="1" fillId="8" borderId="9" xfId="0" applyNumberFormat="1" applyFont="1" applyFill="1" applyBorder="1" applyAlignment="1">
      <alignment horizontal="center" vertical="top"/>
    </xf>
    <xf numFmtId="165" fontId="1" fillId="7" borderId="1" xfId="0" applyNumberFormat="1" applyFont="1" applyFill="1" applyBorder="1" applyAlignment="1">
      <alignment vertical="top" wrapText="1"/>
    </xf>
    <xf numFmtId="165" fontId="1" fillId="0" borderId="0" xfId="0" applyNumberFormat="1" applyFont="1" applyFill="1" applyBorder="1" applyAlignment="1">
      <alignment horizontal="left" vertical="top"/>
    </xf>
    <xf numFmtId="165" fontId="1" fillId="7" borderId="79" xfId="0" applyNumberFormat="1" applyFont="1" applyFill="1" applyBorder="1" applyAlignment="1">
      <alignment horizontal="center" vertical="top"/>
    </xf>
    <xf numFmtId="165" fontId="2" fillId="8" borderId="85" xfId="0" applyNumberFormat="1" applyFont="1" applyFill="1" applyBorder="1" applyAlignment="1">
      <alignment horizontal="center" vertical="top"/>
    </xf>
    <xf numFmtId="0" fontId="1" fillId="7" borderId="4" xfId="0" applyFont="1" applyFill="1" applyBorder="1" applyAlignment="1">
      <alignment horizontal="center" vertical="top"/>
    </xf>
    <xf numFmtId="165" fontId="1" fillId="7" borderId="67" xfId="0" applyNumberFormat="1" applyFont="1" applyFill="1" applyBorder="1" applyAlignment="1">
      <alignment horizontal="center" vertical="top"/>
    </xf>
    <xf numFmtId="0" fontId="1" fillId="0" borderId="24" xfId="0" applyFont="1" applyBorder="1" applyAlignment="1">
      <alignment vertical="top"/>
    </xf>
    <xf numFmtId="165" fontId="2" fillId="7" borderId="0" xfId="0" applyNumberFormat="1" applyFont="1" applyFill="1" applyBorder="1" applyAlignment="1">
      <alignment horizontal="center" vertical="top" wrapText="1"/>
    </xf>
    <xf numFmtId="0" fontId="16" fillId="7" borderId="1" xfId="0" applyFont="1" applyFill="1" applyBorder="1" applyAlignment="1">
      <alignment vertical="top" wrapText="1"/>
    </xf>
    <xf numFmtId="165" fontId="1" fillId="7" borderId="84" xfId="0" applyNumberFormat="1" applyFont="1" applyFill="1" applyBorder="1" applyAlignment="1">
      <alignment horizontal="center" vertical="top" wrapText="1"/>
    </xf>
    <xf numFmtId="0" fontId="5" fillId="7" borderId="22" xfId="0" applyFont="1" applyFill="1" applyBorder="1" applyAlignment="1">
      <alignment horizontal="center" vertical="top"/>
    </xf>
    <xf numFmtId="0" fontId="1" fillId="7" borderId="9" xfId="0" applyFont="1" applyFill="1" applyBorder="1" applyAlignment="1">
      <alignment horizontal="center" vertical="center"/>
    </xf>
    <xf numFmtId="0" fontId="16" fillId="7" borderId="9" xfId="0" applyFont="1" applyFill="1" applyBorder="1" applyAlignment="1">
      <alignment vertical="top" wrapText="1"/>
    </xf>
    <xf numFmtId="165" fontId="1" fillId="7" borderId="79" xfId="0" applyNumberFormat="1" applyFont="1" applyFill="1" applyBorder="1" applyAlignment="1">
      <alignment horizontal="left" vertical="top" wrapText="1"/>
    </xf>
    <xf numFmtId="165" fontId="2" fillId="7" borderId="9" xfId="0" applyNumberFormat="1" applyFont="1" applyFill="1" applyBorder="1" applyAlignment="1">
      <alignment horizontal="center" vertical="center" textRotation="90" wrapText="1"/>
    </xf>
    <xf numFmtId="165" fontId="2" fillId="7" borderId="24" xfId="0" applyNumberFormat="1" applyFont="1" applyFill="1" applyBorder="1" applyAlignment="1">
      <alignment horizontal="center" vertical="center" textRotation="90" wrapText="1"/>
    </xf>
    <xf numFmtId="0" fontId="9" fillId="7" borderId="9" xfId="0" applyFont="1" applyFill="1" applyBorder="1" applyAlignment="1">
      <alignment horizontal="center" vertical="top" wrapText="1"/>
    </xf>
    <xf numFmtId="0" fontId="11" fillId="0" borderId="0" xfId="0" applyFont="1" applyFill="1" applyAlignment="1">
      <alignment vertical="top" wrapText="1"/>
    </xf>
    <xf numFmtId="165" fontId="2" fillId="7" borderId="17" xfId="0" applyNumberFormat="1" applyFont="1" applyFill="1" applyBorder="1" applyAlignment="1">
      <alignment horizontal="center" vertical="center" wrapText="1"/>
    </xf>
    <xf numFmtId="0" fontId="1" fillId="7" borderId="67" xfId="0" applyFont="1" applyFill="1" applyBorder="1" applyAlignment="1">
      <alignment horizontal="center" vertical="top"/>
    </xf>
    <xf numFmtId="0" fontId="1" fillId="7" borderId="31" xfId="0" applyFont="1" applyFill="1" applyBorder="1" applyAlignment="1">
      <alignment horizontal="center" vertical="top"/>
    </xf>
    <xf numFmtId="165" fontId="6" fillId="7" borderId="59"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center" textRotation="90" wrapText="1"/>
    </xf>
    <xf numFmtId="165" fontId="1" fillId="7" borderId="35" xfId="0" applyNumberFormat="1" applyFont="1" applyFill="1" applyBorder="1" applyAlignment="1">
      <alignment vertical="top" wrapText="1"/>
    </xf>
    <xf numFmtId="165" fontId="2" fillId="7" borderId="29" xfId="0" applyNumberFormat="1" applyFont="1" applyFill="1" applyBorder="1" applyAlignment="1">
      <alignment horizontal="center" vertical="center" textRotation="90" wrapText="1"/>
    </xf>
    <xf numFmtId="165" fontId="2" fillId="7" borderId="66" xfId="0" applyNumberFormat="1" applyFont="1" applyFill="1" applyBorder="1" applyAlignment="1">
      <alignment horizontal="center" vertical="top" wrapText="1"/>
    </xf>
    <xf numFmtId="165" fontId="2" fillId="8" borderId="9" xfId="0" applyNumberFormat="1" applyFont="1" applyFill="1" applyBorder="1" applyAlignment="1">
      <alignment horizontal="center" vertical="top" wrapText="1"/>
    </xf>
    <xf numFmtId="165" fontId="1" fillId="7" borderId="9" xfId="0" applyNumberFormat="1" applyFont="1" applyFill="1" applyBorder="1" applyAlignment="1">
      <alignment horizontal="center" vertical="top"/>
    </xf>
    <xf numFmtId="165" fontId="1" fillId="7" borderId="60" xfId="0" applyNumberFormat="1" applyFont="1" applyFill="1" applyBorder="1" applyAlignment="1">
      <alignment horizontal="center" vertical="top"/>
    </xf>
    <xf numFmtId="49" fontId="1" fillId="7" borderId="9" xfId="0" applyNumberFormat="1" applyFont="1" applyFill="1" applyBorder="1" applyAlignment="1">
      <alignment horizontal="center" vertical="top" wrapText="1"/>
    </xf>
    <xf numFmtId="0" fontId="1" fillId="0" borderId="4" xfId="0" applyFont="1" applyBorder="1" applyAlignment="1">
      <alignment vertical="top"/>
    </xf>
    <xf numFmtId="165" fontId="1" fillId="7" borderId="29" xfId="0" applyNumberFormat="1" applyFont="1" applyFill="1" applyBorder="1" applyAlignment="1">
      <alignment horizontal="left" vertical="top" wrapText="1"/>
    </xf>
    <xf numFmtId="165" fontId="1" fillId="7" borderId="65" xfId="0" applyNumberFormat="1" applyFont="1" applyFill="1" applyBorder="1" applyAlignment="1">
      <alignment horizontal="center" vertical="top"/>
    </xf>
    <xf numFmtId="0" fontId="1" fillId="0" borderId="20" xfId="0" applyFont="1" applyBorder="1" applyAlignment="1">
      <alignment vertical="top"/>
    </xf>
    <xf numFmtId="165" fontId="2" fillId="9" borderId="86" xfId="0" applyNumberFormat="1" applyFont="1" applyFill="1" applyBorder="1" applyAlignment="1">
      <alignment horizontal="center" vertical="top"/>
    </xf>
    <xf numFmtId="165" fontId="2" fillId="5" borderId="86" xfId="0" applyNumberFormat="1" applyFont="1" applyFill="1" applyBorder="1" applyAlignment="1">
      <alignment horizontal="center" vertical="top"/>
    </xf>
    <xf numFmtId="0" fontId="1" fillId="0" borderId="0" xfId="0" applyFont="1" applyAlignment="1">
      <alignment vertical="center"/>
    </xf>
    <xf numFmtId="165" fontId="2" fillId="7" borderId="21" xfId="0" applyNumberFormat="1" applyFont="1" applyFill="1" applyBorder="1" applyAlignment="1">
      <alignment vertical="top" wrapText="1"/>
    </xf>
    <xf numFmtId="165" fontId="6" fillId="7" borderId="21" xfId="0" applyNumberFormat="1" applyFont="1" applyFill="1" applyBorder="1" applyAlignment="1">
      <alignment horizontal="center" vertical="top" wrapText="1"/>
    </xf>
    <xf numFmtId="49" fontId="2" fillId="7" borderId="87" xfId="0" applyNumberFormat="1" applyFont="1" applyFill="1" applyBorder="1" applyAlignment="1">
      <alignment horizontal="center" vertical="top"/>
    </xf>
    <xf numFmtId="49" fontId="2" fillId="7" borderId="82" xfId="0" applyNumberFormat="1" applyFont="1" applyFill="1" applyBorder="1" applyAlignment="1">
      <alignment horizontal="center" vertical="top"/>
    </xf>
    <xf numFmtId="0" fontId="5" fillId="7" borderId="26" xfId="0" applyFont="1" applyFill="1" applyBorder="1" applyAlignment="1">
      <alignment vertical="top" wrapText="1"/>
    </xf>
    <xf numFmtId="0" fontId="9" fillId="7" borderId="82" xfId="0" applyFont="1" applyFill="1" applyBorder="1" applyAlignment="1">
      <alignment horizontal="center" textRotation="90" wrapText="1"/>
    </xf>
    <xf numFmtId="0" fontId="5" fillId="7" borderId="26" xfId="0" applyFont="1" applyFill="1" applyBorder="1" applyAlignment="1">
      <alignment horizontal="center" vertical="top"/>
    </xf>
    <xf numFmtId="165" fontId="1" fillId="7" borderId="53" xfId="0" applyNumberFormat="1" applyFont="1" applyFill="1" applyBorder="1" applyAlignment="1">
      <alignment horizontal="center" vertical="top"/>
    </xf>
    <xf numFmtId="3" fontId="1" fillId="7" borderId="76" xfId="0" applyNumberFormat="1" applyFont="1" applyFill="1" applyBorder="1" applyAlignment="1">
      <alignment horizontal="center" vertical="top"/>
    </xf>
    <xf numFmtId="3" fontId="4" fillId="7" borderId="47" xfId="0" applyNumberFormat="1" applyFont="1" applyFill="1" applyBorder="1" applyAlignment="1">
      <alignment horizontal="center" vertical="top" wrapText="1"/>
    </xf>
    <xf numFmtId="165" fontId="1" fillId="7" borderId="76" xfId="0" applyNumberFormat="1" applyFont="1" applyFill="1" applyBorder="1" applyAlignment="1">
      <alignment horizontal="center" vertical="top"/>
    </xf>
    <xf numFmtId="165" fontId="1" fillId="7" borderId="75" xfId="0" applyNumberFormat="1" applyFont="1" applyFill="1" applyBorder="1" applyAlignment="1">
      <alignment horizontal="center" vertical="top"/>
    </xf>
    <xf numFmtId="0" fontId="2" fillId="0" borderId="57" xfId="0" applyNumberFormat="1" applyFont="1" applyBorder="1" applyAlignment="1">
      <alignment vertical="top"/>
    </xf>
    <xf numFmtId="0" fontId="1" fillId="0" borderId="57" xfId="0" applyFont="1" applyFill="1" applyBorder="1" applyAlignment="1">
      <alignment horizontal="center" vertical="top"/>
    </xf>
    <xf numFmtId="3" fontId="1" fillId="0" borderId="57" xfId="0" applyNumberFormat="1" applyFont="1" applyFill="1" applyBorder="1" applyAlignment="1">
      <alignment vertical="top"/>
    </xf>
    <xf numFmtId="165" fontId="1" fillId="0" borderId="0" xfId="0" applyNumberFormat="1" applyFont="1" applyAlignment="1">
      <alignment horizontal="center" vertical="top"/>
    </xf>
    <xf numFmtId="165" fontId="1" fillId="7" borderId="17" xfId="0" applyNumberFormat="1" applyFont="1" applyFill="1" applyBorder="1" applyAlignment="1">
      <alignment horizontal="left" vertical="top" wrapText="1"/>
    </xf>
    <xf numFmtId="0" fontId="5" fillId="7" borderId="9" xfId="0" applyFont="1" applyFill="1" applyBorder="1" applyAlignment="1">
      <alignment vertical="top" wrapText="1"/>
    </xf>
    <xf numFmtId="165" fontId="1" fillId="7" borderId="39" xfId="0" applyNumberFormat="1" applyFont="1" applyFill="1" applyBorder="1" applyAlignment="1">
      <alignment horizontal="left" vertical="top" wrapText="1"/>
    </xf>
    <xf numFmtId="165" fontId="1" fillId="7" borderId="15" xfId="0" applyNumberFormat="1" applyFont="1" applyFill="1" applyBorder="1" applyAlignment="1">
      <alignment horizontal="center" vertical="top" wrapText="1"/>
    </xf>
    <xf numFmtId="165" fontId="1" fillId="7" borderId="9" xfId="0" applyNumberFormat="1" applyFont="1" applyFill="1" applyBorder="1" applyAlignment="1">
      <alignment vertical="top" wrapText="1"/>
    </xf>
    <xf numFmtId="165" fontId="1" fillId="7" borderId="9" xfId="0" applyNumberFormat="1" applyFont="1" applyFill="1" applyBorder="1" applyAlignment="1">
      <alignment horizontal="left" vertical="top" wrapText="1"/>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0" fontId="5" fillId="7" borderId="15" xfId="0" applyFont="1" applyFill="1" applyBorder="1" applyAlignment="1">
      <alignment horizontal="center"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0" fontId="1" fillId="7" borderId="18" xfId="0" applyFont="1" applyFill="1" applyBorder="1" applyAlignment="1">
      <alignment horizontal="center" vertical="top" wrapText="1"/>
    </xf>
    <xf numFmtId="165" fontId="1" fillId="7" borderId="15" xfId="0" applyNumberFormat="1" applyFont="1" applyFill="1" applyBorder="1" applyAlignment="1">
      <alignment horizontal="center" vertical="center" wrapText="1"/>
    </xf>
    <xf numFmtId="165" fontId="1" fillId="7" borderId="23" xfId="0" applyNumberFormat="1" applyFont="1" applyFill="1" applyBorder="1" applyAlignment="1">
      <alignment horizontal="center" vertical="top" wrapText="1"/>
    </xf>
    <xf numFmtId="165" fontId="1" fillId="7" borderId="39" xfId="0" applyNumberFormat="1" applyFont="1" applyFill="1" applyBorder="1" applyAlignment="1">
      <alignment vertical="top" wrapText="1"/>
    </xf>
    <xf numFmtId="165" fontId="1" fillId="7" borderId="70" xfId="0" applyNumberFormat="1" applyFont="1" applyFill="1" applyBorder="1" applyAlignment="1">
      <alignment horizontal="left" vertical="top" wrapText="1"/>
    </xf>
    <xf numFmtId="165" fontId="1" fillId="7" borderId="83" xfId="0" applyNumberFormat="1" applyFont="1" applyFill="1" applyBorder="1" applyAlignment="1">
      <alignment horizontal="center" vertical="top" wrapText="1"/>
    </xf>
    <xf numFmtId="165" fontId="1" fillId="7" borderId="61" xfId="0" applyNumberFormat="1" applyFont="1" applyFill="1" applyBorder="1" applyAlignment="1">
      <alignment horizontal="center" vertical="top" wrapText="1"/>
    </xf>
    <xf numFmtId="165" fontId="1" fillId="7" borderId="24" xfId="0" applyNumberFormat="1" applyFont="1" applyFill="1" applyBorder="1" applyAlignment="1">
      <alignmen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49" fontId="2" fillId="8" borderId="9" xfId="0" applyNumberFormat="1" applyFont="1" applyFill="1" applyBorder="1" applyAlignment="1">
      <alignment horizontal="center" vertical="top"/>
    </xf>
    <xf numFmtId="0" fontId="13" fillId="7" borderId="15" xfId="0" applyFont="1" applyFill="1" applyBorder="1" applyAlignment="1">
      <alignmen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20" xfId="0" applyFont="1" applyBorder="1" applyAlignment="1">
      <alignment horizontal="center" vertical="top"/>
    </xf>
    <xf numFmtId="165" fontId="2" fillId="8" borderId="0" xfId="0" applyNumberFormat="1" applyFont="1" applyFill="1" applyBorder="1" applyAlignment="1">
      <alignment vertical="top"/>
    </xf>
    <xf numFmtId="0" fontId="1" fillId="7" borderId="72" xfId="0" applyFont="1" applyFill="1" applyBorder="1" applyAlignment="1">
      <alignment horizontal="center" vertical="top"/>
    </xf>
    <xf numFmtId="165" fontId="1" fillId="7" borderId="72"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0" fontId="1" fillId="0" borderId="42" xfId="0" applyFont="1" applyBorder="1" applyAlignment="1">
      <alignment vertical="top"/>
    </xf>
    <xf numFmtId="0" fontId="1" fillId="0" borderId="35" xfId="0" applyFont="1" applyBorder="1" applyAlignment="1">
      <alignment vertical="top"/>
    </xf>
    <xf numFmtId="0" fontId="1" fillId="7" borderId="31" xfId="0" applyFont="1" applyFill="1" applyBorder="1" applyAlignment="1">
      <alignment vertical="top"/>
    </xf>
    <xf numFmtId="0" fontId="1" fillId="7" borderId="42" xfId="0" applyFont="1" applyFill="1" applyBorder="1" applyAlignment="1">
      <alignment vertical="top"/>
    </xf>
    <xf numFmtId="0" fontId="1" fillId="0" borderId="93" xfId="0" applyFont="1" applyBorder="1" applyAlignment="1">
      <alignment vertical="top"/>
    </xf>
    <xf numFmtId="0" fontId="1" fillId="7" borderId="93" xfId="0" applyFont="1" applyFill="1" applyBorder="1" applyAlignment="1">
      <alignment vertical="top"/>
    </xf>
    <xf numFmtId="3" fontId="1" fillId="7" borderId="73" xfId="0" applyNumberFormat="1" applyFont="1" applyFill="1" applyBorder="1" applyAlignment="1">
      <alignment horizontal="center" vertical="top" wrapText="1"/>
    </xf>
    <xf numFmtId="3" fontId="1" fillId="7" borderId="35" xfId="0" applyNumberFormat="1" applyFont="1" applyFill="1" applyBorder="1" applyAlignment="1">
      <alignment horizontal="center" vertical="top" wrapText="1"/>
    </xf>
    <xf numFmtId="3" fontId="1" fillId="7" borderId="77" xfId="0" applyNumberFormat="1" applyFont="1" applyFill="1" applyBorder="1" applyAlignment="1">
      <alignment horizontal="center" vertical="top" wrapText="1"/>
    </xf>
    <xf numFmtId="3" fontId="1" fillId="7" borderId="42"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xf>
    <xf numFmtId="3" fontId="1" fillId="7" borderId="84" xfId="0" applyNumberFormat="1" applyFont="1" applyFill="1" applyBorder="1" applyAlignment="1">
      <alignment horizontal="center" vertical="top"/>
    </xf>
    <xf numFmtId="3" fontId="1" fillId="7" borderId="63" xfId="0" applyNumberFormat="1" applyFont="1" applyFill="1" applyBorder="1" applyAlignment="1">
      <alignment horizontal="center" vertical="top"/>
    </xf>
    <xf numFmtId="3" fontId="1" fillId="7" borderId="42" xfId="1" applyNumberFormat="1" applyFont="1" applyFill="1" applyBorder="1" applyAlignment="1">
      <alignment horizontal="center" vertical="top" wrapText="1"/>
    </xf>
    <xf numFmtId="3" fontId="1" fillId="7" borderId="97" xfId="0" applyNumberFormat="1" applyFont="1" applyFill="1" applyBorder="1" applyAlignment="1">
      <alignment horizontal="center" vertical="top"/>
    </xf>
    <xf numFmtId="165" fontId="1" fillId="8" borderId="34" xfId="0" applyNumberFormat="1" applyFont="1" applyFill="1" applyBorder="1" applyAlignment="1">
      <alignment horizontal="center" vertical="top"/>
    </xf>
    <xf numFmtId="165" fontId="1" fillId="7" borderId="73"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3" fontId="1" fillId="7" borderId="23" xfId="0" applyNumberFormat="1" applyFont="1" applyFill="1" applyBorder="1" applyAlignment="1">
      <alignment horizontal="center" vertical="top"/>
    </xf>
    <xf numFmtId="3" fontId="1" fillId="7" borderId="83" xfId="0" applyNumberFormat="1" applyFont="1" applyFill="1" applyBorder="1" applyAlignment="1">
      <alignment horizontal="center" vertical="top"/>
    </xf>
    <xf numFmtId="165" fontId="1" fillId="7" borderId="31" xfId="0" applyNumberFormat="1" applyFont="1" applyFill="1" applyBorder="1" applyAlignment="1">
      <alignment vertical="top"/>
    </xf>
    <xf numFmtId="3" fontId="1" fillId="7" borderId="77" xfId="0" applyNumberFormat="1" applyFont="1" applyFill="1" applyBorder="1" applyAlignment="1">
      <alignment horizontal="center" vertical="top"/>
    </xf>
    <xf numFmtId="165" fontId="1" fillId="0" borderId="99" xfId="0" applyNumberFormat="1" applyFont="1" applyBorder="1" applyAlignment="1">
      <alignment vertical="top"/>
    </xf>
    <xf numFmtId="0" fontId="1" fillId="7" borderId="35" xfId="0" applyNumberFormat="1" applyFont="1" applyFill="1" applyBorder="1" applyAlignment="1">
      <alignment horizontal="center" vertical="top" wrapText="1"/>
    </xf>
    <xf numFmtId="0" fontId="1" fillId="7" borderId="31" xfId="0" applyNumberFormat="1" applyFont="1" applyFill="1" applyBorder="1" applyAlignment="1">
      <alignment horizontal="center" vertical="top"/>
    </xf>
    <xf numFmtId="0" fontId="1" fillId="0" borderId="5" xfId="0" applyFont="1" applyBorder="1" applyAlignment="1">
      <alignment vertical="top"/>
    </xf>
    <xf numFmtId="3" fontId="7" fillId="7" borderId="77" xfId="0" applyNumberFormat="1" applyFont="1" applyFill="1" applyBorder="1" applyAlignment="1">
      <alignment horizontal="center" vertical="top"/>
    </xf>
    <xf numFmtId="3" fontId="1" fillId="7" borderId="34" xfId="0" applyNumberFormat="1" applyFont="1" applyFill="1" applyBorder="1" applyAlignment="1">
      <alignment horizontal="center" vertical="top" wrapText="1"/>
    </xf>
    <xf numFmtId="165" fontId="1" fillId="7" borderId="47" xfId="0" applyNumberFormat="1" applyFont="1" applyFill="1" applyBorder="1" applyAlignment="1">
      <alignment horizontal="center" vertical="top"/>
    </xf>
    <xf numFmtId="165" fontId="1" fillId="7" borderId="90" xfId="0" applyNumberFormat="1" applyFont="1" applyFill="1" applyBorder="1" applyAlignment="1">
      <alignment horizontal="center" vertical="top"/>
    </xf>
    <xf numFmtId="3" fontId="1" fillId="7" borderId="35" xfId="0" applyNumberFormat="1" applyFont="1" applyFill="1" applyBorder="1" applyAlignment="1">
      <alignment vertical="top"/>
    </xf>
    <xf numFmtId="0" fontId="1" fillId="7" borderId="31" xfId="0" applyFont="1" applyFill="1" applyBorder="1" applyAlignment="1">
      <alignment horizontal="center" vertical="center"/>
    </xf>
    <xf numFmtId="0" fontId="1" fillId="7" borderId="35" xfId="0" applyFont="1" applyFill="1" applyBorder="1" applyAlignment="1">
      <alignment horizontal="center" vertical="center"/>
    </xf>
    <xf numFmtId="3" fontId="1" fillId="7" borderId="31" xfId="0" applyNumberFormat="1" applyFont="1" applyFill="1" applyBorder="1" applyAlignment="1">
      <alignment vertical="top"/>
    </xf>
    <xf numFmtId="3" fontId="2" fillId="0" borderId="0" xfId="0" applyNumberFormat="1" applyFont="1" applyFill="1" applyBorder="1" applyAlignment="1">
      <alignment horizontal="center" vertical="top"/>
    </xf>
    <xf numFmtId="0" fontId="1" fillId="0" borderId="0" xfId="0" applyFont="1" applyFill="1" applyBorder="1" applyAlignment="1">
      <alignment vertical="top"/>
    </xf>
    <xf numFmtId="165" fontId="2" fillId="9" borderId="5"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7" borderId="39" xfId="0" applyNumberFormat="1" applyFont="1" applyFill="1" applyBorder="1" applyAlignment="1">
      <alignment horizontal="center" vertical="top" wrapText="1"/>
    </xf>
    <xf numFmtId="49" fontId="2" fillId="8" borderId="0" xfId="0" applyNumberFormat="1" applyFont="1" applyFill="1" applyBorder="1" applyAlignment="1">
      <alignment horizontal="center" vertical="top"/>
    </xf>
    <xf numFmtId="0" fontId="1" fillId="0" borderId="0" xfId="0" applyFont="1" applyBorder="1" applyAlignment="1">
      <alignment horizontal="center" vertical="top"/>
    </xf>
    <xf numFmtId="49" fontId="2" fillId="0" borderId="0" xfId="0" applyNumberFormat="1" applyFont="1" applyBorder="1" applyAlignment="1">
      <alignment horizontal="center" vertical="top"/>
    </xf>
    <xf numFmtId="0" fontId="2" fillId="0" borderId="0" xfId="0" applyFont="1" applyBorder="1" applyAlignment="1">
      <alignment horizontal="center" vertical="center"/>
    </xf>
    <xf numFmtId="0" fontId="2" fillId="0" borderId="0" xfId="0" applyNumberFormat="1" applyFont="1" applyBorder="1" applyAlignment="1">
      <alignment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49" fontId="1" fillId="7" borderId="31"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165" fontId="2" fillId="7" borderId="24"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165" fontId="1" fillId="7" borderId="28"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0" fontId="1" fillId="0" borderId="26" xfId="0" applyFont="1" applyBorder="1" applyAlignment="1">
      <alignment vertical="top"/>
    </xf>
    <xf numFmtId="0" fontId="1" fillId="0" borderId="91" xfId="0" applyFont="1" applyBorder="1" applyAlignment="1">
      <alignment horizontal="center" vertical="center" textRotation="90"/>
    </xf>
    <xf numFmtId="0" fontId="1" fillId="0" borderId="88" xfId="0" applyFont="1" applyBorder="1" applyAlignment="1">
      <alignment horizontal="center" vertical="center" textRotation="90"/>
    </xf>
    <xf numFmtId="0" fontId="1" fillId="0" borderId="82" xfId="0" applyFont="1" applyBorder="1" applyAlignment="1">
      <alignment horizontal="center" vertical="center" textRotation="90"/>
    </xf>
    <xf numFmtId="165" fontId="1" fillId="7" borderId="105" xfId="0" applyNumberFormat="1" applyFont="1" applyFill="1" applyBorder="1" applyAlignment="1">
      <alignment horizontal="center" vertical="top"/>
    </xf>
    <xf numFmtId="0" fontId="1" fillId="0" borderId="38" xfId="0" applyFont="1" applyBorder="1" applyAlignment="1">
      <alignment horizontal="center" vertical="top"/>
    </xf>
    <xf numFmtId="165" fontId="1" fillId="7" borderId="106" xfId="0" applyNumberFormat="1" applyFont="1" applyFill="1" applyBorder="1" applyAlignment="1">
      <alignment horizontal="center" vertical="top"/>
    </xf>
    <xf numFmtId="165" fontId="1" fillId="7" borderId="5" xfId="0" applyNumberFormat="1" applyFont="1" applyFill="1" applyBorder="1" applyAlignment="1">
      <alignment horizontal="center" vertical="top"/>
    </xf>
    <xf numFmtId="165" fontId="1" fillId="7" borderId="62" xfId="0" applyNumberFormat="1" applyFont="1" applyFill="1" applyBorder="1" applyAlignment="1">
      <alignment horizontal="center" vertical="top"/>
    </xf>
    <xf numFmtId="165" fontId="1" fillId="7" borderId="24" xfId="0" applyNumberFormat="1" applyFont="1" applyFill="1" applyBorder="1" applyAlignment="1">
      <alignment horizontal="center" vertical="top"/>
    </xf>
    <xf numFmtId="0" fontId="1" fillId="7" borderId="92" xfId="0" applyFont="1" applyFill="1" applyBorder="1" applyAlignment="1">
      <alignment vertical="top"/>
    </xf>
    <xf numFmtId="3" fontId="1" fillId="7" borderId="5" xfId="0" applyNumberFormat="1" applyFont="1" applyFill="1" applyBorder="1" applyAlignment="1">
      <alignment horizontal="center" vertical="top"/>
    </xf>
    <xf numFmtId="3" fontId="1" fillId="7" borderId="94" xfId="0" applyNumberFormat="1" applyFont="1" applyFill="1" applyBorder="1" applyAlignment="1">
      <alignment horizontal="center" vertical="top"/>
    </xf>
    <xf numFmtId="3" fontId="1" fillId="7" borderId="92" xfId="0" applyNumberFormat="1" applyFont="1" applyFill="1" applyBorder="1" applyAlignment="1">
      <alignment horizontal="center" vertical="top"/>
    </xf>
    <xf numFmtId="3" fontId="1" fillId="7" borderId="93" xfId="0" applyNumberFormat="1" applyFont="1" applyFill="1" applyBorder="1" applyAlignment="1">
      <alignment horizontal="center" vertical="top"/>
    </xf>
    <xf numFmtId="49" fontId="1" fillId="7" borderId="5" xfId="0" applyNumberFormat="1" applyFont="1" applyFill="1" applyBorder="1" applyAlignment="1">
      <alignment horizontal="center" vertical="top"/>
    </xf>
    <xf numFmtId="0" fontId="1" fillId="7" borderId="17" xfId="0" applyFont="1" applyFill="1" applyBorder="1" applyAlignment="1">
      <alignment vertical="top"/>
    </xf>
    <xf numFmtId="0" fontId="1" fillId="7" borderId="24" xfId="0" applyFont="1" applyFill="1" applyBorder="1" applyAlignment="1">
      <alignment vertical="top"/>
    </xf>
    <xf numFmtId="3" fontId="1" fillId="7" borderId="9" xfId="0" applyNumberFormat="1" applyFont="1" applyFill="1" applyBorder="1" applyAlignment="1">
      <alignment horizontal="center" vertical="top"/>
    </xf>
    <xf numFmtId="3" fontId="1" fillId="7" borderId="62" xfId="0" applyNumberFormat="1" applyFont="1" applyFill="1" applyBorder="1" applyAlignment="1">
      <alignment horizontal="center" vertical="top"/>
    </xf>
    <xf numFmtId="0" fontId="1" fillId="0" borderId="9" xfId="0" applyFont="1" applyBorder="1" applyAlignment="1">
      <alignment vertical="top"/>
    </xf>
    <xf numFmtId="3" fontId="1" fillId="7" borderId="17" xfId="0" applyNumberFormat="1" applyFont="1" applyFill="1" applyBorder="1" applyAlignment="1">
      <alignment horizontal="center" vertical="top"/>
    </xf>
    <xf numFmtId="3" fontId="1" fillId="7" borderId="24" xfId="0" applyNumberFormat="1" applyFont="1" applyFill="1" applyBorder="1" applyAlignment="1">
      <alignment horizontal="center" vertical="top"/>
    </xf>
    <xf numFmtId="165" fontId="1" fillId="7" borderId="31" xfId="0" applyNumberFormat="1" applyFont="1" applyFill="1" applyBorder="1" applyAlignment="1">
      <alignment horizontal="center" vertical="top"/>
    </xf>
    <xf numFmtId="165" fontId="1" fillId="7" borderId="92"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3" fontId="1" fillId="7" borderId="17" xfId="0" applyNumberFormat="1" applyFont="1" applyFill="1" applyBorder="1" applyAlignment="1">
      <alignment horizontal="center" vertical="top" wrapText="1"/>
    </xf>
    <xf numFmtId="49" fontId="1" fillId="7" borderId="38" xfId="0" applyNumberFormat="1" applyFont="1" applyFill="1" applyBorder="1" applyAlignment="1">
      <alignment horizontal="center" vertical="top"/>
    </xf>
    <xf numFmtId="49" fontId="1" fillId="7" borderId="16" xfId="0" applyNumberFormat="1" applyFont="1" applyFill="1" applyBorder="1" applyAlignment="1">
      <alignment horizontal="center" vertical="top"/>
    </xf>
    <xf numFmtId="3" fontId="1" fillId="7" borderId="36" xfId="0" applyNumberFormat="1" applyFont="1" applyFill="1" applyBorder="1" applyAlignment="1">
      <alignment horizontal="center" vertical="top" wrapText="1"/>
    </xf>
    <xf numFmtId="3" fontId="1" fillId="7" borderId="38" xfId="0" applyNumberFormat="1" applyFont="1" applyFill="1" applyBorder="1" applyAlignment="1">
      <alignment horizontal="center" vertical="top" wrapText="1"/>
    </xf>
    <xf numFmtId="3" fontId="1" fillId="7" borderId="16" xfId="0" applyNumberFormat="1" applyFont="1" applyFill="1" applyBorder="1" applyAlignment="1">
      <alignment horizontal="center" vertical="top" wrapText="1"/>
    </xf>
    <xf numFmtId="3" fontId="1" fillId="7" borderId="75" xfId="0" applyNumberFormat="1" applyFont="1" applyFill="1" applyBorder="1" applyAlignment="1">
      <alignment horizontal="center" vertical="top" wrapText="1"/>
    </xf>
    <xf numFmtId="3" fontId="1" fillId="7" borderId="105" xfId="0" applyNumberFormat="1" applyFont="1" applyFill="1" applyBorder="1" applyAlignment="1">
      <alignment horizontal="center" vertical="top" wrapText="1"/>
    </xf>
    <xf numFmtId="49" fontId="1" fillId="7" borderId="93" xfId="0" applyNumberFormat="1" applyFont="1" applyFill="1" applyBorder="1" applyAlignment="1">
      <alignment horizontal="center" vertical="top"/>
    </xf>
    <xf numFmtId="3" fontId="1" fillId="7" borderId="92"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1" fillId="7" borderId="93" xfId="0" applyNumberFormat="1" applyFont="1" applyFill="1" applyBorder="1" applyAlignment="1">
      <alignment horizontal="center" vertical="top" wrapText="1"/>
    </xf>
    <xf numFmtId="3" fontId="1" fillId="7" borderId="95" xfId="0" applyNumberFormat="1" applyFont="1" applyFill="1" applyBorder="1" applyAlignment="1">
      <alignment horizontal="center" vertical="top" wrapText="1"/>
    </xf>
    <xf numFmtId="3" fontId="1" fillId="7" borderId="96" xfId="0" applyNumberFormat="1" applyFont="1" applyFill="1" applyBorder="1" applyAlignment="1">
      <alignment horizontal="center" vertical="top" wrapText="1"/>
    </xf>
    <xf numFmtId="165" fontId="1" fillId="7" borderId="16" xfId="0" applyNumberFormat="1" applyFont="1" applyFill="1" applyBorder="1" applyAlignment="1">
      <alignment vertical="top"/>
    </xf>
    <xf numFmtId="165" fontId="1" fillId="7" borderId="24" xfId="0" applyNumberFormat="1" applyFont="1" applyFill="1" applyBorder="1" applyAlignment="1">
      <alignment vertical="top"/>
    </xf>
    <xf numFmtId="165" fontId="1" fillId="7" borderId="24" xfId="1" applyNumberFormat="1" applyFont="1" applyFill="1" applyBorder="1" applyAlignment="1">
      <alignment horizontal="center" vertical="top"/>
    </xf>
    <xf numFmtId="3" fontId="1" fillId="7" borderId="101" xfId="0" applyNumberFormat="1" applyFont="1" applyFill="1" applyBorder="1" applyAlignment="1">
      <alignment horizontal="center" vertical="top"/>
    </xf>
    <xf numFmtId="3" fontId="1" fillId="7" borderId="95" xfId="0" applyNumberFormat="1" applyFont="1" applyFill="1" applyBorder="1" applyAlignment="1">
      <alignment horizontal="center" vertical="top"/>
    </xf>
    <xf numFmtId="3" fontId="1" fillId="7" borderId="100" xfId="0" applyNumberFormat="1" applyFont="1" applyFill="1" applyBorder="1" applyAlignment="1">
      <alignment horizontal="center" vertical="top"/>
    </xf>
    <xf numFmtId="3" fontId="1" fillId="7" borderId="93" xfId="1" applyNumberFormat="1" applyFont="1" applyFill="1" applyBorder="1" applyAlignment="1">
      <alignment horizontal="center" vertical="top" wrapText="1"/>
    </xf>
    <xf numFmtId="165" fontId="1" fillId="8" borderId="13" xfId="0" applyNumberFormat="1" applyFont="1" applyFill="1" applyBorder="1" applyAlignment="1">
      <alignment horizontal="center" vertical="top"/>
    </xf>
    <xf numFmtId="165" fontId="1" fillId="7" borderId="96" xfId="0" applyNumberFormat="1" applyFont="1" applyFill="1" applyBorder="1" applyAlignment="1">
      <alignment horizontal="center" vertical="top"/>
    </xf>
    <xf numFmtId="3" fontId="1" fillId="7" borderId="79" xfId="0" applyNumberFormat="1" applyFont="1" applyFill="1" applyBorder="1" applyAlignment="1">
      <alignment horizontal="center" vertical="top"/>
    </xf>
    <xf numFmtId="3" fontId="1" fillId="7" borderId="70" xfId="0" applyNumberFormat="1" applyFont="1" applyFill="1" applyBorder="1" applyAlignment="1">
      <alignment horizontal="center" vertical="top"/>
    </xf>
    <xf numFmtId="3" fontId="1" fillId="7" borderId="64" xfId="0" applyNumberFormat="1" applyFont="1" applyFill="1" applyBorder="1" applyAlignment="1">
      <alignment horizontal="center" vertical="top"/>
    </xf>
    <xf numFmtId="3" fontId="1" fillId="7" borderId="24" xfId="1" applyNumberFormat="1" applyFont="1" applyFill="1" applyBorder="1" applyAlignment="1">
      <alignment horizontal="center" vertical="top" wrapText="1"/>
    </xf>
    <xf numFmtId="165" fontId="1" fillId="8" borderId="1" xfId="0" applyNumberFormat="1" applyFont="1" applyFill="1" applyBorder="1" applyAlignment="1">
      <alignment horizontal="center" vertical="top"/>
    </xf>
    <xf numFmtId="165" fontId="1" fillId="7" borderId="42" xfId="0" applyNumberFormat="1" applyFont="1" applyFill="1" applyBorder="1" applyAlignment="1">
      <alignment horizontal="center" vertical="top"/>
    </xf>
    <xf numFmtId="165" fontId="1" fillId="7" borderId="16"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49" fontId="1" fillId="7" borderId="77" xfId="0" applyNumberFormat="1" applyFont="1" applyFill="1" applyBorder="1" applyAlignment="1">
      <alignment horizontal="center" vertical="top"/>
    </xf>
    <xf numFmtId="0" fontId="1" fillId="0" borderId="97" xfId="0" applyFont="1" applyBorder="1" applyAlignment="1">
      <alignment horizontal="center" vertical="top"/>
    </xf>
    <xf numFmtId="3" fontId="1" fillId="7" borderId="36" xfId="0" applyNumberFormat="1" applyFont="1" applyFill="1" applyBorder="1" applyAlignment="1">
      <alignment horizontal="center" vertical="top"/>
    </xf>
    <xf numFmtId="3" fontId="1" fillId="7" borderId="16" xfId="0" applyNumberFormat="1" applyFont="1" applyFill="1" applyBorder="1" applyAlignment="1">
      <alignment horizontal="center" vertical="top"/>
    </xf>
    <xf numFmtId="0" fontId="1" fillId="0" borderId="107" xfId="0" applyFont="1" applyBorder="1" applyAlignment="1">
      <alignment horizontal="center" vertical="top"/>
    </xf>
    <xf numFmtId="165" fontId="1" fillId="7" borderId="95" xfId="0" applyNumberFormat="1" applyFont="1" applyFill="1" applyBorder="1" applyAlignment="1">
      <alignment horizontal="center" vertical="top"/>
    </xf>
    <xf numFmtId="0" fontId="1" fillId="0" borderId="100" xfId="0" applyFont="1" applyBorder="1" applyAlignment="1">
      <alignment horizontal="center" vertical="top"/>
    </xf>
    <xf numFmtId="165" fontId="1" fillId="7" borderId="109" xfId="0" applyNumberFormat="1" applyFont="1" applyFill="1" applyBorder="1" applyAlignment="1">
      <alignment horizontal="center" vertical="top"/>
    </xf>
    <xf numFmtId="165" fontId="1" fillId="7" borderId="97" xfId="0" applyNumberFormat="1" applyFont="1" applyFill="1" applyBorder="1" applyAlignment="1">
      <alignment horizontal="center" vertical="top"/>
    </xf>
    <xf numFmtId="165" fontId="1" fillId="7" borderId="108"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3" fontId="1" fillId="7" borderId="31" xfId="0" applyNumberFormat="1" applyFont="1" applyFill="1" applyBorder="1" applyAlignment="1">
      <alignment horizontal="center" vertical="center"/>
    </xf>
    <xf numFmtId="3" fontId="1" fillId="7" borderId="92" xfId="0" applyNumberFormat="1" applyFont="1" applyFill="1" applyBorder="1" applyAlignment="1">
      <alignment horizontal="center" vertical="center"/>
    </xf>
    <xf numFmtId="3" fontId="1" fillId="7" borderId="96" xfId="0" applyNumberFormat="1" applyFont="1" applyFill="1" applyBorder="1" applyAlignment="1">
      <alignment horizontal="center" vertical="top"/>
    </xf>
    <xf numFmtId="3" fontId="4" fillId="7" borderId="91" xfId="0" applyNumberFormat="1" applyFont="1" applyFill="1" applyBorder="1" applyAlignment="1">
      <alignment horizontal="center" vertical="top" wrapText="1"/>
    </xf>
    <xf numFmtId="3" fontId="1" fillId="7" borderId="17" xfId="0" applyNumberFormat="1" applyFont="1" applyFill="1" applyBorder="1" applyAlignment="1">
      <alignment horizontal="center" vertical="center"/>
    </xf>
    <xf numFmtId="3" fontId="1" fillId="7" borderId="60" xfId="0" applyNumberFormat="1" applyFont="1" applyFill="1" applyBorder="1" applyAlignment="1">
      <alignment horizontal="center" vertical="top"/>
    </xf>
    <xf numFmtId="3" fontId="4" fillId="7" borderId="82" xfId="0" applyNumberFormat="1" applyFont="1" applyFill="1" applyBorder="1" applyAlignment="1">
      <alignment horizontal="center" vertical="top" wrapText="1"/>
    </xf>
    <xf numFmtId="0" fontId="1" fillId="0" borderId="38" xfId="0" applyFont="1" applyBorder="1" applyAlignment="1">
      <alignment vertical="top"/>
    </xf>
    <xf numFmtId="165" fontId="1" fillId="7" borderId="36" xfId="0" applyNumberFormat="1" applyFont="1" applyFill="1" applyBorder="1" applyAlignment="1">
      <alignment horizontal="center" vertical="center"/>
    </xf>
    <xf numFmtId="0" fontId="1" fillId="7" borderId="92" xfId="0" applyNumberFormat="1" applyFont="1" applyFill="1" applyBorder="1" applyAlignment="1">
      <alignment horizontal="center" vertical="top"/>
    </xf>
    <xf numFmtId="165" fontId="1" fillId="7" borderId="94" xfId="0" applyNumberFormat="1" applyFont="1" applyFill="1" applyBorder="1" applyAlignment="1">
      <alignment horizontal="center" vertical="top"/>
    </xf>
    <xf numFmtId="165" fontId="1" fillId="7" borderId="92" xfId="0" applyNumberFormat="1" applyFont="1" applyFill="1" applyBorder="1" applyAlignment="1">
      <alignment vertical="top"/>
    </xf>
    <xf numFmtId="0" fontId="1" fillId="7" borderId="5" xfId="0" applyNumberFormat="1" applyFont="1" applyFill="1" applyBorder="1" applyAlignment="1">
      <alignment horizontal="center" vertical="top" wrapText="1"/>
    </xf>
    <xf numFmtId="165" fontId="1" fillId="0" borderId="10" xfId="0" applyNumberFormat="1" applyFont="1" applyBorder="1" applyAlignment="1">
      <alignment vertical="top"/>
    </xf>
    <xf numFmtId="165" fontId="1" fillId="7" borderId="17" xfId="0" applyNumberFormat="1" applyFont="1" applyFill="1" applyBorder="1" applyAlignment="1">
      <alignment vertical="top"/>
    </xf>
    <xf numFmtId="0" fontId="1" fillId="7" borderId="9" xfId="0" applyNumberFormat="1" applyFont="1" applyFill="1" applyBorder="1" applyAlignment="1">
      <alignment horizontal="center" vertical="top" wrapText="1"/>
    </xf>
    <xf numFmtId="0" fontId="1" fillId="7" borderId="17" xfId="0" applyNumberFormat="1" applyFont="1" applyFill="1" applyBorder="1" applyAlignment="1">
      <alignment horizontal="center" vertical="top"/>
    </xf>
    <xf numFmtId="0" fontId="1" fillId="7" borderId="24" xfId="0" applyNumberFormat="1" applyFont="1" applyFill="1" applyBorder="1" applyAlignment="1">
      <alignment horizontal="center" vertical="top"/>
    </xf>
    <xf numFmtId="165" fontId="1" fillId="7" borderId="34" xfId="0" applyNumberFormat="1" applyFont="1" applyFill="1" applyBorder="1" applyAlignment="1">
      <alignment horizontal="center" vertical="top"/>
    </xf>
    <xf numFmtId="165" fontId="1" fillId="7" borderId="13" xfId="0" applyNumberFormat="1" applyFont="1" applyFill="1" applyBorder="1" applyAlignment="1">
      <alignment horizontal="center" vertical="top"/>
    </xf>
    <xf numFmtId="165" fontId="1" fillId="7" borderId="1" xfId="0" applyNumberFormat="1" applyFont="1" applyFill="1" applyBorder="1" applyAlignment="1">
      <alignment horizontal="center" vertical="top"/>
    </xf>
    <xf numFmtId="165" fontId="1" fillId="7" borderId="99"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165" fontId="1" fillId="7" borderId="91" xfId="0" applyNumberFormat="1" applyFont="1" applyFill="1" applyBorder="1" applyAlignment="1">
      <alignment horizontal="center" vertical="top"/>
    </xf>
    <xf numFmtId="165" fontId="1" fillId="7" borderId="10" xfId="0" applyNumberFormat="1" applyFont="1" applyFill="1" applyBorder="1" applyAlignment="1">
      <alignment horizontal="center" vertical="top"/>
    </xf>
    <xf numFmtId="3" fontId="1" fillId="0" borderId="9" xfId="0" applyNumberFormat="1" applyFont="1" applyFill="1" applyBorder="1" applyAlignment="1">
      <alignment horizontal="center" vertical="top"/>
    </xf>
    <xf numFmtId="3" fontId="1" fillId="7" borderId="1" xfId="0" applyNumberFormat="1" applyFont="1" applyFill="1" applyBorder="1" applyAlignment="1">
      <alignment horizontal="center" vertical="top" wrapText="1"/>
    </xf>
    <xf numFmtId="165" fontId="1" fillId="7" borderId="82" xfId="0" applyNumberFormat="1" applyFont="1" applyFill="1" applyBorder="1" applyAlignment="1">
      <alignment horizontal="center" vertical="top"/>
    </xf>
    <xf numFmtId="165" fontId="2" fillId="9" borderId="55" xfId="0" applyNumberFormat="1" applyFont="1" applyFill="1" applyBorder="1" applyAlignment="1">
      <alignment horizontal="center" vertical="top"/>
    </xf>
    <xf numFmtId="165" fontId="2" fillId="5" borderId="55" xfId="0" applyNumberFormat="1" applyFont="1" applyFill="1" applyBorder="1" applyAlignment="1">
      <alignment horizontal="center" vertical="top"/>
    </xf>
    <xf numFmtId="165" fontId="2" fillId="9" borderId="2" xfId="0" applyNumberFormat="1" applyFont="1" applyFill="1" applyBorder="1" applyAlignment="1">
      <alignment horizontal="center" vertical="top"/>
    </xf>
    <xf numFmtId="165" fontId="2" fillId="5" borderId="2" xfId="0" applyNumberFormat="1" applyFont="1" applyFill="1" applyBorder="1" applyAlignment="1">
      <alignment horizontal="center" vertical="top"/>
    </xf>
    <xf numFmtId="3" fontId="7" fillId="7" borderId="96" xfId="0" applyNumberFormat="1" applyFont="1" applyFill="1" applyBorder="1" applyAlignment="1">
      <alignment horizontal="center" vertical="top"/>
    </xf>
    <xf numFmtId="3" fontId="1" fillId="7" borderId="92" xfId="0" applyNumberFormat="1" applyFont="1" applyFill="1" applyBorder="1" applyAlignment="1">
      <alignment vertical="top"/>
    </xf>
    <xf numFmtId="0" fontId="1" fillId="7" borderId="92" xfId="0" applyFont="1" applyFill="1" applyBorder="1" applyAlignment="1">
      <alignment horizontal="center" vertical="center"/>
    </xf>
    <xf numFmtId="0" fontId="1" fillId="7" borderId="5" xfId="0" applyFont="1" applyFill="1" applyBorder="1" applyAlignment="1">
      <alignment horizontal="center" vertical="center"/>
    </xf>
    <xf numFmtId="3" fontId="1" fillId="7" borderId="5" xfId="0" applyNumberFormat="1" applyFont="1" applyFill="1" applyBorder="1" applyAlignment="1">
      <alignment vertical="top"/>
    </xf>
    <xf numFmtId="3" fontId="1" fillId="0" borderId="93" xfId="0" applyNumberFormat="1" applyFont="1" applyFill="1" applyBorder="1" applyAlignment="1">
      <alignment horizontal="center" vertical="top"/>
    </xf>
    <xf numFmtId="165" fontId="1" fillId="7" borderId="41" xfId="0" applyNumberFormat="1" applyFont="1" applyFill="1" applyBorder="1" applyAlignment="1">
      <alignment horizontal="center" vertical="top"/>
    </xf>
    <xf numFmtId="165" fontId="1" fillId="7" borderId="12"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7" fillId="7" borderId="60" xfId="0" applyNumberFormat="1" applyFont="1" applyFill="1" applyBorder="1" applyAlignment="1">
      <alignment horizontal="center" vertical="top"/>
    </xf>
    <xf numFmtId="3" fontId="1" fillId="7" borderId="17" xfId="0" applyNumberFormat="1" applyFont="1" applyFill="1" applyBorder="1" applyAlignment="1">
      <alignment vertical="top"/>
    </xf>
    <xf numFmtId="0" fontId="1" fillId="7" borderId="17" xfId="0" applyFont="1" applyFill="1" applyBorder="1" applyAlignment="1">
      <alignment horizontal="center" vertical="center"/>
    </xf>
    <xf numFmtId="3" fontId="1" fillId="7" borderId="9" xfId="0" applyNumberFormat="1" applyFont="1" applyFill="1" applyBorder="1" applyAlignment="1">
      <alignment vertical="top"/>
    </xf>
    <xf numFmtId="3" fontId="1" fillId="0" borderId="24" xfId="0" applyNumberFormat="1" applyFont="1" applyFill="1" applyBorder="1" applyAlignment="1">
      <alignment horizontal="center" vertical="top"/>
    </xf>
    <xf numFmtId="165" fontId="1" fillId="7" borderId="25" xfId="0" applyNumberFormat="1" applyFont="1" applyFill="1" applyBorder="1" applyAlignment="1">
      <alignment horizontal="center" vertical="top"/>
    </xf>
    <xf numFmtId="165" fontId="1" fillId="7" borderId="110" xfId="0" applyNumberFormat="1" applyFont="1" applyFill="1" applyBorder="1" applyAlignment="1">
      <alignment vertical="top" wrapText="1"/>
    </xf>
    <xf numFmtId="165" fontId="1" fillId="7" borderId="4" xfId="0" applyNumberFormat="1" applyFont="1" applyFill="1" applyBorder="1" applyAlignment="1">
      <alignment vertical="top" wrapText="1"/>
    </xf>
    <xf numFmtId="0" fontId="1" fillId="7" borderId="4" xfId="0" applyFont="1" applyFill="1" applyBorder="1" applyAlignment="1">
      <alignment vertical="top" wrapText="1"/>
    </xf>
    <xf numFmtId="0" fontId="1" fillId="7" borderId="67" xfId="0" applyFont="1" applyFill="1" applyBorder="1" applyAlignment="1">
      <alignment vertical="top" wrapText="1"/>
    </xf>
    <xf numFmtId="0" fontId="1" fillId="7" borderId="65" xfId="0" applyFont="1" applyFill="1" applyBorder="1" applyAlignment="1">
      <alignment vertical="top" wrapText="1"/>
    </xf>
    <xf numFmtId="0" fontId="1" fillId="7" borderId="6" xfId="0" applyFont="1" applyFill="1" applyBorder="1" applyAlignment="1">
      <alignment vertical="top" wrapText="1"/>
    </xf>
    <xf numFmtId="0" fontId="1" fillId="7" borderId="20" xfId="0" applyFont="1" applyFill="1" applyBorder="1" applyAlignment="1">
      <alignment vertical="top" wrapText="1"/>
    </xf>
    <xf numFmtId="0" fontId="1" fillId="0" borderId="6" xfId="0" applyFont="1" applyBorder="1" applyAlignment="1">
      <alignment vertical="top"/>
    </xf>
    <xf numFmtId="165" fontId="1" fillId="7" borderId="20" xfId="0" applyNumberFormat="1" applyFont="1" applyFill="1" applyBorder="1" applyAlignment="1">
      <alignment vertical="top" wrapText="1"/>
    </xf>
    <xf numFmtId="165" fontId="1" fillId="7" borderId="19" xfId="0" applyNumberFormat="1" applyFont="1" applyFill="1" applyBorder="1" applyAlignment="1">
      <alignment vertical="top" wrapText="1"/>
    </xf>
    <xf numFmtId="165" fontId="5" fillId="7" borderId="50" xfId="0" applyNumberFormat="1" applyFont="1" applyFill="1" applyBorder="1" applyAlignment="1">
      <alignment vertical="top" wrapText="1"/>
    </xf>
    <xf numFmtId="165" fontId="5" fillId="7" borderId="8" xfId="0" applyNumberFormat="1" applyFont="1" applyFill="1" applyBorder="1" applyAlignment="1">
      <alignment vertical="top" wrapText="1"/>
    </xf>
    <xf numFmtId="165" fontId="2" fillId="2" borderId="50" xfId="0" applyNumberFormat="1" applyFont="1" applyFill="1" applyBorder="1" applyAlignment="1">
      <alignment horizontal="center" vertical="top"/>
    </xf>
    <xf numFmtId="165" fontId="1" fillId="7" borderId="8" xfId="0" applyNumberFormat="1" applyFont="1" applyFill="1" applyBorder="1" applyAlignment="1">
      <alignment horizontal="left" vertical="top" wrapText="1"/>
    </xf>
    <xf numFmtId="165" fontId="1" fillId="7" borderId="65" xfId="0" applyNumberFormat="1" applyFont="1" applyFill="1" applyBorder="1" applyAlignment="1">
      <alignment vertical="top" wrapText="1"/>
    </xf>
    <xf numFmtId="165" fontId="1" fillId="7" borderId="72" xfId="0" applyNumberFormat="1" applyFont="1" applyFill="1" applyBorder="1" applyAlignment="1">
      <alignment vertical="top" wrapText="1"/>
    </xf>
    <xf numFmtId="165" fontId="1" fillId="7" borderId="6" xfId="0" applyNumberFormat="1" applyFont="1" applyFill="1" applyBorder="1" applyAlignment="1">
      <alignment vertical="top" wrapText="1"/>
    </xf>
    <xf numFmtId="165" fontId="1" fillId="7" borderId="4"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7" fillId="7" borderId="85" xfId="0" applyNumberFormat="1" applyFont="1" applyFill="1" applyBorder="1" applyAlignment="1">
      <alignment horizontal="left" vertical="top" wrapText="1"/>
    </xf>
    <xf numFmtId="165" fontId="1" fillId="7" borderId="65"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7" borderId="72" xfId="0" applyNumberFormat="1" applyFont="1" applyFill="1" applyBorder="1" applyAlignment="1">
      <alignment horizontal="left" vertical="top" wrapText="1"/>
    </xf>
    <xf numFmtId="0" fontId="1" fillId="7" borderId="67" xfId="0" applyFont="1" applyFill="1" applyBorder="1" applyAlignment="1">
      <alignment horizontal="left" vertical="top" wrapText="1"/>
    </xf>
    <xf numFmtId="0" fontId="1" fillId="7" borderId="4" xfId="0" applyFont="1" applyFill="1" applyBorder="1" applyAlignment="1">
      <alignment horizontal="left" vertical="top" wrapText="1"/>
    </xf>
    <xf numFmtId="0" fontId="5" fillId="0" borderId="67" xfId="0" applyFont="1" applyBorder="1" applyAlignment="1">
      <alignment horizontal="left" vertical="top" wrapText="1"/>
    </xf>
    <xf numFmtId="0" fontId="1" fillId="7" borderId="71" xfId="0" applyFont="1" applyFill="1" applyBorder="1" applyAlignment="1">
      <alignment horizontal="left" vertical="top" wrapText="1"/>
    </xf>
    <xf numFmtId="165" fontId="1" fillId="0" borderId="8" xfId="0" applyNumberFormat="1" applyFont="1" applyBorder="1" applyAlignment="1">
      <alignment vertical="top"/>
    </xf>
    <xf numFmtId="165" fontId="1" fillId="7" borderId="67" xfId="0" applyNumberFormat="1" applyFont="1" applyFill="1" applyBorder="1" applyAlignment="1">
      <alignment horizontal="left" vertical="top" wrapText="1"/>
    </xf>
    <xf numFmtId="165" fontId="1" fillId="7" borderId="8" xfId="0" applyNumberFormat="1" applyFont="1" applyFill="1" applyBorder="1" applyAlignment="1">
      <alignment vertical="top"/>
    </xf>
    <xf numFmtId="165" fontId="1" fillId="7" borderId="6" xfId="0" applyNumberFormat="1" applyFont="1" applyFill="1" applyBorder="1" applyAlignment="1">
      <alignment horizontal="center" vertical="center"/>
    </xf>
    <xf numFmtId="165" fontId="1" fillId="7" borderId="107" xfId="0" applyNumberFormat="1" applyFont="1" applyFill="1" applyBorder="1" applyAlignment="1">
      <alignment horizontal="center" vertical="top"/>
    </xf>
    <xf numFmtId="165" fontId="1" fillId="7" borderId="110" xfId="0" applyNumberFormat="1" applyFont="1" applyFill="1" applyBorder="1" applyAlignment="1">
      <alignment horizontal="center" vertical="top"/>
    </xf>
    <xf numFmtId="165" fontId="2" fillId="2" borderId="86" xfId="0" applyNumberFormat="1" applyFont="1" applyFill="1" applyBorder="1" applyAlignment="1">
      <alignment horizontal="center" vertical="top"/>
    </xf>
    <xf numFmtId="0" fontId="1" fillId="7" borderId="72" xfId="0" applyFont="1" applyFill="1" applyBorder="1" applyAlignment="1">
      <alignment vertical="top" wrapText="1"/>
    </xf>
    <xf numFmtId="0" fontId="8" fillId="7" borderId="4" xfId="0" applyFont="1" applyFill="1" applyBorder="1" applyAlignment="1">
      <alignment vertical="top" wrapText="1"/>
    </xf>
    <xf numFmtId="0" fontId="8" fillId="7" borderId="71" xfId="0" applyFont="1" applyFill="1" applyBorder="1" applyAlignment="1">
      <alignment vertical="top" wrapText="1"/>
    </xf>
    <xf numFmtId="0" fontId="8" fillId="7" borderId="67" xfId="0" applyFont="1" applyFill="1" applyBorder="1" applyAlignment="1">
      <alignment vertical="top" wrapText="1"/>
    </xf>
    <xf numFmtId="0" fontId="8" fillId="7" borderId="72" xfId="0" applyFont="1" applyFill="1" applyBorder="1" applyAlignment="1">
      <alignment vertical="top" wrapText="1"/>
    </xf>
    <xf numFmtId="0" fontId="1" fillId="7" borderId="71" xfId="0" applyFont="1" applyFill="1" applyBorder="1" applyAlignment="1">
      <alignment vertical="top" wrapText="1"/>
    </xf>
    <xf numFmtId="165" fontId="1" fillId="7" borderId="20" xfId="0" applyNumberFormat="1" applyFont="1" applyFill="1" applyBorder="1" applyAlignment="1">
      <alignment vertical="top"/>
    </xf>
    <xf numFmtId="165" fontId="1" fillId="7" borderId="20" xfId="1" applyNumberFormat="1" applyFont="1" applyFill="1" applyBorder="1" applyAlignment="1">
      <alignment horizontal="center" vertical="top"/>
    </xf>
    <xf numFmtId="165" fontId="1" fillId="7" borderId="15" xfId="0" applyNumberFormat="1" applyFont="1" applyFill="1" applyBorder="1" applyAlignment="1">
      <alignment horizontal="center" vertical="top"/>
    </xf>
    <xf numFmtId="165" fontId="1" fillId="7" borderId="14" xfId="0" applyNumberFormat="1" applyFont="1" applyFill="1" applyBorder="1" applyAlignment="1">
      <alignment horizontal="center" vertical="top"/>
    </xf>
    <xf numFmtId="165" fontId="7" fillId="7" borderId="20" xfId="0" applyNumberFormat="1" applyFont="1" applyFill="1" applyBorder="1" applyAlignment="1">
      <alignment vertical="top" wrapText="1"/>
    </xf>
    <xf numFmtId="0" fontId="5" fillId="7" borderId="4" xfId="0" applyFont="1" applyFill="1" applyBorder="1" applyAlignment="1">
      <alignment horizontal="left" vertical="top" wrapText="1"/>
    </xf>
    <xf numFmtId="0" fontId="1" fillId="7" borderId="20" xfId="0" applyFont="1" applyFill="1" applyBorder="1" applyAlignment="1">
      <alignment horizontal="left" vertical="top" wrapText="1"/>
    </xf>
    <xf numFmtId="165" fontId="1" fillId="8" borderId="19" xfId="0" applyNumberFormat="1" applyFont="1" applyFill="1" applyBorder="1" applyAlignment="1">
      <alignment horizontal="left" vertical="top" wrapText="1"/>
    </xf>
    <xf numFmtId="165" fontId="1" fillId="7" borderId="110" xfId="0" applyNumberFormat="1" applyFont="1" applyFill="1" applyBorder="1" applyAlignment="1">
      <alignment horizontal="left" vertical="top" wrapText="1"/>
    </xf>
    <xf numFmtId="0" fontId="1" fillId="7" borderId="4" xfId="0" applyFont="1" applyFill="1" applyBorder="1" applyAlignment="1">
      <alignment vertical="top"/>
    </xf>
    <xf numFmtId="0" fontId="1" fillId="7" borderId="20" xfId="0" applyFont="1" applyFill="1" applyBorder="1" applyAlignment="1">
      <alignment vertical="top"/>
    </xf>
    <xf numFmtId="165" fontId="1" fillId="7" borderId="71" xfId="0" applyNumberFormat="1" applyFont="1" applyFill="1" applyBorder="1" applyAlignment="1">
      <alignment vertical="top" wrapText="1"/>
    </xf>
    <xf numFmtId="165" fontId="1" fillId="7" borderId="101" xfId="0" applyNumberFormat="1" applyFont="1" applyFill="1" applyBorder="1" applyAlignment="1">
      <alignment horizontal="center" vertical="top"/>
    </xf>
    <xf numFmtId="165" fontId="1" fillId="8" borderId="14" xfId="0" applyNumberFormat="1" applyFont="1" applyFill="1" applyBorder="1" applyAlignment="1">
      <alignment horizontal="center" vertical="top"/>
    </xf>
    <xf numFmtId="165" fontId="2" fillId="2" borderId="80"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165" fontId="2" fillId="8" borderId="98" xfId="0" applyNumberFormat="1" applyFont="1" applyFill="1" applyBorder="1" applyAlignment="1">
      <alignment horizontal="center" vertical="top"/>
    </xf>
    <xf numFmtId="165" fontId="2" fillId="8" borderId="88" xfId="0" applyNumberFormat="1" applyFont="1" applyFill="1" applyBorder="1" applyAlignment="1">
      <alignment horizontal="center" vertical="top"/>
    </xf>
    <xf numFmtId="165" fontId="2" fillId="2" borderId="43" xfId="0" applyNumberFormat="1" applyFont="1" applyFill="1" applyBorder="1" applyAlignment="1">
      <alignment horizontal="center" vertical="top"/>
    </xf>
    <xf numFmtId="165" fontId="2" fillId="8" borderId="47" xfId="0" applyNumberFormat="1" applyFont="1" applyFill="1" applyBorder="1" applyAlignment="1">
      <alignment horizontal="center" vertical="top"/>
    </xf>
    <xf numFmtId="165" fontId="2" fillId="8" borderId="91" xfId="0" applyNumberFormat="1" applyFont="1" applyFill="1" applyBorder="1" applyAlignment="1">
      <alignment horizontal="center" vertical="top"/>
    </xf>
    <xf numFmtId="165" fontId="2" fillId="7" borderId="99"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7" borderId="12" xfId="0" applyNumberFormat="1" applyFont="1" applyFill="1" applyBorder="1" applyAlignment="1">
      <alignment horizontal="center" vertical="top"/>
    </xf>
    <xf numFmtId="165" fontId="2" fillId="2" borderId="27" xfId="0" applyNumberFormat="1" applyFont="1" applyFill="1" applyBorder="1" applyAlignment="1">
      <alignment horizontal="center" vertical="top"/>
    </xf>
    <xf numFmtId="165" fontId="2" fillId="2" borderId="7" xfId="0" applyNumberFormat="1" applyFont="1" applyFill="1" applyBorder="1" applyAlignment="1">
      <alignment horizontal="center" vertical="top"/>
    </xf>
    <xf numFmtId="0" fontId="19" fillId="0" borderId="0" xfId="0" applyFont="1" applyFill="1" applyAlignment="1">
      <alignment vertical="top"/>
    </xf>
    <xf numFmtId="0" fontId="19" fillId="3" borderId="0" xfId="0" applyFont="1" applyFill="1" applyAlignment="1">
      <alignment vertical="top"/>
    </xf>
    <xf numFmtId="0" fontId="6" fillId="0" borderId="44" xfId="0" applyFont="1" applyBorder="1" applyAlignment="1">
      <alignment horizontal="center" vertical="center" textRotation="90" wrapText="1"/>
    </xf>
    <xf numFmtId="0" fontId="6" fillId="0" borderId="43"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55" xfId="0" applyFont="1" applyBorder="1" applyAlignment="1">
      <alignment horizontal="center" vertical="center" textRotation="90" wrapText="1"/>
    </xf>
    <xf numFmtId="165" fontId="1" fillId="7" borderId="67" xfId="0" applyNumberFormat="1" applyFont="1" applyFill="1" applyBorder="1" applyAlignment="1">
      <alignment vertical="top" wrapText="1"/>
    </xf>
    <xf numFmtId="3" fontId="1" fillId="7" borderId="6" xfId="0" applyNumberFormat="1" applyFont="1" applyFill="1" applyBorder="1" applyAlignment="1">
      <alignment horizontal="center" vertical="top" wrapText="1"/>
    </xf>
    <xf numFmtId="3" fontId="1" fillId="7" borderId="110"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64" xfId="0" applyNumberFormat="1" applyFont="1" applyFill="1" applyBorder="1" applyAlignment="1">
      <alignment horizontal="center" vertical="top" wrapText="1"/>
    </xf>
    <xf numFmtId="3" fontId="1" fillId="7" borderId="107" xfId="0" applyNumberFormat="1" applyFont="1" applyFill="1" applyBorder="1" applyAlignment="1">
      <alignment horizontal="center" vertical="top"/>
    </xf>
    <xf numFmtId="3" fontId="1" fillId="7" borderId="107" xfId="0" applyNumberFormat="1" applyFont="1" applyFill="1" applyBorder="1" applyAlignment="1">
      <alignment horizontal="center" vertical="top" wrapText="1"/>
    </xf>
    <xf numFmtId="3" fontId="1" fillId="7" borderId="72" xfId="0" applyNumberFormat="1" applyFont="1" applyFill="1" applyBorder="1" applyAlignment="1">
      <alignment horizontal="center" vertical="top"/>
    </xf>
    <xf numFmtId="3" fontId="1" fillId="7" borderId="4"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0" fontId="1" fillId="0" borderId="101" xfId="0" applyFont="1" applyBorder="1" applyAlignment="1">
      <alignment vertical="top"/>
    </xf>
    <xf numFmtId="49" fontId="1" fillId="7" borderId="70" xfId="0" applyNumberFormat="1" applyFont="1" applyFill="1" applyBorder="1" applyAlignment="1">
      <alignment horizontal="center" vertical="top"/>
    </xf>
    <xf numFmtId="165" fontId="2" fillId="7" borderId="103" xfId="0" applyNumberFormat="1" applyFont="1" applyFill="1" applyBorder="1" applyAlignment="1">
      <alignment horizontal="center" vertical="top"/>
    </xf>
    <xf numFmtId="0" fontId="1" fillId="0" borderId="70" xfId="0" applyFont="1" applyBorder="1" applyAlignment="1">
      <alignment vertical="top" wrapText="1"/>
    </xf>
    <xf numFmtId="3" fontId="1" fillId="7" borderId="65" xfId="0" applyNumberFormat="1" applyFont="1" applyFill="1" applyBorder="1" applyAlignment="1">
      <alignment horizontal="center" vertical="top"/>
    </xf>
    <xf numFmtId="3" fontId="1" fillId="7" borderId="111" xfId="0" applyNumberFormat="1" applyFont="1" applyFill="1" applyBorder="1" applyAlignment="1">
      <alignment horizontal="center" vertical="top" wrapText="1"/>
    </xf>
    <xf numFmtId="3" fontId="1" fillId="7" borderId="106" xfId="0" applyNumberFormat="1" applyFont="1" applyFill="1" applyBorder="1" applyAlignment="1">
      <alignment horizontal="center" vertical="top" wrapText="1"/>
    </xf>
    <xf numFmtId="3" fontId="1" fillId="7" borderId="65" xfId="0" applyNumberFormat="1" applyFont="1" applyFill="1" applyBorder="1" applyAlignment="1">
      <alignment horizontal="center" vertical="top" wrapText="1"/>
    </xf>
    <xf numFmtId="3" fontId="1" fillId="7" borderId="20" xfId="0" applyNumberFormat="1" applyFont="1" applyFill="1" applyBorder="1" applyAlignment="1">
      <alignment horizontal="center" vertical="top" wrapText="1"/>
    </xf>
    <xf numFmtId="165" fontId="17" fillId="7" borderId="24" xfId="0" applyNumberFormat="1" applyFont="1" applyFill="1" applyBorder="1" applyAlignment="1">
      <alignment vertical="top" wrapText="1"/>
    </xf>
    <xf numFmtId="0" fontId="8" fillId="7" borderId="110" xfId="0" applyFont="1" applyFill="1" applyBorder="1" applyAlignment="1">
      <alignment vertical="top" wrapText="1"/>
    </xf>
    <xf numFmtId="3" fontId="1" fillId="7" borderId="109" xfId="0" applyNumberFormat="1" applyFont="1" applyFill="1" applyBorder="1" applyAlignment="1">
      <alignment horizontal="center" vertical="top"/>
    </xf>
    <xf numFmtId="3" fontId="1" fillId="7" borderId="75" xfId="0" applyNumberFormat="1" applyFont="1" applyFill="1" applyBorder="1" applyAlignment="1">
      <alignment horizontal="center" vertical="top"/>
    </xf>
    <xf numFmtId="165" fontId="2" fillId="7" borderId="82" xfId="0" applyNumberFormat="1" applyFont="1" applyFill="1" applyBorder="1" applyAlignment="1">
      <alignment horizontal="center" vertical="top" wrapText="1"/>
    </xf>
    <xf numFmtId="0" fontId="1" fillId="7" borderId="100" xfId="0" applyNumberFormat="1" applyFont="1" applyFill="1" applyBorder="1" applyAlignment="1">
      <alignment horizontal="center" vertical="top"/>
    </xf>
    <xf numFmtId="0" fontId="1" fillId="0" borderId="69" xfId="0" applyFont="1" applyBorder="1" applyAlignment="1">
      <alignment vertical="top"/>
    </xf>
    <xf numFmtId="0" fontId="1" fillId="7" borderId="23" xfId="0" applyNumberFormat="1" applyFont="1" applyFill="1" applyBorder="1" applyAlignment="1">
      <alignment horizontal="center" vertical="top"/>
    </xf>
    <xf numFmtId="0" fontId="1" fillId="7" borderId="84" xfId="0" applyNumberFormat="1" applyFont="1" applyFill="1" applyBorder="1" applyAlignment="1">
      <alignment horizontal="center" vertical="top"/>
    </xf>
    <xf numFmtId="0" fontId="1" fillId="7" borderId="0" xfId="0" applyNumberFormat="1" applyFont="1" applyFill="1" applyBorder="1" applyAlignment="1">
      <alignment horizontal="center" vertical="top"/>
    </xf>
    <xf numFmtId="0" fontId="1" fillId="7" borderId="5" xfId="0" applyNumberFormat="1" applyFont="1" applyFill="1" applyBorder="1" applyAlignment="1">
      <alignment horizontal="center" vertical="top"/>
    </xf>
    <xf numFmtId="0" fontId="1" fillId="7" borderId="35" xfId="0" applyNumberFormat="1" applyFont="1" applyFill="1" applyBorder="1" applyAlignment="1">
      <alignment horizontal="center" vertical="top"/>
    </xf>
    <xf numFmtId="0" fontId="1" fillId="7" borderId="37" xfId="0" applyNumberFormat="1" applyFont="1" applyFill="1" applyBorder="1" applyAlignment="1">
      <alignment horizontal="center" vertical="top"/>
    </xf>
    <xf numFmtId="0" fontId="1" fillId="7" borderId="9" xfId="0" applyNumberFormat="1" applyFont="1" applyFill="1" applyBorder="1" applyAlignment="1">
      <alignment horizontal="center" vertical="top"/>
    </xf>
    <xf numFmtId="3" fontId="4" fillId="7" borderId="24" xfId="0" applyNumberFormat="1" applyFont="1" applyFill="1" applyBorder="1" applyAlignment="1">
      <alignment horizontal="center" vertical="top" wrapText="1"/>
    </xf>
    <xf numFmtId="3" fontId="1" fillId="7" borderId="19" xfId="0" applyNumberFormat="1" applyFont="1" applyFill="1" applyBorder="1" applyAlignment="1">
      <alignment horizontal="center" vertical="top" wrapText="1"/>
    </xf>
    <xf numFmtId="3" fontId="1" fillId="0" borderId="110" xfId="0" applyNumberFormat="1" applyFont="1" applyFill="1" applyBorder="1" applyAlignment="1">
      <alignment horizontal="center" vertical="top"/>
    </xf>
    <xf numFmtId="3" fontId="1" fillId="7" borderId="106" xfId="0" applyNumberFormat="1" applyFont="1" applyFill="1" applyBorder="1" applyAlignment="1">
      <alignment horizontal="center" vertical="top"/>
    </xf>
    <xf numFmtId="165" fontId="1" fillId="7" borderId="104" xfId="0" applyNumberFormat="1" applyFont="1" applyFill="1" applyBorder="1" applyAlignment="1">
      <alignment horizontal="center" vertical="top"/>
    </xf>
    <xf numFmtId="3" fontId="1" fillId="7" borderId="71" xfId="0" applyNumberFormat="1" applyFont="1" applyFill="1" applyBorder="1" applyAlignment="1">
      <alignment horizontal="center" vertical="top"/>
    </xf>
    <xf numFmtId="3" fontId="1" fillId="7" borderId="102"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49" fontId="2" fillId="7" borderId="17"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165" fontId="1" fillId="7" borderId="9" xfId="0" applyNumberFormat="1" applyFont="1" applyFill="1" applyBorder="1" applyAlignment="1">
      <alignment horizontal="left" vertical="top" wrapText="1"/>
    </xf>
    <xf numFmtId="165" fontId="2" fillId="9" borderId="5" xfId="0" applyNumberFormat="1" applyFont="1" applyFill="1" applyBorder="1" applyAlignment="1">
      <alignment horizontal="center" vertical="top"/>
    </xf>
    <xf numFmtId="165" fontId="1" fillId="7" borderId="18"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wrapText="1"/>
    </xf>
    <xf numFmtId="165" fontId="1" fillId="7" borderId="6" xfId="0" applyNumberFormat="1" applyFont="1" applyFill="1" applyBorder="1" applyAlignment="1">
      <alignment horizontal="left" vertical="top" wrapText="1"/>
    </xf>
    <xf numFmtId="165" fontId="1" fillId="7" borderId="9" xfId="0" applyNumberFormat="1" applyFont="1" applyFill="1" applyBorder="1" applyAlignment="1">
      <alignment vertical="top" wrapText="1"/>
    </xf>
    <xf numFmtId="165" fontId="2" fillId="2" borderId="9" xfId="0" applyNumberFormat="1" applyFont="1" applyFill="1" applyBorder="1" applyAlignment="1">
      <alignment horizontal="center" vertical="top"/>
    </xf>
    <xf numFmtId="0" fontId="1" fillId="7" borderId="67" xfId="0" applyFont="1" applyFill="1" applyBorder="1" applyAlignment="1">
      <alignment vertical="top" wrapText="1"/>
    </xf>
    <xf numFmtId="49" fontId="2" fillId="7" borderId="9" xfId="0" applyNumberFormat="1" applyFont="1" applyFill="1" applyBorder="1" applyAlignment="1">
      <alignment horizontal="center" vertical="top"/>
    </xf>
    <xf numFmtId="0" fontId="13" fillId="7" borderId="15" xfId="0" applyFont="1" applyFill="1" applyBorder="1" applyAlignment="1">
      <alignment vertical="top" wrapText="1"/>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0" fontId="1" fillId="0" borderId="15" xfId="0" applyFont="1" applyBorder="1" applyAlignment="1">
      <alignment horizontal="center" vertical="top" wrapText="1"/>
    </xf>
    <xf numFmtId="0" fontId="1" fillId="0" borderId="70" xfId="0" applyFont="1" applyFill="1" applyBorder="1" applyAlignment="1">
      <alignment vertical="top" wrapText="1"/>
    </xf>
    <xf numFmtId="0" fontId="1" fillId="0" borderId="62" xfId="0" applyFont="1" applyFill="1" applyBorder="1" applyAlignment="1">
      <alignment vertical="top" wrapText="1"/>
    </xf>
    <xf numFmtId="0" fontId="1" fillId="7" borderId="24" xfId="0" applyFont="1" applyFill="1" applyBorder="1" applyAlignment="1">
      <alignment vertical="top" wrapText="1"/>
    </xf>
    <xf numFmtId="0" fontId="8" fillId="7" borderId="20" xfId="0" applyFont="1" applyFill="1" applyBorder="1" applyAlignment="1">
      <alignment vertical="top" wrapText="1"/>
    </xf>
    <xf numFmtId="3" fontId="1" fillId="7" borderId="6" xfId="0" applyNumberFormat="1" applyFont="1" applyFill="1" applyBorder="1" applyAlignment="1">
      <alignment horizontal="center" vertical="top"/>
    </xf>
    <xf numFmtId="49" fontId="1" fillId="8" borderId="39" xfId="0" applyNumberFormat="1" applyFont="1" applyFill="1" applyBorder="1" applyAlignment="1">
      <alignment horizontal="center" vertical="top"/>
    </xf>
    <xf numFmtId="0" fontId="1" fillId="0" borderId="23" xfId="0" applyFont="1" applyBorder="1" applyAlignment="1">
      <alignment vertical="top"/>
    </xf>
    <xf numFmtId="49" fontId="1" fillId="7" borderId="83" xfId="0" applyNumberFormat="1" applyFont="1" applyFill="1" applyBorder="1" applyAlignment="1">
      <alignment horizontal="center" vertical="top"/>
    </xf>
    <xf numFmtId="3" fontId="20" fillId="7" borderId="79" xfId="0" applyNumberFormat="1" applyFont="1" applyFill="1" applyBorder="1" applyAlignment="1">
      <alignment horizontal="center" vertical="top"/>
    </xf>
    <xf numFmtId="3" fontId="20" fillId="7" borderId="9" xfId="0" applyNumberFormat="1" applyFont="1" applyFill="1" applyBorder="1" applyAlignment="1">
      <alignment horizontal="center" vertical="top"/>
    </xf>
    <xf numFmtId="3" fontId="20" fillId="7" borderId="24" xfId="0" applyNumberFormat="1" applyFont="1" applyFill="1" applyBorder="1" applyAlignment="1">
      <alignment horizontal="center" vertical="top"/>
    </xf>
    <xf numFmtId="0" fontId="1" fillId="7" borderId="79" xfId="0" applyFont="1" applyFill="1" applyBorder="1" applyAlignment="1">
      <alignment vertical="top" wrapText="1"/>
    </xf>
    <xf numFmtId="3" fontId="1" fillId="7" borderId="39" xfId="0" applyNumberFormat="1" applyFont="1" applyFill="1" applyBorder="1" applyAlignment="1">
      <alignment horizontal="center" vertical="top"/>
    </xf>
    <xf numFmtId="0" fontId="2" fillId="8" borderId="17" xfId="0" applyNumberFormat="1" applyFont="1" applyFill="1" applyBorder="1" applyAlignment="1">
      <alignment horizontal="center" vertical="top"/>
    </xf>
    <xf numFmtId="0" fontId="1" fillId="7" borderId="60" xfId="0" applyNumberFormat="1" applyFont="1" applyFill="1" applyBorder="1" applyAlignment="1">
      <alignment horizontal="center" vertical="top"/>
    </xf>
    <xf numFmtId="0" fontId="1" fillId="7" borderId="70" xfId="0" applyNumberFormat="1" applyFont="1" applyFill="1" applyBorder="1" applyAlignment="1">
      <alignment horizontal="center" vertical="top"/>
    </xf>
    <xf numFmtId="1" fontId="1" fillId="7" borderId="60" xfId="0" applyNumberFormat="1" applyFont="1" applyFill="1" applyBorder="1" applyAlignment="1">
      <alignment horizontal="center" vertical="top"/>
    </xf>
    <xf numFmtId="1" fontId="1" fillId="7" borderId="70" xfId="0" applyNumberFormat="1" applyFont="1" applyFill="1" applyBorder="1" applyAlignment="1">
      <alignment horizontal="center" vertical="top"/>
    </xf>
    <xf numFmtId="1" fontId="1" fillId="0" borderId="64" xfId="0" applyNumberFormat="1" applyFont="1" applyBorder="1" applyAlignment="1">
      <alignment horizontal="center" vertical="top"/>
    </xf>
    <xf numFmtId="1" fontId="1" fillId="7" borderId="79" xfId="0" applyNumberFormat="1" applyFont="1" applyFill="1" applyBorder="1" applyAlignment="1">
      <alignment horizontal="center" vertical="top"/>
    </xf>
    <xf numFmtId="0" fontId="1" fillId="7" borderId="79" xfId="0" applyNumberFormat="1" applyFont="1" applyFill="1" applyBorder="1" applyAlignment="1">
      <alignment horizontal="center" vertical="top"/>
    </xf>
    <xf numFmtId="0" fontId="1" fillId="7" borderId="62" xfId="0" applyNumberFormat="1" applyFont="1" applyFill="1" applyBorder="1" applyAlignment="1">
      <alignment horizontal="center" vertical="top"/>
    </xf>
    <xf numFmtId="0" fontId="1" fillId="7" borderId="36" xfId="0" applyNumberFormat="1" applyFont="1" applyFill="1" applyBorder="1" applyAlignment="1">
      <alignment horizontal="center" vertical="top"/>
    </xf>
    <xf numFmtId="0" fontId="1" fillId="7" borderId="76" xfId="0" applyNumberFormat="1" applyFont="1" applyFill="1" applyBorder="1" applyAlignment="1">
      <alignment horizontal="center" vertical="top"/>
    </xf>
    <xf numFmtId="0" fontId="1" fillId="7" borderId="77" xfId="0" applyNumberFormat="1" applyFont="1" applyFill="1" applyBorder="1" applyAlignment="1">
      <alignment horizontal="center" vertical="top"/>
    </xf>
    <xf numFmtId="0" fontId="1" fillId="7" borderId="96" xfId="0" applyNumberFormat="1" applyFont="1" applyFill="1" applyBorder="1" applyAlignment="1">
      <alignment horizontal="center" vertical="top"/>
    </xf>
    <xf numFmtId="0" fontId="1" fillId="7" borderId="105" xfId="0" applyNumberFormat="1" applyFont="1" applyFill="1" applyBorder="1" applyAlignment="1">
      <alignment horizontal="center" vertical="top"/>
    </xf>
    <xf numFmtId="0" fontId="1" fillId="0" borderId="92" xfId="0" applyNumberFormat="1" applyFont="1" applyFill="1" applyBorder="1" applyAlignment="1">
      <alignment horizontal="center" vertical="top"/>
    </xf>
    <xf numFmtId="0" fontId="1" fillId="0" borderId="36"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0" fontId="1" fillId="0" borderId="94" xfId="0" applyNumberFormat="1" applyFont="1" applyFill="1" applyBorder="1" applyAlignment="1">
      <alignment horizontal="center" vertical="top"/>
    </xf>
    <xf numFmtId="0" fontId="1" fillId="0" borderId="106" xfId="0" applyNumberFormat="1" applyFont="1" applyFill="1" applyBorder="1" applyAlignment="1">
      <alignment horizontal="center" vertical="top"/>
    </xf>
    <xf numFmtId="0" fontId="1" fillId="0" borderId="76" xfId="0" applyNumberFormat="1" applyFont="1" applyFill="1" applyBorder="1" applyAlignment="1">
      <alignment horizontal="center" vertical="top"/>
    </xf>
    <xf numFmtId="167" fontId="1" fillId="0" borderId="94" xfId="0" applyNumberFormat="1" applyFont="1" applyFill="1" applyBorder="1" applyAlignment="1">
      <alignment horizontal="center" vertical="top"/>
    </xf>
    <xf numFmtId="167" fontId="1" fillId="0" borderId="106" xfId="0" applyNumberFormat="1" applyFont="1" applyFill="1" applyBorder="1" applyAlignment="1">
      <alignment horizontal="center" vertical="top"/>
    </xf>
    <xf numFmtId="167" fontId="1" fillId="0" borderId="76" xfId="0" applyNumberFormat="1" applyFont="1" applyFill="1" applyBorder="1" applyAlignment="1">
      <alignment horizontal="center" vertical="top"/>
    </xf>
    <xf numFmtId="165" fontId="21" fillId="7" borderId="17" xfId="0" applyNumberFormat="1" applyFont="1" applyFill="1" applyBorder="1" applyAlignment="1">
      <alignment horizontal="center" vertical="top"/>
    </xf>
    <xf numFmtId="165" fontId="21" fillId="7" borderId="38" xfId="0" applyNumberFormat="1" applyFont="1" applyFill="1" applyBorder="1" applyAlignment="1">
      <alignment horizontal="center" vertical="top"/>
    </xf>
    <xf numFmtId="165" fontId="21" fillId="7" borderId="16" xfId="0" applyNumberFormat="1" applyFont="1" applyFill="1" applyBorder="1" applyAlignment="1">
      <alignment horizontal="center" vertical="top"/>
    </xf>
    <xf numFmtId="165" fontId="21" fillId="7" borderId="24" xfId="0" applyNumberFormat="1" applyFont="1" applyFill="1" applyBorder="1" applyAlignment="1">
      <alignment horizontal="center" vertical="top"/>
    </xf>
    <xf numFmtId="165" fontId="2" fillId="7" borderId="24" xfId="0" applyNumberFormat="1" applyFont="1" applyFill="1" applyBorder="1" applyAlignment="1">
      <alignment horizontal="center" vertical="center" wrapText="1"/>
    </xf>
    <xf numFmtId="165" fontId="21" fillId="7" borderId="70" xfId="0" applyNumberFormat="1" applyFont="1" applyFill="1" applyBorder="1" applyAlignment="1">
      <alignment horizontal="center" vertical="top"/>
    </xf>
    <xf numFmtId="165" fontId="1" fillId="7" borderId="84" xfId="0" applyNumberFormat="1" applyFont="1" applyFill="1" applyBorder="1" applyAlignment="1">
      <alignment horizontal="center" vertical="top"/>
    </xf>
    <xf numFmtId="165" fontId="21" fillId="7" borderId="84" xfId="0" applyNumberFormat="1" applyFont="1" applyFill="1" applyBorder="1" applyAlignment="1">
      <alignment horizontal="center" vertical="top"/>
    </xf>
    <xf numFmtId="3" fontId="1" fillId="0" borderId="95"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1" fillId="0" borderId="73" xfId="0" applyNumberFormat="1" applyFont="1" applyFill="1" applyBorder="1" applyAlignment="1">
      <alignment horizontal="center" vertical="top"/>
    </xf>
    <xf numFmtId="165" fontId="1" fillId="7" borderId="83" xfId="0" applyNumberFormat="1" applyFont="1" applyFill="1" applyBorder="1" applyAlignment="1">
      <alignment horizontal="center" vertical="top"/>
    </xf>
    <xf numFmtId="165" fontId="1" fillId="7" borderId="63" xfId="0" applyNumberFormat="1" applyFont="1" applyFill="1" applyBorder="1" applyAlignment="1">
      <alignment horizontal="center" vertical="top"/>
    </xf>
    <xf numFmtId="165" fontId="2" fillId="7" borderId="10" xfId="0" applyNumberFormat="1" applyFont="1" applyFill="1" applyBorder="1" applyAlignment="1">
      <alignment horizontal="center" vertical="top" wrapText="1"/>
    </xf>
    <xf numFmtId="3" fontId="1" fillId="0" borderId="92"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94" xfId="0" applyNumberFormat="1" applyFont="1" applyFill="1" applyBorder="1" applyAlignment="1">
      <alignment horizontal="center" vertical="top"/>
    </xf>
    <xf numFmtId="3" fontId="1" fillId="0" borderId="62" xfId="0" applyNumberFormat="1" applyFont="1" applyFill="1" applyBorder="1" applyAlignment="1">
      <alignment horizontal="center" vertical="top"/>
    </xf>
    <xf numFmtId="3" fontId="1" fillId="0" borderId="76" xfId="0" applyNumberFormat="1" applyFont="1" applyFill="1" applyBorder="1" applyAlignment="1">
      <alignment horizontal="center" vertical="top"/>
    </xf>
    <xf numFmtId="3" fontId="1" fillId="0" borderId="100" xfId="0" applyNumberFormat="1" applyFont="1" applyFill="1" applyBorder="1" applyAlignment="1">
      <alignment horizontal="center" vertical="top"/>
    </xf>
    <xf numFmtId="3" fontId="1" fillId="0" borderId="64" xfId="0" applyNumberFormat="1" applyFont="1" applyFill="1" applyBorder="1" applyAlignment="1">
      <alignment horizontal="center" vertical="top"/>
    </xf>
    <xf numFmtId="3" fontId="1" fillId="0" borderId="97" xfId="0" applyNumberFormat="1" applyFont="1" applyFill="1" applyBorder="1" applyAlignment="1">
      <alignment horizontal="center" vertical="top"/>
    </xf>
    <xf numFmtId="0" fontId="1" fillId="7" borderId="95" xfId="0" applyNumberFormat="1" applyFont="1" applyFill="1" applyBorder="1" applyAlignment="1">
      <alignment horizontal="center" vertical="top"/>
    </xf>
    <xf numFmtId="0" fontId="1" fillId="7" borderId="72" xfId="0" applyNumberFormat="1" applyFont="1" applyFill="1" applyBorder="1" applyAlignment="1">
      <alignment horizontal="center" vertical="top"/>
    </xf>
    <xf numFmtId="0" fontId="1" fillId="7" borderId="23" xfId="0" applyFont="1" applyFill="1" applyBorder="1" applyAlignment="1">
      <alignment horizontal="center" vertical="top"/>
    </xf>
    <xf numFmtId="0" fontId="1" fillId="0" borderId="61" xfId="0" applyFont="1" applyBorder="1" applyAlignment="1">
      <alignment vertical="top"/>
    </xf>
    <xf numFmtId="0" fontId="1" fillId="0" borderId="29" xfId="0" applyFont="1" applyBorder="1" applyAlignment="1">
      <alignment vertical="top"/>
    </xf>
    <xf numFmtId="3" fontId="1" fillId="0" borderId="108"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165" fontId="1" fillId="7" borderId="61" xfId="0" applyNumberFormat="1" applyFont="1" applyFill="1" applyBorder="1" applyAlignment="1">
      <alignment vertical="top" wrapText="1"/>
    </xf>
    <xf numFmtId="3" fontId="1" fillId="0" borderId="101"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1" fillId="0" borderId="84"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3" fontId="1" fillId="7" borderId="71"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0" fontId="1" fillId="7" borderId="18" xfId="0" applyFont="1" applyFill="1" applyBorder="1" applyAlignment="1">
      <alignment horizontal="center" vertical="top" wrapText="1"/>
    </xf>
    <xf numFmtId="165" fontId="1" fillId="7" borderId="71"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165" fontId="1" fillId="7" borderId="35"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0" fontId="1" fillId="7" borderId="6" xfId="0" applyFont="1" applyFill="1" applyBorder="1" applyAlignment="1">
      <alignment vertical="top" wrapText="1"/>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0" fontId="1" fillId="7" borderId="31"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0" fontId="1" fillId="7" borderId="6" xfId="0" applyFont="1" applyFill="1" applyBorder="1" applyAlignment="1">
      <alignment horizontal="left" vertical="top" wrapText="1"/>
    </xf>
    <xf numFmtId="3" fontId="1" fillId="7" borderId="13" xfId="0" applyNumberFormat="1" applyFont="1" applyFill="1" applyBorder="1" applyAlignment="1">
      <alignment horizontal="center" vertical="top" wrapText="1"/>
    </xf>
    <xf numFmtId="0" fontId="1" fillId="7" borderId="110" xfId="0" applyNumberFormat="1" applyFont="1" applyFill="1" applyBorder="1" applyAlignment="1">
      <alignment horizontal="center" vertical="top"/>
    </xf>
    <xf numFmtId="165" fontId="1" fillId="7" borderId="110" xfId="0" applyNumberFormat="1" applyFont="1" applyFill="1" applyBorder="1" applyAlignment="1">
      <alignment horizontal="center" vertical="top" wrapText="1"/>
    </xf>
    <xf numFmtId="165" fontId="1" fillId="7" borderId="100" xfId="0" applyNumberFormat="1" applyFont="1" applyFill="1" applyBorder="1" applyAlignment="1">
      <alignment horizontal="center" vertical="top"/>
    </xf>
    <xf numFmtId="165" fontId="1" fillId="7" borderId="61" xfId="0" applyNumberFormat="1" applyFont="1" applyFill="1" applyBorder="1" applyAlignment="1">
      <alignment horizontal="center" vertical="top"/>
    </xf>
    <xf numFmtId="165" fontId="1" fillId="7" borderId="69" xfId="0" applyNumberFormat="1" applyFont="1" applyFill="1" applyBorder="1" applyAlignment="1">
      <alignment horizontal="center" vertical="top"/>
    </xf>
    <xf numFmtId="0" fontId="1" fillId="0" borderId="64" xfId="0" applyFont="1" applyBorder="1" applyAlignment="1">
      <alignment horizontal="center" vertical="top"/>
    </xf>
    <xf numFmtId="0" fontId="1" fillId="0" borderId="69" xfId="0" applyFont="1" applyBorder="1" applyAlignment="1">
      <alignment horizontal="center" vertical="top"/>
    </xf>
    <xf numFmtId="165" fontId="1" fillId="7" borderId="65" xfId="0" applyNumberFormat="1" applyFont="1" applyFill="1" applyBorder="1" applyAlignment="1">
      <alignment horizontal="center" vertical="top" wrapText="1"/>
    </xf>
    <xf numFmtId="0" fontId="1" fillId="0" borderId="65" xfId="0" applyFont="1" applyBorder="1" applyAlignment="1">
      <alignment horizontal="center" vertical="top"/>
    </xf>
    <xf numFmtId="0" fontId="1" fillId="0" borderId="94" xfId="0" applyFont="1" applyBorder="1" applyAlignment="1">
      <alignment horizontal="center" vertical="top"/>
    </xf>
    <xf numFmtId="0" fontId="1" fillId="0" borderId="62" xfId="0" applyFont="1" applyBorder="1" applyAlignment="1">
      <alignment horizontal="center" vertical="top"/>
    </xf>
    <xf numFmtId="0" fontId="1" fillId="0" borderId="63" xfId="0" applyFont="1" applyBorder="1" applyAlignment="1">
      <alignment horizontal="center" vertical="top"/>
    </xf>
    <xf numFmtId="0" fontId="1" fillId="0" borderId="100" xfId="0" applyFont="1" applyBorder="1" applyAlignment="1">
      <alignment vertical="top"/>
    </xf>
    <xf numFmtId="0" fontId="1" fillId="0" borderId="72" xfId="0" applyFont="1" applyBorder="1" applyAlignment="1">
      <alignment vertical="top"/>
    </xf>
    <xf numFmtId="3" fontId="1" fillId="7" borderId="15" xfId="0" applyNumberFormat="1" applyFont="1" applyFill="1" applyBorder="1" applyAlignment="1">
      <alignment horizontal="center" vertical="top"/>
    </xf>
    <xf numFmtId="0" fontId="1" fillId="0" borderId="49" xfId="0" applyFont="1" applyBorder="1" applyAlignment="1">
      <alignment vertical="top"/>
    </xf>
    <xf numFmtId="3" fontId="1" fillId="7" borderId="9" xfId="0" applyNumberFormat="1" applyFont="1" applyFill="1" applyBorder="1" applyAlignment="1">
      <alignment horizontal="center" vertical="top" wrapText="1"/>
    </xf>
    <xf numFmtId="0" fontId="1" fillId="7" borderId="110" xfId="0" applyFont="1" applyFill="1" applyBorder="1" applyAlignment="1">
      <alignment horizontal="center" vertical="top"/>
    </xf>
    <xf numFmtId="167" fontId="1" fillId="7" borderId="101" xfId="0" applyNumberFormat="1" applyFont="1" applyFill="1" applyBorder="1" applyAlignment="1">
      <alignment horizontal="center" vertical="top"/>
    </xf>
    <xf numFmtId="167" fontId="1" fillId="7" borderId="79" xfId="0" applyNumberFormat="1" applyFont="1" applyFill="1" applyBorder="1" applyAlignment="1">
      <alignment horizontal="center" vertical="top"/>
    </xf>
    <xf numFmtId="167" fontId="1" fillId="7" borderId="84" xfId="0" applyNumberFormat="1" applyFont="1" applyFill="1" applyBorder="1" applyAlignment="1">
      <alignment horizontal="center" vertical="top"/>
    </xf>
    <xf numFmtId="0" fontId="1" fillId="0" borderId="72" xfId="0" applyFont="1" applyBorder="1" applyAlignment="1">
      <alignment horizontal="center" vertical="top"/>
    </xf>
    <xf numFmtId="0" fontId="1" fillId="7" borderId="65" xfId="0" applyFont="1" applyFill="1" applyBorder="1" applyAlignment="1">
      <alignment horizontal="center" vertical="top"/>
    </xf>
    <xf numFmtId="165" fontId="1" fillId="7" borderId="23" xfId="0" applyNumberFormat="1" applyFont="1" applyFill="1" applyBorder="1" applyAlignment="1">
      <alignment vertical="top"/>
    </xf>
    <xf numFmtId="165" fontId="1" fillId="7" borderId="4" xfId="1" applyNumberFormat="1" applyFont="1" applyFill="1" applyBorder="1" applyAlignment="1">
      <alignment horizontal="center" vertical="top" wrapText="1"/>
    </xf>
    <xf numFmtId="165" fontId="1" fillId="7" borderId="19" xfId="1" applyNumberFormat="1" applyFont="1" applyFill="1" applyBorder="1" applyAlignment="1">
      <alignment horizontal="center" vertical="top"/>
    </xf>
    <xf numFmtId="165" fontId="1" fillId="7" borderId="108" xfId="1" applyNumberFormat="1" applyFont="1" applyFill="1" applyBorder="1" applyAlignment="1">
      <alignment horizontal="center" vertical="top"/>
    </xf>
    <xf numFmtId="165" fontId="1" fillId="7" borderId="1" xfId="1" applyNumberFormat="1" applyFont="1" applyFill="1" applyBorder="1" applyAlignment="1">
      <alignment horizontal="center" vertical="top"/>
    </xf>
    <xf numFmtId="165" fontId="1" fillId="7" borderId="48" xfId="1" applyNumberFormat="1" applyFont="1" applyFill="1" applyBorder="1" applyAlignment="1">
      <alignment horizontal="center" vertical="top"/>
    </xf>
    <xf numFmtId="165" fontId="1" fillId="7" borderId="19" xfId="0" applyNumberFormat="1" applyFont="1" applyFill="1" applyBorder="1" applyAlignment="1">
      <alignment horizontal="left" vertical="top" wrapText="1"/>
    </xf>
    <xf numFmtId="3" fontId="1" fillId="7" borderId="35" xfId="1" applyNumberFormat="1" applyFont="1" applyFill="1" applyBorder="1" applyAlignment="1">
      <alignment horizontal="center" vertical="top" wrapText="1"/>
    </xf>
    <xf numFmtId="3" fontId="1" fillId="7" borderId="5" xfId="1" applyNumberFormat="1" applyFont="1" applyFill="1" applyBorder="1" applyAlignment="1">
      <alignment horizontal="center" vertical="top" wrapText="1"/>
    </xf>
    <xf numFmtId="3" fontId="1" fillId="7" borderId="9" xfId="1" applyNumberFormat="1" applyFont="1" applyFill="1" applyBorder="1" applyAlignment="1">
      <alignment horizontal="center" vertical="top" wrapText="1"/>
    </xf>
    <xf numFmtId="0" fontId="2" fillId="7" borderId="9" xfId="0" applyFont="1" applyFill="1" applyBorder="1" applyAlignment="1">
      <alignment vertical="top" wrapText="1"/>
    </xf>
    <xf numFmtId="0" fontId="1" fillId="0" borderId="64" xfId="0" applyFont="1" applyBorder="1" applyAlignment="1">
      <alignment vertical="top"/>
    </xf>
    <xf numFmtId="0" fontId="1" fillId="7" borderId="6" xfId="0" applyNumberFormat="1" applyFont="1" applyFill="1" applyBorder="1" applyAlignment="1">
      <alignment horizontal="center" vertical="top"/>
    </xf>
    <xf numFmtId="0" fontId="1" fillId="7" borderId="93" xfId="0" applyNumberFormat="1" applyFont="1" applyFill="1" applyBorder="1" applyAlignment="1">
      <alignment horizontal="center" vertical="top"/>
    </xf>
    <xf numFmtId="0" fontId="1" fillId="0" borderId="71" xfId="0" applyFont="1" applyBorder="1" applyAlignment="1">
      <alignment horizontal="center" vertical="top"/>
    </xf>
    <xf numFmtId="0" fontId="1" fillId="0" borderId="65" xfId="0" applyFont="1" applyBorder="1" applyAlignment="1">
      <alignment vertical="top"/>
    </xf>
    <xf numFmtId="0" fontId="1" fillId="0" borderId="94" xfId="0" applyFont="1" applyBorder="1" applyAlignment="1">
      <alignment vertical="top"/>
    </xf>
    <xf numFmtId="3" fontId="8" fillId="7" borderId="71" xfId="0" applyNumberFormat="1" applyFont="1" applyFill="1" applyBorder="1" applyAlignment="1">
      <alignment horizontal="center" vertical="top"/>
    </xf>
    <xf numFmtId="3" fontId="8" fillId="7" borderId="5" xfId="0" applyNumberFormat="1" applyFont="1" applyFill="1" applyBorder="1" applyAlignment="1">
      <alignment horizontal="center" vertical="top"/>
    </xf>
    <xf numFmtId="3" fontId="8" fillId="7" borderId="9" xfId="0" applyNumberFormat="1" applyFont="1" applyFill="1" applyBorder="1" applyAlignment="1">
      <alignment horizontal="center" vertical="top"/>
    </xf>
    <xf numFmtId="3" fontId="8" fillId="7" borderId="83" xfId="0" applyNumberFormat="1" applyFont="1" applyFill="1" applyBorder="1" applyAlignment="1">
      <alignment horizontal="center" vertical="top"/>
    </xf>
    <xf numFmtId="0" fontId="1" fillId="7" borderId="71" xfId="0" applyFont="1" applyFill="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165" fontId="1" fillId="0" borderId="4" xfId="0" applyNumberFormat="1" applyFont="1" applyFill="1" applyBorder="1" applyAlignment="1">
      <alignment horizontal="center" vertical="top"/>
    </xf>
    <xf numFmtId="165" fontId="1" fillId="7" borderId="102" xfId="0" applyNumberFormat="1" applyFont="1" applyFill="1" applyBorder="1" applyAlignment="1">
      <alignment horizontal="center" vertical="top"/>
    </xf>
    <xf numFmtId="165" fontId="1" fillId="0" borderId="38" xfId="0" applyNumberFormat="1" applyFont="1" applyFill="1" applyBorder="1" applyAlignment="1">
      <alignment horizontal="center" vertical="top"/>
    </xf>
    <xf numFmtId="0" fontId="1" fillId="7" borderId="62" xfId="0" applyFont="1" applyFill="1" applyBorder="1" applyAlignment="1">
      <alignment horizontal="center" vertical="top"/>
    </xf>
    <xf numFmtId="165" fontId="1" fillId="7" borderId="4"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165" fontId="1" fillId="7" borderId="0" xfId="0" applyNumberFormat="1" applyFont="1" applyFill="1" applyBorder="1" applyAlignment="1">
      <alignment horizontal="center" vertical="center"/>
    </xf>
    <xf numFmtId="0" fontId="1" fillId="0" borderId="16" xfId="0" applyFont="1" applyBorder="1" applyAlignment="1">
      <alignment vertical="top"/>
    </xf>
    <xf numFmtId="0" fontId="1" fillId="0" borderId="76" xfId="0" applyFont="1" applyBorder="1" applyAlignment="1">
      <alignment horizontal="center" vertical="top"/>
    </xf>
    <xf numFmtId="165" fontId="1" fillId="0" borderId="59" xfId="0" applyNumberFormat="1" applyFont="1" applyBorder="1" applyAlignment="1">
      <alignment horizontal="center" vertical="top"/>
    </xf>
    <xf numFmtId="0" fontId="1" fillId="7" borderId="4" xfId="0" applyFont="1" applyFill="1" applyBorder="1" applyAlignment="1">
      <alignment horizontal="center" vertical="center"/>
    </xf>
    <xf numFmtId="0" fontId="1" fillId="7" borderId="95" xfId="0" applyFont="1" applyFill="1" applyBorder="1" applyAlignment="1">
      <alignment horizontal="center" vertical="center"/>
    </xf>
    <xf numFmtId="0" fontId="1" fillId="7" borderId="38" xfId="0" applyFont="1" applyFill="1" applyBorder="1" applyAlignment="1">
      <alignment horizontal="center" vertical="center"/>
    </xf>
    <xf numFmtId="165" fontId="1" fillId="7" borderId="6" xfId="0" applyNumberFormat="1" applyFont="1" applyFill="1" applyBorder="1" applyAlignment="1">
      <alignment vertical="top"/>
    </xf>
    <xf numFmtId="165" fontId="1" fillId="7" borderId="71" xfId="0" applyNumberFormat="1" applyFont="1" applyFill="1" applyBorder="1" applyAlignment="1">
      <alignment vertical="top"/>
    </xf>
    <xf numFmtId="49" fontId="2" fillId="7"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8" fillId="7" borderId="15" xfId="0" applyNumberFormat="1" applyFont="1" applyFill="1" applyBorder="1" applyAlignment="1">
      <alignment horizontal="center" vertical="top" wrapText="1"/>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49" fontId="1" fillId="7" borderId="79" xfId="0" applyNumberFormat="1" applyFont="1" applyFill="1" applyBorder="1" applyAlignment="1">
      <alignment horizontal="center" vertical="top"/>
    </xf>
    <xf numFmtId="49" fontId="1" fillId="7" borderId="84" xfId="0" applyNumberFormat="1" applyFont="1" applyFill="1" applyBorder="1" applyAlignment="1">
      <alignment horizontal="center" vertical="top"/>
    </xf>
    <xf numFmtId="0" fontId="1" fillId="0" borderId="67" xfId="0" applyFont="1" applyBorder="1" applyAlignment="1">
      <alignment vertical="top"/>
    </xf>
    <xf numFmtId="49" fontId="2" fillId="7" borderId="9"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7" borderId="71" xfId="0" applyNumberFormat="1" applyFont="1" applyFill="1" applyBorder="1" applyAlignment="1">
      <alignment horizontal="center" vertical="top" wrapText="1"/>
    </xf>
    <xf numFmtId="0" fontId="1" fillId="7" borderId="15" xfId="0" applyNumberFormat="1" applyFont="1" applyFill="1" applyBorder="1" applyAlignment="1">
      <alignment horizontal="center" vertical="top"/>
    </xf>
    <xf numFmtId="0" fontId="1" fillId="7" borderId="111" xfId="0" applyNumberFormat="1" applyFont="1" applyFill="1" applyBorder="1" applyAlignment="1">
      <alignment horizontal="center" vertical="top"/>
    </xf>
    <xf numFmtId="0" fontId="1" fillId="7" borderId="4" xfId="0" applyNumberFormat="1" applyFont="1" applyFill="1" applyBorder="1" applyAlignment="1">
      <alignment horizontal="center" vertical="top"/>
    </xf>
    <xf numFmtId="0" fontId="1" fillId="7" borderId="83" xfId="0" applyNumberFormat="1" applyFont="1" applyFill="1" applyBorder="1" applyAlignment="1">
      <alignment horizontal="center" vertical="top"/>
    </xf>
    <xf numFmtId="165" fontId="1" fillId="0" borderId="24" xfId="0" applyNumberFormat="1" applyFont="1" applyBorder="1" applyAlignment="1">
      <alignment horizontal="center" vertical="top"/>
    </xf>
    <xf numFmtId="165" fontId="25" fillId="7" borderId="24" xfId="0" applyNumberFormat="1" applyFont="1" applyFill="1" applyBorder="1" applyAlignment="1">
      <alignment horizontal="center" vertical="top" wrapText="1"/>
    </xf>
    <xf numFmtId="3" fontId="1" fillId="7" borderId="23" xfId="0" applyNumberFormat="1" applyFont="1" applyFill="1" applyBorder="1" applyAlignment="1">
      <alignment horizontal="center" vertical="top" wrapText="1"/>
    </xf>
    <xf numFmtId="165" fontId="1" fillId="7" borderId="4"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xf>
    <xf numFmtId="0" fontId="5" fillId="7" borderId="9" xfId="0" applyFont="1" applyFill="1" applyBorder="1" applyAlignment="1">
      <alignment vertical="top" wrapText="1"/>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49" fontId="1" fillId="7" borderId="101" xfId="0" applyNumberFormat="1" applyFont="1" applyFill="1" applyBorder="1" applyAlignment="1">
      <alignment horizontal="center" vertical="top"/>
    </xf>
    <xf numFmtId="0" fontId="1" fillId="7" borderId="112" xfId="0" applyNumberFormat="1" applyFont="1" applyFill="1" applyBorder="1" applyAlignment="1">
      <alignment horizontal="center" vertical="top"/>
    </xf>
    <xf numFmtId="0" fontId="1" fillId="7" borderId="0" xfId="0" applyFont="1" applyFill="1" applyAlignment="1">
      <alignment vertical="top"/>
    </xf>
    <xf numFmtId="0" fontId="1" fillId="7" borderId="96" xfId="0" applyFont="1" applyFill="1" applyBorder="1" applyAlignment="1">
      <alignment vertical="top"/>
    </xf>
    <xf numFmtId="167" fontId="1" fillId="7" borderId="105" xfId="0" applyNumberFormat="1" applyFont="1" applyFill="1" applyBorder="1" applyAlignment="1">
      <alignment horizontal="center" vertical="top"/>
    </xf>
    <xf numFmtId="167" fontId="1" fillId="7" borderId="7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0" fontId="1" fillId="7" borderId="6" xfId="0" applyFont="1" applyFill="1" applyBorder="1" applyAlignment="1">
      <alignment vertical="top" wrapText="1"/>
    </xf>
    <xf numFmtId="0" fontId="1" fillId="7" borderId="67" xfId="0" applyFont="1" applyFill="1" applyBorder="1" applyAlignment="1">
      <alignment vertical="top" wrapText="1"/>
    </xf>
    <xf numFmtId="165" fontId="1" fillId="7" borderId="35" xfId="0" applyNumberFormat="1" applyFont="1" applyFill="1" applyBorder="1" applyAlignment="1">
      <alignment horizontal="center" vertical="top" wrapText="1"/>
    </xf>
    <xf numFmtId="165" fontId="1" fillId="7" borderId="9" xfId="0" applyNumberFormat="1" applyFont="1" applyFill="1" applyBorder="1" applyAlignment="1">
      <alignment vertical="top" wrapText="1"/>
    </xf>
    <xf numFmtId="165" fontId="2" fillId="9" borderId="5"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49" fontId="2" fillId="7" borderId="9" xfId="0" applyNumberFormat="1" applyFont="1" applyFill="1" applyBorder="1" applyAlignment="1">
      <alignment horizontal="center" vertical="top" wrapText="1"/>
    </xf>
    <xf numFmtId="3" fontId="1" fillId="7" borderId="4" xfId="0" applyNumberFormat="1" applyFont="1" applyFill="1" applyBorder="1" applyAlignment="1">
      <alignment horizontal="center" vertical="top"/>
    </xf>
    <xf numFmtId="3" fontId="1" fillId="7" borderId="38" xfId="0" applyNumberFormat="1" applyFont="1" applyFill="1" applyBorder="1" applyAlignment="1">
      <alignment horizontal="center" vertical="top"/>
    </xf>
    <xf numFmtId="165" fontId="2" fillId="7" borderId="37" xfId="0" applyNumberFormat="1" applyFont="1" applyFill="1" applyBorder="1" applyAlignment="1">
      <alignment horizontal="center" vertical="top" wrapText="1"/>
    </xf>
    <xf numFmtId="0" fontId="2" fillId="7" borderId="39" xfId="0" applyFont="1" applyFill="1" applyBorder="1" applyAlignment="1">
      <alignment horizontal="center" vertical="top" wrapText="1"/>
    </xf>
    <xf numFmtId="0" fontId="2" fillId="7" borderId="37" xfId="0" applyFont="1" applyFill="1" applyBorder="1" applyAlignment="1">
      <alignment horizontal="center" vertical="top" wrapText="1"/>
    </xf>
    <xf numFmtId="165" fontId="2" fillId="7" borderId="0" xfId="0" applyNumberFormat="1" applyFont="1" applyFill="1" applyBorder="1" applyAlignment="1">
      <alignment horizontal="center" vertical="center" wrapText="1"/>
    </xf>
    <xf numFmtId="0" fontId="2" fillId="0" borderId="24" xfId="0" applyFont="1" applyBorder="1" applyAlignment="1">
      <alignment horizontal="center" vertical="top"/>
    </xf>
    <xf numFmtId="0" fontId="1" fillId="7" borderId="38" xfId="0" applyNumberFormat="1" applyFont="1" applyFill="1" applyBorder="1" applyAlignment="1">
      <alignment horizontal="center" vertical="top"/>
    </xf>
    <xf numFmtId="165" fontId="2" fillId="7" borderId="9"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top" wrapText="1"/>
    </xf>
    <xf numFmtId="165" fontId="2" fillId="7" borderId="1" xfId="0" applyNumberFormat="1" applyFont="1" applyFill="1" applyBorder="1" applyAlignment="1">
      <alignment horizontal="center" vertical="top" wrapText="1"/>
    </xf>
    <xf numFmtId="0" fontId="2" fillId="7" borderId="0" xfId="0" applyFont="1" applyFill="1" applyAlignment="1">
      <alignment horizontal="center" vertical="center"/>
    </xf>
    <xf numFmtId="165" fontId="9" fillId="7" borderId="24" xfId="0" applyNumberFormat="1" applyFont="1" applyFill="1" applyBorder="1" applyAlignment="1">
      <alignment horizontal="center" vertical="center" textRotation="90" wrapText="1"/>
    </xf>
    <xf numFmtId="165" fontId="2" fillId="0" borderId="1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center" wrapText="1"/>
    </xf>
    <xf numFmtId="165" fontId="6" fillId="7" borderId="39" xfId="0" applyNumberFormat="1" applyFont="1" applyFill="1" applyBorder="1" applyAlignment="1">
      <alignment horizontal="center" vertical="center" wrapText="1"/>
    </xf>
    <xf numFmtId="165" fontId="2" fillId="7" borderId="29" xfId="0" applyNumberFormat="1" applyFont="1" applyFill="1" applyBorder="1" applyAlignment="1">
      <alignment horizontal="center" vertical="center" wrapText="1"/>
    </xf>
    <xf numFmtId="165" fontId="1" fillId="7" borderId="67" xfId="0" applyNumberFormat="1" applyFont="1" applyFill="1" applyBorder="1" applyAlignment="1">
      <alignment horizontal="center"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0" borderId="76" xfId="0" applyNumberFormat="1" applyFont="1" applyFill="1" applyBorder="1" applyAlignment="1">
      <alignment horizontal="center" vertical="top"/>
    </xf>
    <xf numFmtId="165" fontId="1" fillId="0" borderId="94" xfId="0" applyNumberFormat="1" applyFont="1" applyFill="1" applyBorder="1" applyAlignment="1">
      <alignment horizontal="center" vertical="top"/>
    </xf>
    <xf numFmtId="165" fontId="1" fillId="0" borderId="62" xfId="0" applyNumberFormat="1" applyFont="1" applyFill="1" applyBorder="1" applyAlignment="1">
      <alignment horizontal="center" vertical="top"/>
    </xf>
    <xf numFmtId="165" fontId="1" fillId="0" borderId="77" xfId="0" applyNumberFormat="1" applyFont="1" applyFill="1" applyBorder="1" applyAlignment="1">
      <alignment horizontal="center" vertical="top"/>
    </xf>
    <xf numFmtId="165" fontId="1" fillId="0" borderId="96" xfId="0" applyNumberFormat="1" applyFont="1" applyFill="1" applyBorder="1" applyAlignment="1">
      <alignment horizontal="center" vertical="top"/>
    </xf>
    <xf numFmtId="165" fontId="1" fillId="0" borderId="60" xfId="0" applyNumberFormat="1" applyFont="1" applyFill="1" applyBorder="1" applyAlignment="1">
      <alignment horizontal="center" vertical="top"/>
    </xf>
    <xf numFmtId="3" fontId="1" fillId="0" borderId="17" xfId="0" applyNumberFormat="1" applyFont="1" applyFill="1" applyBorder="1" applyAlignment="1">
      <alignment horizontal="center" vertical="top" wrapText="1"/>
    </xf>
    <xf numFmtId="0" fontId="1" fillId="7" borderId="49" xfId="0" applyFont="1" applyFill="1" applyBorder="1" applyAlignment="1">
      <alignment vertical="top"/>
    </xf>
    <xf numFmtId="0" fontId="1" fillId="7" borderId="0" xfId="0" applyFont="1" applyFill="1" applyBorder="1" applyAlignment="1">
      <alignment vertical="top"/>
    </xf>
    <xf numFmtId="0" fontId="1" fillId="7" borderId="95" xfId="0" applyFont="1" applyFill="1" applyBorder="1" applyAlignment="1">
      <alignment horizontal="center" vertical="top"/>
    </xf>
    <xf numFmtId="165" fontId="1" fillId="7" borderId="95"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0" fontId="1" fillId="7" borderId="5" xfId="0" applyFont="1" applyFill="1" applyBorder="1" applyAlignment="1">
      <alignment horizontal="center" vertical="top"/>
    </xf>
    <xf numFmtId="0" fontId="1" fillId="7" borderId="71" xfId="0" applyFont="1" applyFill="1" applyBorder="1" applyAlignment="1">
      <alignment vertical="top"/>
    </xf>
    <xf numFmtId="0" fontId="1" fillId="7" borderId="73" xfId="0" applyFont="1" applyFill="1" applyBorder="1" applyAlignment="1">
      <alignment horizontal="center" vertical="top"/>
    </xf>
    <xf numFmtId="0" fontId="1" fillId="7" borderId="70" xfId="0" applyFont="1" applyFill="1" applyBorder="1" applyAlignment="1">
      <alignment horizontal="center" vertical="top"/>
    </xf>
    <xf numFmtId="0" fontId="1" fillId="7" borderId="9" xfId="0" applyFont="1" applyFill="1" applyBorder="1" applyAlignment="1">
      <alignment horizontal="center" vertical="top"/>
    </xf>
    <xf numFmtId="167" fontId="1" fillId="7" borderId="95" xfId="0" applyNumberFormat="1" applyFont="1" applyFill="1" applyBorder="1" applyAlignment="1">
      <alignment horizontal="center" vertical="top"/>
    </xf>
    <xf numFmtId="167" fontId="1" fillId="0" borderId="93" xfId="0" applyNumberFormat="1" applyFont="1" applyBorder="1" applyAlignment="1">
      <alignment horizontal="center" vertical="top"/>
    </xf>
    <xf numFmtId="165" fontId="1" fillId="7" borderId="100" xfId="1" applyNumberFormat="1" applyFont="1" applyFill="1" applyBorder="1" applyAlignment="1">
      <alignment horizontal="center" vertical="top"/>
    </xf>
    <xf numFmtId="165" fontId="21" fillId="7" borderId="72" xfId="0" applyNumberFormat="1" applyFont="1" applyFill="1" applyBorder="1" applyAlignment="1">
      <alignment horizontal="center" vertical="top"/>
    </xf>
    <xf numFmtId="165" fontId="21" fillId="7" borderId="100" xfId="0" applyNumberFormat="1" applyFont="1" applyFill="1" applyBorder="1" applyAlignment="1">
      <alignment horizontal="center" vertical="top"/>
    </xf>
    <xf numFmtId="0" fontId="1" fillId="7" borderId="4" xfId="0" applyFont="1" applyFill="1" applyBorder="1" applyAlignment="1">
      <alignment vertical="center" wrapText="1"/>
    </xf>
    <xf numFmtId="3" fontId="24" fillId="7" borderId="95" xfId="0" applyNumberFormat="1" applyFont="1" applyFill="1" applyBorder="1" applyAlignment="1">
      <alignment horizontal="center" vertical="top"/>
    </xf>
    <xf numFmtId="0" fontId="1" fillId="7" borderId="94" xfId="0" applyFont="1" applyFill="1" applyBorder="1" applyAlignment="1">
      <alignment horizontal="center" vertical="top"/>
    </xf>
    <xf numFmtId="3" fontId="1" fillId="7" borderId="40"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165" fontId="2" fillId="7" borderId="3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0" fontId="1" fillId="7" borderId="70" xfId="0" applyFont="1" applyFill="1" applyBorder="1" applyAlignment="1">
      <alignment horizontal="left" vertical="top" wrapText="1"/>
    </xf>
    <xf numFmtId="49" fontId="24" fillId="7" borderId="5" xfId="0" applyNumberFormat="1" applyFont="1" applyFill="1" applyBorder="1" applyAlignment="1">
      <alignment horizontal="center" vertical="top"/>
    </xf>
    <xf numFmtId="165" fontId="23" fillId="7" borderId="24" xfId="0" applyNumberFormat="1" applyFont="1" applyFill="1" applyBorder="1" applyAlignment="1">
      <alignment horizontal="center" vertical="top" wrapText="1"/>
    </xf>
    <xf numFmtId="0" fontId="2" fillId="7" borderId="24" xfId="0" applyFont="1" applyFill="1" applyBorder="1" applyAlignment="1">
      <alignment horizontal="center" vertical="top"/>
    </xf>
    <xf numFmtId="0" fontId="1" fillId="7" borderId="9" xfId="0" applyFont="1" applyFill="1" applyBorder="1" applyAlignment="1">
      <alignment horizontal="left" vertical="top" wrapText="1"/>
    </xf>
    <xf numFmtId="165" fontId="25" fillId="7" borderId="9" xfId="0" applyNumberFormat="1" applyFont="1" applyFill="1" applyBorder="1" applyAlignment="1">
      <alignment horizontal="center" vertical="top" wrapText="1"/>
    </xf>
    <xf numFmtId="0" fontId="1" fillId="7" borderId="62" xfId="0" applyFont="1" applyFill="1" applyBorder="1" applyAlignment="1">
      <alignment horizontal="left" vertical="top" wrapText="1"/>
    </xf>
    <xf numFmtId="165" fontId="2" fillId="7" borderId="29" xfId="0" applyNumberFormat="1" applyFont="1" applyFill="1" applyBorder="1" applyAlignment="1">
      <alignment horizontal="center" vertical="top" wrapText="1"/>
    </xf>
    <xf numFmtId="0" fontId="2" fillId="7" borderId="17" xfId="0" applyFont="1" applyFill="1" applyBorder="1" applyAlignment="1">
      <alignment horizontal="center" vertical="center"/>
    </xf>
    <xf numFmtId="49" fontId="2" fillId="7" borderId="9" xfId="0" applyNumberFormat="1" applyFont="1" applyFill="1" applyBorder="1" applyAlignment="1">
      <alignment vertical="top"/>
    </xf>
    <xf numFmtId="0" fontId="1" fillId="7" borderId="101" xfId="0" applyNumberFormat="1" applyFont="1" applyFill="1" applyBorder="1" applyAlignment="1">
      <alignment horizontal="center" vertical="top"/>
    </xf>
    <xf numFmtId="0" fontId="1" fillId="0" borderId="0" xfId="0" applyFont="1" applyBorder="1" applyAlignment="1"/>
    <xf numFmtId="49" fontId="2" fillId="7" borderId="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165" fontId="1" fillId="7" borderId="4" xfId="0" applyNumberFormat="1" applyFont="1" applyFill="1" applyBorder="1" applyAlignment="1">
      <alignment horizontal="left" vertical="top" wrapText="1"/>
    </xf>
    <xf numFmtId="165" fontId="2" fillId="7" borderId="9"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165" fontId="6" fillId="7" borderId="25" xfId="0" applyNumberFormat="1" applyFont="1" applyFill="1" applyBorder="1" applyAlignment="1">
      <alignment horizontal="center" vertical="center" textRotation="90" wrapText="1"/>
    </xf>
    <xf numFmtId="165" fontId="2" fillId="7" borderId="27" xfId="0" applyNumberFormat="1" applyFont="1" applyFill="1" applyBorder="1" applyAlignment="1">
      <alignment horizontal="center" vertical="top"/>
    </xf>
    <xf numFmtId="165" fontId="5" fillId="7" borderId="26" xfId="0" applyNumberFormat="1" applyFont="1" applyFill="1" applyBorder="1" applyAlignment="1">
      <alignment vertical="top" wrapText="1"/>
    </xf>
    <xf numFmtId="49" fontId="2" fillId="7" borderId="25" xfId="0" applyNumberFormat="1" applyFont="1" applyFill="1" applyBorder="1" applyAlignment="1">
      <alignment horizontal="center" vertical="top"/>
    </xf>
    <xf numFmtId="165" fontId="7" fillId="7" borderId="50" xfId="0" applyNumberFormat="1" applyFont="1" applyFill="1" applyBorder="1" applyAlignment="1">
      <alignment horizontal="left" vertical="top" wrapText="1"/>
    </xf>
    <xf numFmtId="3" fontId="4" fillId="7" borderId="27" xfId="0" applyNumberFormat="1" applyFont="1" applyFill="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25" xfId="0" applyNumberFormat="1" applyFont="1" applyFill="1" applyBorder="1" applyAlignment="1">
      <alignment horizontal="center" vertical="top" wrapText="1"/>
    </xf>
    <xf numFmtId="0" fontId="9" fillId="7" borderId="45" xfId="0" applyFont="1" applyFill="1" applyBorder="1" applyAlignment="1">
      <alignment horizontal="center" textRotation="90" wrapText="1"/>
    </xf>
    <xf numFmtId="0" fontId="5" fillId="7" borderId="103" xfId="0" applyFont="1" applyFill="1" applyBorder="1" applyAlignment="1">
      <alignment horizontal="center" vertical="top"/>
    </xf>
    <xf numFmtId="49" fontId="2" fillId="7" borderId="45" xfId="0" applyNumberFormat="1" applyFont="1" applyFill="1" applyBorder="1" applyAlignment="1">
      <alignment horizontal="center" vertical="top"/>
    </xf>
    <xf numFmtId="0" fontId="5" fillId="7" borderId="45" xfId="0" applyFont="1" applyFill="1" applyBorder="1" applyAlignment="1">
      <alignment vertical="top" wrapText="1"/>
    </xf>
    <xf numFmtId="165" fontId="1" fillId="7" borderId="50" xfId="0" applyNumberFormat="1" applyFont="1" applyFill="1" applyBorder="1" applyAlignment="1">
      <alignment horizontal="center" vertical="top"/>
    </xf>
    <xf numFmtId="165" fontId="1" fillId="7" borderId="103" xfId="0" applyNumberFormat="1" applyFont="1" applyFill="1" applyBorder="1" applyAlignment="1">
      <alignment horizontal="center" vertical="top"/>
    </xf>
    <xf numFmtId="165" fontId="1" fillId="7" borderId="6" xfId="0" applyNumberFormat="1" applyFont="1" applyFill="1" applyBorder="1" applyAlignment="1">
      <alignment horizontal="left" vertical="top" wrapText="1"/>
    </xf>
    <xf numFmtId="165" fontId="1" fillId="0" borderId="49" xfId="0" applyNumberFormat="1" applyFont="1" applyBorder="1" applyAlignment="1">
      <alignment vertical="top"/>
    </xf>
    <xf numFmtId="0" fontId="1" fillId="7" borderId="15" xfId="0" applyFont="1" applyFill="1" applyBorder="1" applyAlignment="1">
      <alignment horizontal="center" vertical="top" wrapText="1"/>
    </xf>
    <xf numFmtId="0" fontId="5" fillId="7" borderId="9" xfId="0" applyFont="1" applyFill="1" applyBorder="1" applyAlignment="1">
      <alignmen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1" fillId="7" borderId="95" xfId="0" applyNumberFormat="1" applyFont="1" applyFill="1" applyBorder="1" applyAlignment="1">
      <alignment horizontal="center" vertical="top"/>
    </xf>
    <xf numFmtId="49" fontId="2" fillId="7" borderId="3" xfId="0" applyNumberFormat="1" applyFont="1" applyFill="1" applyBorder="1" applyAlignment="1">
      <alignment horizontal="center" vertical="top"/>
    </xf>
    <xf numFmtId="165" fontId="1" fillId="7" borderId="113" xfId="0" applyNumberFormat="1" applyFont="1" applyFill="1" applyBorder="1" applyAlignment="1">
      <alignment horizontal="center" vertical="top"/>
    </xf>
    <xf numFmtId="165" fontId="1" fillId="7" borderId="115" xfId="0" applyNumberFormat="1" applyFont="1" applyFill="1" applyBorder="1" applyAlignment="1">
      <alignment horizontal="center" vertical="top"/>
    </xf>
    <xf numFmtId="165" fontId="1" fillId="7" borderId="116" xfId="0" applyNumberFormat="1" applyFont="1" applyFill="1" applyBorder="1" applyAlignment="1">
      <alignment horizontal="center" vertical="top"/>
    </xf>
    <xf numFmtId="3" fontId="1" fillId="7" borderId="90" xfId="0" applyNumberFormat="1" applyFont="1" applyFill="1" applyBorder="1" applyAlignment="1">
      <alignment horizontal="center" vertical="top"/>
    </xf>
    <xf numFmtId="49" fontId="2" fillId="7" borderId="5" xfId="0" applyNumberFormat="1" applyFont="1" applyFill="1" applyBorder="1" applyAlignment="1">
      <alignment horizontal="center" vertical="top"/>
    </xf>
    <xf numFmtId="49" fontId="2" fillId="7" borderId="7" xfId="0" applyNumberFormat="1" applyFont="1" applyFill="1" applyBorder="1" applyAlignment="1">
      <alignment horizontal="center" vertical="top"/>
    </xf>
    <xf numFmtId="165" fontId="2" fillId="7" borderId="25" xfId="0" applyNumberFormat="1" applyFont="1" applyFill="1" applyBorder="1" applyAlignment="1">
      <alignment horizontal="center" vertical="top" wrapText="1"/>
    </xf>
    <xf numFmtId="0" fontId="1" fillId="7" borderId="117" xfId="0" applyFont="1" applyFill="1" applyBorder="1" applyAlignment="1">
      <alignment horizontal="center" vertical="top"/>
    </xf>
    <xf numFmtId="165" fontId="1" fillId="7" borderId="117" xfId="0" applyNumberFormat="1" applyFont="1" applyFill="1" applyBorder="1" applyAlignment="1">
      <alignment horizontal="center" vertical="top"/>
    </xf>
    <xf numFmtId="165" fontId="1" fillId="7" borderId="119" xfId="0" applyNumberFormat="1" applyFont="1" applyFill="1" applyBorder="1" applyAlignment="1">
      <alignment horizontal="center" vertical="top"/>
    </xf>
    <xf numFmtId="165" fontId="1" fillId="7" borderId="120" xfId="0" applyNumberFormat="1" applyFont="1" applyFill="1" applyBorder="1" applyAlignment="1">
      <alignment horizontal="center" vertical="top"/>
    </xf>
    <xf numFmtId="0" fontId="8" fillId="7" borderId="50" xfId="0" applyFont="1" applyFill="1" applyBorder="1" applyAlignment="1">
      <alignment vertical="top" wrapText="1"/>
    </xf>
    <xf numFmtId="3" fontId="1" fillId="7" borderId="50"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7" borderId="103" xfId="0" applyNumberFormat="1" applyFont="1" applyFill="1" applyBorder="1" applyAlignment="1">
      <alignment horizontal="center" vertical="top"/>
    </xf>
    <xf numFmtId="0" fontId="1" fillId="0" borderId="15" xfId="0" applyFont="1" applyBorder="1" applyAlignment="1">
      <alignment vertical="top"/>
    </xf>
    <xf numFmtId="165" fontId="2" fillId="7" borderId="41" xfId="0" applyNumberFormat="1" applyFont="1" applyFill="1" applyBorder="1" applyAlignment="1">
      <alignment horizontal="center" vertical="top" wrapText="1"/>
    </xf>
    <xf numFmtId="0" fontId="1" fillId="7" borderId="113" xfId="0" applyFont="1" applyFill="1" applyBorder="1" applyAlignment="1">
      <alignment horizontal="center" vertical="top"/>
    </xf>
    <xf numFmtId="165" fontId="1" fillId="7" borderId="21" xfId="0" applyNumberFormat="1" applyFont="1" applyFill="1" applyBorder="1" applyAlignment="1">
      <alignment horizontal="center" vertical="top"/>
    </xf>
    <xf numFmtId="0" fontId="8" fillId="7" borderId="113" xfId="0" applyFont="1" applyFill="1" applyBorder="1" applyAlignment="1">
      <alignment vertical="top" wrapText="1"/>
    </xf>
    <xf numFmtId="3" fontId="1" fillId="7" borderId="32" xfId="0" applyNumberFormat="1" applyFont="1" applyFill="1" applyBorder="1" applyAlignment="1">
      <alignment horizontal="center" vertical="top"/>
    </xf>
    <xf numFmtId="3" fontId="1" fillId="7" borderId="114" xfId="0" applyNumberFormat="1" applyFont="1" applyFill="1" applyBorder="1" applyAlignment="1">
      <alignment horizontal="center" vertical="top"/>
    </xf>
    <xf numFmtId="3" fontId="1" fillId="7" borderId="115" xfId="0" applyNumberFormat="1" applyFont="1" applyFill="1" applyBorder="1" applyAlignment="1">
      <alignment horizontal="center" vertical="top"/>
    </xf>
    <xf numFmtId="0" fontId="0" fillId="0" borderId="0" xfId="0" applyAlignment="1">
      <alignment horizontal="center"/>
    </xf>
    <xf numFmtId="0" fontId="0" fillId="0" borderId="28" xfId="0" applyBorder="1"/>
    <xf numFmtId="0" fontId="11" fillId="0" borderId="0" xfId="0" applyFont="1" applyAlignment="1">
      <alignment horizontal="justify" vertical="center"/>
    </xf>
    <xf numFmtId="0" fontId="11" fillId="0" borderId="0" xfId="0" applyFont="1" applyAlignment="1">
      <alignment vertical="center"/>
    </xf>
    <xf numFmtId="165" fontId="26" fillId="10" borderId="44" xfId="0" applyNumberFormat="1" applyFont="1" applyFill="1" applyBorder="1" applyAlignment="1">
      <alignment horizontal="center"/>
    </xf>
    <xf numFmtId="0" fontId="12" fillId="0" borderId="0" xfId="0" applyFont="1" applyAlignment="1">
      <alignment horizontal="center"/>
    </xf>
    <xf numFmtId="0" fontId="1" fillId="0" borderId="28" xfId="0" applyFont="1" applyBorder="1" applyAlignment="1">
      <alignment vertical="top"/>
    </xf>
    <xf numFmtId="167" fontId="1" fillId="7" borderId="0" xfId="0" applyNumberFormat="1" applyFont="1" applyFill="1" applyBorder="1" applyAlignment="1">
      <alignment horizontal="center" vertical="top"/>
    </xf>
    <xf numFmtId="167" fontId="1" fillId="7" borderId="94" xfId="0" applyNumberFormat="1" applyFont="1" applyFill="1" applyBorder="1" applyAlignment="1">
      <alignment horizontal="center" vertical="top"/>
    </xf>
    <xf numFmtId="167" fontId="1" fillId="7" borderId="46" xfId="0" applyNumberFormat="1" applyFont="1" applyFill="1" applyBorder="1" applyAlignment="1">
      <alignment horizontal="center" vertical="top"/>
    </xf>
    <xf numFmtId="167" fontId="1" fillId="7" borderId="5" xfId="0" applyNumberFormat="1" applyFont="1" applyFill="1" applyBorder="1" applyAlignment="1">
      <alignment horizontal="center" vertical="top"/>
    </xf>
    <xf numFmtId="167" fontId="1" fillId="0" borderId="5" xfId="0" applyNumberFormat="1" applyFont="1" applyBorder="1" applyAlignment="1">
      <alignment vertical="top"/>
    </xf>
    <xf numFmtId="167" fontId="1" fillId="7" borderId="3" xfId="0" applyNumberFormat="1" applyFont="1" applyFill="1" applyBorder="1" applyAlignment="1">
      <alignment horizontal="center" vertical="top"/>
    </xf>
    <xf numFmtId="167" fontId="1" fillId="7" borderId="118" xfId="0" applyNumberFormat="1" applyFont="1" applyFill="1" applyBorder="1" applyAlignment="1">
      <alignment horizontal="center" vertical="top"/>
    </xf>
    <xf numFmtId="167" fontId="0" fillId="0" borderId="0" xfId="0" applyNumberFormat="1"/>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0" fontId="1" fillId="7" borderId="4" xfId="0"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7" fontId="0" fillId="0" borderId="28" xfId="0" applyNumberFormat="1" applyBorder="1"/>
    <xf numFmtId="165" fontId="1" fillId="7" borderId="52" xfId="0" applyNumberFormat="1" applyFont="1" applyFill="1" applyBorder="1" applyAlignment="1">
      <alignment vertical="top"/>
    </xf>
    <xf numFmtId="165" fontId="1" fillId="7" borderId="10" xfId="0" applyNumberFormat="1" applyFont="1" applyFill="1" applyBorder="1" applyAlignment="1">
      <alignment vertical="top"/>
    </xf>
    <xf numFmtId="49" fontId="2" fillId="7" borderId="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167" fontId="1" fillId="0" borderId="100" xfId="0" applyNumberFormat="1" applyFont="1" applyBorder="1" applyAlignment="1">
      <alignment horizontal="center" vertical="top"/>
    </xf>
    <xf numFmtId="167" fontId="1" fillId="0" borderId="72" xfId="0" applyNumberFormat="1" applyFont="1" applyBorder="1" applyAlignment="1">
      <alignment horizontal="center" vertical="top"/>
    </xf>
    <xf numFmtId="165" fontId="1" fillId="7" borderId="20" xfId="0" applyNumberFormat="1" applyFont="1" applyFill="1" applyBorder="1" applyAlignment="1">
      <alignment horizontal="center" vertical="top" wrapText="1"/>
    </xf>
    <xf numFmtId="167" fontId="1" fillId="7" borderId="38" xfId="0" applyNumberFormat="1" applyFont="1" applyFill="1" applyBorder="1" applyAlignment="1">
      <alignment horizontal="center" vertical="top"/>
    </xf>
    <xf numFmtId="167" fontId="1" fillId="7" borderId="70" xfId="0" applyNumberFormat="1" applyFont="1" applyFill="1" applyBorder="1" applyAlignment="1">
      <alignment horizontal="center" vertical="top"/>
    </xf>
    <xf numFmtId="167" fontId="1" fillId="7" borderId="83" xfId="0" applyNumberFormat="1" applyFont="1" applyFill="1" applyBorder="1" applyAlignment="1">
      <alignment horizontal="center" vertical="top"/>
    </xf>
    <xf numFmtId="167" fontId="1" fillId="7" borderId="23"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7" borderId="9" xfId="0" applyNumberFormat="1" applyFont="1" applyFill="1" applyBorder="1" applyAlignment="1">
      <alignment vertical="top" wrapText="1"/>
    </xf>
    <xf numFmtId="165" fontId="1" fillId="7" borderId="95" xfId="0" applyNumberFormat="1" applyFont="1" applyFill="1" applyBorder="1" applyAlignment="1">
      <alignment horizontal="center" vertical="top"/>
    </xf>
    <xf numFmtId="165" fontId="1" fillId="7" borderId="9" xfId="0" applyNumberFormat="1" applyFont="1" applyFill="1" applyBorder="1" applyAlignment="1">
      <alignment vertical="top" wrapText="1"/>
    </xf>
    <xf numFmtId="0" fontId="1" fillId="7" borderId="15" xfId="0"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49" fontId="2" fillId="7" borderId="5" xfId="0" applyNumberFormat="1" applyFont="1" applyFill="1" applyBorder="1" applyAlignment="1">
      <alignment horizontal="center" vertical="top"/>
    </xf>
    <xf numFmtId="165" fontId="1" fillId="7" borderId="114"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90" xfId="0" applyNumberFormat="1" applyFont="1" applyFill="1" applyBorder="1" applyAlignment="1">
      <alignment horizontal="center" vertical="top" wrapText="1"/>
    </xf>
    <xf numFmtId="3" fontId="1" fillId="7" borderId="3" xfId="0" applyNumberFormat="1" applyFont="1" applyFill="1" applyBorder="1" applyAlignment="1">
      <alignment horizontal="center" vertical="top" wrapText="1"/>
    </xf>
    <xf numFmtId="3" fontId="1" fillId="7" borderId="121" xfId="0" applyNumberFormat="1" applyFont="1" applyFill="1" applyBorder="1" applyAlignment="1">
      <alignment horizontal="center" vertical="top" wrapText="1"/>
    </xf>
    <xf numFmtId="49" fontId="2" fillId="7" borderId="89" xfId="0" applyNumberFormat="1" applyFont="1" applyFill="1" applyBorder="1" applyAlignment="1">
      <alignment horizontal="center" vertical="top"/>
    </xf>
    <xf numFmtId="165" fontId="1" fillId="7" borderId="32" xfId="0" applyNumberFormat="1" applyFont="1" applyFill="1" applyBorder="1" applyAlignment="1">
      <alignment horizontal="center" vertical="top"/>
    </xf>
    <xf numFmtId="49" fontId="2" fillId="7" borderId="28"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49" fontId="1" fillId="7" borderId="56" xfId="0" applyNumberFormat="1" applyFont="1" applyFill="1" applyBorder="1" applyAlignment="1">
      <alignment horizontal="center" vertical="top"/>
    </xf>
    <xf numFmtId="165" fontId="1" fillId="7" borderId="25" xfId="0" applyNumberFormat="1" applyFont="1" applyFill="1" applyBorder="1" applyAlignment="1">
      <alignment vertical="top" wrapText="1"/>
    </xf>
    <xf numFmtId="165" fontId="2" fillId="7" borderId="26" xfId="0" applyNumberFormat="1" applyFont="1" applyFill="1" applyBorder="1" applyAlignment="1">
      <alignment horizontal="center" vertical="center" wrapText="1"/>
    </xf>
    <xf numFmtId="165" fontId="1" fillId="7" borderId="103" xfId="0" applyNumberFormat="1" applyFont="1" applyFill="1" applyBorder="1" applyAlignment="1">
      <alignment vertical="top" wrapText="1"/>
    </xf>
    <xf numFmtId="165" fontId="1" fillId="7" borderId="118" xfId="0" applyNumberFormat="1" applyFont="1" applyFill="1" applyBorder="1" applyAlignment="1">
      <alignment horizontal="center" vertical="top"/>
    </xf>
    <xf numFmtId="165" fontId="2" fillId="7" borderId="3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0" fontId="1" fillId="7" borderId="0" xfId="0" applyFont="1" applyFill="1" applyAlignment="1">
      <alignment horizontal="center" vertical="top"/>
    </xf>
    <xf numFmtId="165" fontId="1" fillId="7" borderId="95" xfId="0" applyNumberFormat="1" applyFont="1" applyFill="1" applyBorder="1" applyAlignment="1">
      <alignment horizontal="center" vertical="top"/>
    </xf>
    <xf numFmtId="167" fontId="1" fillId="7" borderId="62" xfId="0" applyNumberFormat="1" applyFont="1" applyFill="1" applyBorder="1" applyAlignment="1">
      <alignment horizontal="center" vertical="top"/>
    </xf>
    <xf numFmtId="167" fontId="1" fillId="7" borderId="35" xfId="0" applyNumberFormat="1" applyFont="1" applyFill="1" applyBorder="1" applyAlignment="1">
      <alignment horizontal="center" vertical="top"/>
    </xf>
    <xf numFmtId="165" fontId="22" fillId="7" borderId="71" xfId="0" applyNumberFormat="1" applyFont="1" applyFill="1" applyBorder="1" applyAlignment="1">
      <alignment vertical="top" wrapText="1"/>
    </xf>
    <xf numFmtId="0" fontId="1" fillId="7" borderId="6" xfId="0"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1" fillId="7" borderId="20"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0" borderId="20" xfId="0" applyNumberFormat="1" applyFont="1" applyBorder="1" applyAlignment="1">
      <alignment horizontal="center" vertical="top"/>
    </xf>
    <xf numFmtId="165" fontId="1" fillId="7" borderId="95"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165" fontId="1" fillId="7" borderId="17" xfId="0" applyNumberFormat="1" applyFont="1" applyFill="1" applyBorder="1" applyAlignment="1">
      <alignment horizontal="left" vertical="top" wrapText="1"/>
    </xf>
    <xf numFmtId="0" fontId="1" fillId="7" borderId="31"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1" fillId="7" borderId="9" xfId="0" applyNumberFormat="1" applyFont="1" applyFill="1" applyBorder="1" applyAlignment="1">
      <alignment horizontal="left" vertical="top" wrapText="1"/>
    </xf>
    <xf numFmtId="165" fontId="1" fillId="7" borderId="24" xfId="0" applyNumberFormat="1" applyFont="1" applyFill="1" applyBorder="1" applyAlignment="1">
      <alignment vertical="top" wrapText="1"/>
    </xf>
    <xf numFmtId="165" fontId="1" fillId="7" borderId="9" xfId="0" applyNumberFormat="1" applyFont="1" applyFill="1" applyBorder="1" applyAlignment="1">
      <alignment vertical="top" wrapText="1"/>
    </xf>
    <xf numFmtId="0" fontId="1" fillId="7" borderId="4" xfId="0" applyFont="1" applyFill="1" applyBorder="1" applyAlignment="1">
      <alignment horizontal="center" vertical="top"/>
    </xf>
    <xf numFmtId="165" fontId="2" fillId="9" borderId="5"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7" borderId="6" xfId="0" applyFont="1" applyFill="1" applyBorder="1" applyAlignment="1">
      <alignment vertical="top" wrapText="1"/>
    </xf>
    <xf numFmtId="0" fontId="1" fillId="7" borderId="4" xfId="0" applyFont="1" applyFill="1" applyBorder="1" applyAlignment="1">
      <alignment horizontal="left" vertical="top" wrapText="1"/>
    </xf>
    <xf numFmtId="0" fontId="5" fillId="7" borderId="9" xfId="0" applyFont="1" applyFill="1" applyBorder="1" applyAlignment="1">
      <alignment vertical="top" wrapText="1"/>
    </xf>
    <xf numFmtId="165" fontId="1" fillId="7" borderId="39" xfId="0" applyNumberFormat="1" applyFont="1" applyFill="1" applyBorder="1" applyAlignment="1">
      <alignment vertical="top" wrapText="1"/>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0" fontId="1" fillId="7" borderId="70" xfId="0" applyFont="1" applyFill="1" applyBorder="1" applyAlignment="1">
      <alignment horizontal="left" vertical="top" wrapText="1"/>
    </xf>
    <xf numFmtId="165" fontId="1" fillId="7" borderId="39" xfId="0" applyNumberFormat="1" applyFont="1" applyFill="1" applyBorder="1" applyAlignment="1">
      <alignment horizontal="left" vertical="top" wrapText="1"/>
    </xf>
    <xf numFmtId="0" fontId="1" fillId="7" borderId="9" xfId="0" applyFont="1" applyFill="1" applyBorder="1" applyAlignment="1">
      <alignment horizontal="center" vertical="top"/>
    </xf>
    <xf numFmtId="0" fontId="1" fillId="7" borderId="5" xfId="0" applyFont="1" applyFill="1" applyBorder="1" applyAlignment="1">
      <alignment horizontal="center" vertical="top"/>
    </xf>
    <xf numFmtId="165" fontId="2" fillId="7" borderId="3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165" fontId="2" fillId="9" borderId="28" xfId="0" applyNumberFormat="1" applyFont="1" applyFill="1" applyBorder="1" applyAlignment="1">
      <alignment horizontal="center" vertical="top"/>
    </xf>
    <xf numFmtId="0" fontId="1" fillId="7" borderId="67" xfId="0" applyFont="1" applyFill="1" applyBorder="1" applyAlignment="1">
      <alignment horizontal="left" vertical="top" wrapText="1"/>
    </xf>
    <xf numFmtId="167" fontId="1" fillId="7" borderId="9" xfId="0" applyNumberFormat="1" applyFont="1" applyFill="1" applyBorder="1" applyAlignment="1">
      <alignment horizontal="center" vertical="top"/>
    </xf>
    <xf numFmtId="167" fontId="1" fillId="7" borderId="15" xfId="0" applyNumberFormat="1" applyFont="1" applyFill="1" applyBorder="1" applyAlignment="1">
      <alignment horizontal="center" vertical="top"/>
    </xf>
    <xf numFmtId="3" fontId="1" fillId="7" borderId="39" xfId="0" applyNumberFormat="1" applyFont="1" applyFill="1" applyBorder="1" applyAlignment="1">
      <alignment horizontal="center" vertical="top" wrapText="1"/>
    </xf>
    <xf numFmtId="165" fontId="2" fillId="7" borderId="38" xfId="0" applyNumberFormat="1" applyFont="1" applyFill="1" applyBorder="1" applyAlignment="1">
      <alignment horizontal="center" vertical="top" wrapText="1"/>
    </xf>
    <xf numFmtId="165" fontId="1" fillId="7" borderId="4" xfId="0" applyNumberFormat="1" applyFont="1" applyFill="1" applyBorder="1" applyAlignment="1">
      <alignment vertical="top"/>
    </xf>
    <xf numFmtId="165" fontId="1" fillId="7" borderId="38" xfId="0" applyNumberFormat="1" applyFont="1" applyFill="1" applyBorder="1" applyAlignment="1">
      <alignment vertical="top"/>
    </xf>
    <xf numFmtId="165" fontId="1" fillId="7" borderId="9" xfId="0" applyNumberFormat="1" applyFont="1" applyFill="1" applyBorder="1" applyAlignment="1">
      <alignment vertical="top"/>
    </xf>
    <xf numFmtId="165" fontId="1" fillId="7" borderId="0" xfId="0" applyNumberFormat="1" applyFont="1" applyFill="1" applyBorder="1" applyAlignment="1">
      <alignment vertical="top"/>
    </xf>
    <xf numFmtId="0" fontId="2" fillId="7" borderId="9" xfId="0" applyFont="1" applyFill="1" applyBorder="1" applyAlignment="1">
      <alignment horizontal="center" vertical="top"/>
    </xf>
    <xf numFmtId="165" fontId="1" fillId="7" borderId="93" xfId="0" applyNumberFormat="1" applyFont="1" applyFill="1" applyBorder="1" applyAlignment="1">
      <alignment vertical="top"/>
    </xf>
    <xf numFmtId="165" fontId="2" fillId="7" borderId="39" xfId="0" applyNumberFormat="1" applyFont="1" applyFill="1" applyBorder="1" applyAlignment="1">
      <alignment vertical="top" wrapText="1"/>
    </xf>
    <xf numFmtId="165" fontId="2" fillId="7" borderId="9" xfId="0" applyNumberFormat="1" applyFont="1" applyFill="1" applyBorder="1" applyAlignment="1">
      <alignment vertical="top" wrapText="1"/>
    </xf>
    <xf numFmtId="3" fontId="1" fillId="7" borderId="61"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0" fontId="2" fillId="7" borderId="18" xfId="0" applyFont="1" applyFill="1" applyBorder="1" applyAlignment="1">
      <alignment horizontal="center" vertical="top" wrapText="1"/>
    </xf>
    <xf numFmtId="0" fontId="1" fillId="7" borderId="5" xfId="0" applyFont="1" applyFill="1" applyBorder="1" applyAlignment="1">
      <alignment vertical="top"/>
    </xf>
    <xf numFmtId="0" fontId="2" fillId="7" borderId="29" xfId="0" applyFont="1" applyFill="1" applyBorder="1" applyAlignment="1">
      <alignment horizontal="center" vertical="top"/>
    </xf>
    <xf numFmtId="165" fontId="2" fillId="8" borderId="122" xfId="0" applyNumberFormat="1" applyFont="1" applyFill="1" applyBorder="1" applyAlignment="1">
      <alignment horizontal="center" vertical="top"/>
    </xf>
    <xf numFmtId="165" fontId="2" fillId="7" borderId="23" xfId="0" applyNumberFormat="1" applyFont="1" applyFill="1" applyBorder="1" applyAlignment="1">
      <alignment horizontal="center" vertical="top" wrapText="1"/>
    </xf>
    <xf numFmtId="0" fontId="1" fillId="7" borderId="95" xfId="0" applyFont="1" applyFill="1" applyBorder="1" applyAlignment="1">
      <alignment vertical="top"/>
    </xf>
    <xf numFmtId="165" fontId="2" fillId="8" borderId="25" xfId="0" applyNumberFormat="1" applyFont="1" applyFill="1" applyBorder="1" applyAlignment="1">
      <alignment horizontal="center" vertical="top"/>
    </xf>
    <xf numFmtId="165" fontId="2" fillId="7" borderId="15" xfId="0" applyNumberFormat="1" applyFont="1" applyFill="1" applyBorder="1" applyAlignment="1">
      <alignment horizontal="center" vertical="top" wrapText="1"/>
    </xf>
    <xf numFmtId="0" fontId="1" fillId="7" borderId="18" xfId="0" applyNumberFormat="1" applyFont="1" applyFill="1" applyBorder="1" applyAlignment="1">
      <alignment horizontal="center" vertical="top"/>
    </xf>
    <xf numFmtId="0" fontId="5" fillId="7" borderId="82" xfId="0" applyFont="1" applyFill="1" applyBorder="1" applyAlignment="1">
      <alignment vertical="top" wrapText="1"/>
    </xf>
    <xf numFmtId="0" fontId="1" fillId="7" borderId="71" xfId="0" applyFont="1" applyFill="1" applyBorder="1" applyAlignment="1">
      <alignment horizontal="center" vertical="center"/>
    </xf>
    <xf numFmtId="0" fontId="1" fillId="7" borderId="62" xfId="0" applyFont="1" applyFill="1" applyBorder="1" applyAlignment="1">
      <alignment horizontal="center" vertical="center"/>
    </xf>
    <xf numFmtId="0" fontId="1" fillId="7" borderId="65" xfId="0" applyFont="1" applyFill="1" applyBorder="1" applyAlignment="1">
      <alignment horizontal="center" vertical="center"/>
    </xf>
    <xf numFmtId="0" fontId="1" fillId="7" borderId="83" xfId="0" applyFont="1" applyFill="1" applyBorder="1" applyAlignment="1">
      <alignment horizontal="center" vertical="center"/>
    </xf>
    <xf numFmtId="0" fontId="5" fillId="7" borderId="39" xfId="0" applyFont="1" applyFill="1" applyBorder="1" applyAlignment="1">
      <alignment vertical="top" wrapText="1"/>
    </xf>
    <xf numFmtId="0" fontId="1" fillId="7" borderId="9" xfId="0" applyFont="1" applyFill="1" applyBorder="1" applyAlignment="1">
      <alignment vertical="top"/>
    </xf>
    <xf numFmtId="0" fontId="1" fillId="7" borderId="35" xfId="0" applyFont="1" applyFill="1" applyBorder="1" applyAlignment="1">
      <alignment vertical="top"/>
    </xf>
    <xf numFmtId="0" fontId="1" fillId="7" borderId="15" xfId="0" applyFont="1" applyFill="1" applyBorder="1" applyAlignment="1">
      <alignment vertical="top"/>
    </xf>
    <xf numFmtId="0" fontId="27" fillId="0" borderId="0" xfId="0" applyFont="1" applyBorder="1" applyAlignment="1">
      <alignment vertical="top"/>
    </xf>
    <xf numFmtId="165" fontId="2" fillId="8" borderId="87" xfId="0" applyNumberFormat="1" applyFont="1" applyFill="1" applyBorder="1" applyAlignment="1">
      <alignment horizontal="center" vertical="top"/>
    </xf>
    <xf numFmtId="165" fontId="27" fillId="7" borderId="6" xfId="0" applyNumberFormat="1" applyFont="1" applyFill="1" applyBorder="1" applyAlignment="1">
      <alignment horizontal="center" vertical="top" wrapText="1"/>
    </xf>
    <xf numFmtId="165" fontId="27" fillId="7" borderId="92" xfId="0" applyNumberFormat="1" applyFont="1" applyFill="1" applyBorder="1" applyAlignment="1">
      <alignment horizontal="center" vertical="top"/>
    </xf>
    <xf numFmtId="165" fontId="27" fillId="7" borderId="17" xfId="0" applyNumberFormat="1" applyFont="1" applyFill="1" applyBorder="1" applyAlignment="1">
      <alignment horizontal="center" vertical="top"/>
    </xf>
    <xf numFmtId="165" fontId="27" fillId="7" borderId="18" xfId="0" applyNumberFormat="1" applyFont="1" applyFill="1" applyBorder="1" applyAlignment="1">
      <alignment horizontal="center" vertical="top"/>
    </xf>
    <xf numFmtId="165" fontId="27" fillId="7" borderId="4" xfId="0" applyNumberFormat="1" applyFont="1" applyFill="1" applyBorder="1" applyAlignment="1">
      <alignment horizontal="center" vertical="top" wrapText="1"/>
    </xf>
    <xf numFmtId="165" fontId="27" fillId="7" borderId="5" xfId="0" applyNumberFormat="1" applyFont="1" applyFill="1" applyBorder="1" applyAlignment="1">
      <alignment horizontal="center" vertical="top"/>
    </xf>
    <xf numFmtId="165" fontId="27" fillId="7" borderId="9" xfId="0" applyNumberFormat="1" applyFont="1" applyFill="1" applyBorder="1" applyAlignment="1">
      <alignment horizontal="center" vertical="top"/>
    </xf>
    <xf numFmtId="165" fontId="27" fillId="7" borderId="15" xfId="0" applyNumberFormat="1" applyFont="1" applyFill="1" applyBorder="1" applyAlignment="1">
      <alignment horizontal="center" vertical="top"/>
    </xf>
    <xf numFmtId="165" fontId="27" fillId="7" borderId="4" xfId="0" applyNumberFormat="1" applyFont="1" applyFill="1" applyBorder="1" applyAlignment="1">
      <alignment horizontal="center" vertical="top"/>
    </xf>
    <xf numFmtId="165" fontId="27" fillId="7" borderId="38" xfId="0" applyNumberFormat="1" applyFont="1" applyFill="1" applyBorder="1" applyAlignment="1">
      <alignment horizontal="center" vertical="top"/>
    </xf>
    <xf numFmtId="165" fontId="27" fillId="7" borderId="20" xfId="0" applyNumberFormat="1" applyFont="1" applyFill="1" applyBorder="1" applyAlignment="1">
      <alignment horizontal="center" vertical="top"/>
    </xf>
    <xf numFmtId="165" fontId="27" fillId="7" borderId="93" xfId="0" applyNumberFormat="1" applyFont="1" applyFill="1" applyBorder="1" applyAlignment="1">
      <alignment horizontal="center" vertical="top"/>
    </xf>
    <xf numFmtId="165" fontId="27" fillId="7" borderId="24" xfId="0" applyNumberFormat="1" applyFont="1" applyFill="1" applyBorder="1" applyAlignment="1">
      <alignment horizontal="center" vertical="top"/>
    </xf>
    <xf numFmtId="165" fontId="27" fillId="7" borderId="23" xfId="0" applyNumberFormat="1" applyFont="1" applyFill="1" applyBorder="1" applyAlignment="1">
      <alignment horizontal="center" vertical="top"/>
    </xf>
    <xf numFmtId="165" fontId="27" fillId="7" borderId="70" xfId="0" applyNumberFormat="1" applyFont="1" applyFill="1" applyBorder="1" applyAlignment="1">
      <alignment horizontal="center" vertical="top"/>
    </xf>
    <xf numFmtId="0" fontId="27" fillId="0" borderId="20" xfId="0" applyFont="1" applyBorder="1" applyAlignment="1">
      <alignment horizontal="center" vertical="top"/>
    </xf>
    <xf numFmtId="167" fontId="27" fillId="0" borderId="93" xfId="0" applyNumberFormat="1" applyFont="1" applyBorder="1" applyAlignment="1">
      <alignment horizontal="center" vertical="top"/>
    </xf>
    <xf numFmtId="0" fontId="27" fillId="0" borderId="24" xfId="0" applyFont="1" applyBorder="1" applyAlignment="1">
      <alignment horizontal="center" vertical="top"/>
    </xf>
    <xf numFmtId="0" fontId="27" fillId="7" borderId="92" xfId="0" applyFont="1" applyFill="1" applyBorder="1" applyAlignment="1">
      <alignment horizontal="center" vertical="top"/>
    </xf>
    <xf numFmtId="0" fontId="27" fillId="7" borderId="17" xfId="0" applyFont="1" applyFill="1" applyBorder="1" applyAlignment="1">
      <alignment horizontal="center" vertical="top"/>
    </xf>
    <xf numFmtId="0" fontId="27" fillId="0" borderId="4" xfId="0" applyFont="1" applyBorder="1" applyAlignment="1">
      <alignment horizontal="center" vertical="top"/>
    </xf>
    <xf numFmtId="165" fontId="27" fillId="7" borderId="61" xfId="0" applyNumberFormat="1" applyFont="1" applyFill="1" applyBorder="1" applyAlignment="1">
      <alignment horizontal="center" vertical="top"/>
    </xf>
    <xf numFmtId="165" fontId="27" fillId="7" borderId="71" xfId="0" applyNumberFormat="1" applyFont="1" applyFill="1" applyBorder="1" applyAlignment="1">
      <alignment horizontal="center" vertical="top"/>
    </xf>
    <xf numFmtId="165" fontId="27" fillId="7" borderId="6" xfId="0" applyNumberFormat="1" applyFont="1" applyFill="1" applyBorder="1" applyAlignment="1">
      <alignment horizontal="center" vertical="top"/>
    </xf>
    <xf numFmtId="165" fontId="27" fillId="7" borderId="46" xfId="0" applyNumberFormat="1" applyFont="1" applyFill="1" applyBorder="1" applyAlignment="1">
      <alignment horizontal="center" vertical="top"/>
    </xf>
    <xf numFmtId="0" fontId="27" fillId="7" borderId="6" xfId="0" applyFont="1" applyFill="1" applyBorder="1" applyAlignment="1">
      <alignment horizontal="center" vertical="top"/>
    </xf>
    <xf numFmtId="167" fontId="27" fillId="7" borderId="92" xfId="0" applyNumberFormat="1" applyFont="1" applyFill="1" applyBorder="1" applyAlignment="1">
      <alignment horizontal="center" vertical="top"/>
    </xf>
    <xf numFmtId="167" fontId="27" fillId="7" borderId="17" xfId="0" applyNumberFormat="1" applyFont="1" applyFill="1" applyBorder="1" applyAlignment="1">
      <alignment horizontal="center" vertical="top"/>
    </xf>
    <xf numFmtId="167" fontId="27" fillId="7" borderId="18" xfId="0" applyNumberFormat="1" applyFont="1" applyFill="1" applyBorder="1" applyAlignment="1">
      <alignment horizontal="center" vertical="top"/>
    </xf>
    <xf numFmtId="167" fontId="27" fillId="7" borderId="5" xfId="0" applyNumberFormat="1" applyFont="1" applyFill="1" applyBorder="1" applyAlignment="1">
      <alignment horizontal="center" vertical="top"/>
    </xf>
    <xf numFmtId="167" fontId="27" fillId="7" borderId="9" xfId="0" applyNumberFormat="1" applyFont="1" applyFill="1" applyBorder="1" applyAlignment="1">
      <alignment horizontal="center" vertical="top"/>
    </xf>
    <xf numFmtId="167" fontId="27" fillId="7" borderId="15" xfId="0" applyNumberFormat="1" applyFont="1" applyFill="1" applyBorder="1" applyAlignment="1">
      <alignment horizontal="center" vertical="top"/>
    </xf>
    <xf numFmtId="0" fontId="27" fillId="0" borderId="0" xfId="0" applyFont="1" applyAlignment="1">
      <alignment vertical="top"/>
    </xf>
    <xf numFmtId="0" fontId="27" fillId="0" borderId="39" xfId="0" applyFont="1" applyBorder="1" applyAlignment="1">
      <alignment vertical="top"/>
    </xf>
    <xf numFmtId="0" fontId="27" fillId="0" borderId="15" xfId="0" applyFont="1" applyBorder="1" applyAlignment="1">
      <alignment vertical="top"/>
    </xf>
    <xf numFmtId="165" fontId="27" fillId="7" borderId="20" xfId="0" applyNumberFormat="1" applyFont="1" applyFill="1" applyBorder="1" applyAlignment="1">
      <alignment horizontal="center" vertical="top" wrapText="1"/>
    </xf>
    <xf numFmtId="0" fontId="27" fillId="7" borderId="93" xfId="0" applyFont="1" applyFill="1" applyBorder="1" applyAlignment="1">
      <alignment vertical="top"/>
    </xf>
    <xf numFmtId="0" fontId="27" fillId="7" borderId="24" xfId="0" applyFont="1" applyFill="1" applyBorder="1" applyAlignment="1">
      <alignment vertical="top"/>
    </xf>
    <xf numFmtId="167" fontId="27" fillId="7" borderId="23" xfId="0" applyNumberFormat="1" applyFont="1" applyFill="1" applyBorder="1" applyAlignment="1">
      <alignment horizontal="center" vertical="top"/>
    </xf>
    <xf numFmtId="0" fontId="27" fillId="7" borderId="4" xfId="0" applyFont="1" applyFill="1" applyBorder="1" applyAlignment="1">
      <alignment horizontal="center" vertical="top"/>
    </xf>
    <xf numFmtId="165" fontId="27" fillId="7" borderId="0" xfId="0" applyNumberFormat="1" applyFont="1" applyFill="1" applyBorder="1" applyAlignment="1">
      <alignment horizontal="center" vertical="top"/>
    </xf>
    <xf numFmtId="0" fontId="27" fillId="7" borderId="20" xfId="0" applyFont="1" applyFill="1" applyBorder="1" applyAlignment="1">
      <alignment horizontal="center" vertical="top"/>
    </xf>
    <xf numFmtId="165" fontId="27" fillId="7" borderId="16" xfId="0" applyNumberFormat="1" applyFont="1" applyFill="1" applyBorder="1" applyAlignment="1">
      <alignment horizontal="center" vertical="top"/>
    </xf>
    <xf numFmtId="165" fontId="27" fillId="7" borderId="16" xfId="0" applyNumberFormat="1" applyFont="1" applyFill="1" applyBorder="1" applyAlignment="1">
      <alignment vertical="top"/>
    </xf>
    <xf numFmtId="165" fontId="27" fillId="7" borderId="24" xfId="0" applyNumberFormat="1" applyFont="1" applyFill="1" applyBorder="1" applyAlignment="1">
      <alignment vertical="top"/>
    </xf>
    <xf numFmtId="165" fontId="27" fillId="7" borderId="59" xfId="0" applyNumberFormat="1" applyFont="1" applyFill="1" applyBorder="1" applyAlignment="1">
      <alignment vertical="top"/>
    </xf>
    <xf numFmtId="165" fontId="27" fillId="7" borderId="35" xfId="0" applyNumberFormat="1" applyFont="1" applyFill="1" applyBorder="1" applyAlignment="1">
      <alignment horizontal="center" vertical="top"/>
    </xf>
    <xf numFmtId="165" fontId="27" fillId="7" borderId="67" xfId="0" applyNumberFormat="1" applyFont="1" applyFill="1" applyBorder="1" applyAlignment="1">
      <alignment horizontal="center" vertical="top"/>
    </xf>
    <xf numFmtId="165" fontId="27" fillId="7" borderId="93" xfId="1" applyNumberFormat="1" applyFont="1" applyFill="1" applyBorder="1" applyAlignment="1">
      <alignment horizontal="center" vertical="top"/>
    </xf>
    <xf numFmtId="165" fontId="27" fillId="7" borderId="24" xfId="1" applyNumberFormat="1" applyFont="1" applyFill="1" applyBorder="1" applyAlignment="1">
      <alignment horizontal="center" vertical="top"/>
    </xf>
    <xf numFmtId="165" fontId="27" fillId="7" borderId="23" xfId="1" applyNumberFormat="1" applyFont="1" applyFill="1" applyBorder="1" applyAlignment="1">
      <alignment horizontal="center" vertical="top"/>
    </xf>
    <xf numFmtId="165" fontId="27" fillId="7" borderId="36" xfId="0" applyNumberFormat="1" applyFont="1" applyFill="1" applyBorder="1" applyAlignment="1">
      <alignment horizontal="center" vertical="top"/>
    </xf>
    <xf numFmtId="165" fontId="27" fillId="7" borderId="31" xfId="0" applyNumberFormat="1" applyFont="1" applyFill="1" applyBorder="1" applyAlignment="1">
      <alignment horizontal="center" vertical="top"/>
    </xf>
    <xf numFmtId="165" fontId="27" fillId="7" borderId="20" xfId="0" applyNumberFormat="1" applyFont="1" applyFill="1" applyBorder="1" applyAlignment="1">
      <alignment horizontal="center" vertical="center"/>
    </xf>
    <xf numFmtId="165" fontId="27" fillId="7" borderId="16" xfId="0" applyNumberFormat="1" applyFont="1" applyFill="1" applyBorder="1" applyAlignment="1">
      <alignment horizontal="center" vertical="center"/>
    </xf>
    <xf numFmtId="165" fontId="27" fillId="7" borderId="24" xfId="0" applyNumberFormat="1" applyFont="1" applyFill="1" applyBorder="1" applyAlignment="1">
      <alignment horizontal="center" vertical="center"/>
    </xf>
    <xf numFmtId="165" fontId="27" fillId="7" borderId="59" xfId="0" applyNumberFormat="1" applyFont="1" applyFill="1" applyBorder="1" applyAlignment="1">
      <alignment horizontal="center" vertical="center"/>
    </xf>
    <xf numFmtId="0" fontId="27" fillId="7" borderId="20" xfId="0" applyFont="1" applyFill="1" applyBorder="1" applyAlignment="1">
      <alignment vertical="top"/>
    </xf>
    <xf numFmtId="0" fontId="27" fillId="7" borderId="0" xfId="0" applyFont="1" applyFill="1" applyBorder="1" applyAlignment="1">
      <alignment vertical="top"/>
    </xf>
    <xf numFmtId="0" fontId="27" fillId="0" borderId="24" xfId="0" applyFont="1" applyBorder="1" applyAlignment="1">
      <alignment vertical="top"/>
    </xf>
    <xf numFmtId="0" fontId="27" fillId="0" borderId="23" xfId="0" applyFont="1" applyBorder="1" applyAlignment="1">
      <alignment vertical="top"/>
    </xf>
    <xf numFmtId="165" fontId="27" fillId="7" borderId="59" xfId="0" applyNumberFormat="1" applyFont="1" applyFill="1" applyBorder="1" applyAlignment="1">
      <alignment horizontal="center" vertical="top"/>
    </xf>
    <xf numFmtId="165" fontId="27" fillId="0" borderId="6" xfId="0" applyNumberFormat="1" applyFont="1" applyFill="1" applyBorder="1" applyAlignment="1">
      <alignment horizontal="center" vertical="top"/>
    </xf>
    <xf numFmtId="165" fontId="27" fillId="0" borderId="49" xfId="0" applyNumberFormat="1" applyFont="1" applyBorder="1" applyAlignment="1">
      <alignment vertical="top"/>
    </xf>
    <xf numFmtId="0" fontId="27" fillId="7" borderId="65" xfId="0" applyFont="1" applyFill="1" applyBorder="1" applyAlignment="1">
      <alignment horizontal="center" vertical="top"/>
    </xf>
    <xf numFmtId="0" fontId="27" fillId="7" borderId="71" xfId="0" applyFont="1" applyFill="1" applyBorder="1" applyAlignment="1">
      <alignment horizontal="center" vertical="top"/>
    </xf>
    <xf numFmtId="165" fontId="27" fillId="7" borderId="75" xfId="0" applyNumberFormat="1" applyFont="1" applyFill="1" applyBorder="1" applyAlignment="1">
      <alignment horizontal="center" vertical="top"/>
    </xf>
    <xf numFmtId="165" fontId="27" fillId="7" borderId="102" xfId="0" applyNumberFormat="1" applyFont="1" applyFill="1" applyBorder="1" applyAlignment="1">
      <alignment horizontal="center" vertical="top"/>
    </xf>
    <xf numFmtId="165" fontId="27" fillId="7" borderId="95" xfId="0" applyNumberFormat="1" applyFont="1" applyFill="1" applyBorder="1" applyAlignment="1">
      <alignment horizontal="center" vertical="top"/>
    </xf>
    <xf numFmtId="0" fontId="27" fillId="0" borderId="20" xfId="0" applyFont="1" applyBorder="1" applyAlignment="1">
      <alignment vertical="top"/>
    </xf>
    <xf numFmtId="0" fontId="27" fillId="0" borderId="93" xfId="0" applyFont="1" applyBorder="1" applyAlignment="1">
      <alignment vertical="top"/>
    </xf>
    <xf numFmtId="0" fontId="27" fillId="0" borderId="29" xfId="0" applyFont="1" applyBorder="1" applyAlignment="1">
      <alignment vertical="top"/>
    </xf>
    <xf numFmtId="165" fontId="27" fillId="7" borderId="28" xfId="0" applyNumberFormat="1" applyFont="1" applyFill="1" applyBorder="1" applyAlignment="1">
      <alignment horizontal="center" vertical="top"/>
    </xf>
    <xf numFmtId="165" fontId="27" fillId="7" borderId="23" xfId="0" applyNumberFormat="1" applyFont="1" applyFill="1" applyBorder="1" applyAlignment="1">
      <alignment vertical="top"/>
    </xf>
    <xf numFmtId="165" fontId="27" fillId="7" borderId="4" xfId="1" applyNumberFormat="1" applyFont="1" applyFill="1" applyBorder="1" applyAlignment="1">
      <alignment horizontal="center" vertical="top" wrapText="1"/>
    </xf>
    <xf numFmtId="165" fontId="27" fillId="7" borderId="108" xfId="1" applyNumberFormat="1" applyFont="1" applyFill="1" applyBorder="1" applyAlignment="1">
      <alignment horizontal="center" vertical="top"/>
    </xf>
    <xf numFmtId="165" fontId="27" fillId="7" borderId="1" xfId="1" applyNumberFormat="1" applyFont="1" applyFill="1" applyBorder="1" applyAlignment="1">
      <alignment horizontal="center" vertical="top"/>
    </xf>
    <xf numFmtId="165" fontId="27" fillId="7" borderId="48" xfId="1" applyNumberFormat="1" applyFont="1" applyFill="1" applyBorder="1" applyAlignment="1">
      <alignment horizontal="center" vertical="top"/>
    </xf>
    <xf numFmtId="165" fontId="27" fillId="7" borderId="38" xfId="0" applyNumberFormat="1" applyFont="1" applyFill="1" applyBorder="1" applyAlignment="1">
      <alignment vertical="top"/>
    </xf>
    <xf numFmtId="165" fontId="27" fillId="7" borderId="9" xfId="0" applyNumberFormat="1" applyFont="1" applyFill="1" applyBorder="1" applyAlignment="1">
      <alignment vertical="top"/>
    </xf>
    <xf numFmtId="165" fontId="27" fillId="7" borderId="0" xfId="0" applyNumberFormat="1" applyFont="1" applyFill="1" applyBorder="1" applyAlignment="1">
      <alignment vertical="top"/>
    </xf>
    <xf numFmtId="165" fontId="27" fillId="7" borderId="93" xfId="0" applyNumberFormat="1" applyFont="1" applyFill="1" applyBorder="1" applyAlignment="1">
      <alignment vertical="top"/>
    </xf>
    <xf numFmtId="165" fontId="1" fillId="7" borderId="79" xfId="0" applyNumberFormat="1" applyFont="1" applyFill="1" applyBorder="1" applyAlignment="1">
      <alignment vertical="top" wrapText="1"/>
    </xf>
    <xf numFmtId="165" fontId="1" fillId="0" borderId="101" xfId="0" applyNumberFormat="1" applyFont="1" applyFill="1" applyBorder="1" applyAlignment="1">
      <alignment horizontal="center" vertical="top"/>
    </xf>
    <xf numFmtId="165" fontId="1" fillId="7" borderId="5" xfId="0" applyNumberFormat="1" applyFont="1" applyFill="1" applyBorder="1" applyAlignment="1">
      <alignment vertical="top"/>
    </xf>
    <xf numFmtId="165" fontId="1" fillId="7" borderId="3" xfId="0" applyNumberFormat="1" applyFont="1" applyFill="1" applyBorder="1" applyAlignment="1">
      <alignment vertical="top"/>
    </xf>
    <xf numFmtId="165" fontId="1" fillId="7" borderId="21" xfId="0" applyNumberFormat="1" applyFont="1" applyFill="1" applyBorder="1" applyAlignment="1">
      <alignment vertical="top"/>
    </xf>
    <xf numFmtId="165" fontId="2" fillId="7" borderId="21" xfId="0" applyNumberFormat="1" applyFont="1" applyFill="1" applyBorder="1" applyAlignment="1">
      <alignment horizontal="center" vertical="top" wrapText="1"/>
    </xf>
    <xf numFmtId="165" fontId="1" fillId="7" borderId="32" xfId="0" applyNumberFormat="1" applyFont="1" applyFill="1" applyBorder="1" applyAlignment="1">
      <alignment vertical="top"/>
    </xf>
    <xf numFmtId="165" fontId="1" fillId="7" borderId="90" xfId="0" applyNumberFormat="1" applyFont="1" applyFill="1" applyBorder="1" applyAlignment="1">
      <alignment vertical="top"/>
    </xf>
    <xf numFmtId="165" fontId="1" fillId="7" borderId="15" xfId="0" applyNumberFormat="1" applyFont="1" applyFill="1" applyBorder="1" applyAlignment="1">
      <alignment vertical="top"/>
    </xf>
    <xf numFmtId="165" fontId="1" fillId="7" borderId="35" xfId="0" applyNumberFormat="1" applyFont="1" applyFill="1" applyBorder="1" applyAlignment="1">
      <alignment vertical="top"/>
    </xf>
    <xf numFmtId="165" fontId="1" fillId="7" borderId="3" xfId="0" applyNumberFormat="1" applyFont="1" applyFill="1" applyBorder="1" applyAlignment="1">
      <alignment horizontal="center" vertical="top"/>
    </xf>
    <xf numFmtId="165" fontId="27" fillId="0" borderId="38" xfId="0" applyNumberFormat="1" applyFont="1" applyFill="1" applyBorder="1" applyAlignment="1">
      <alignment horizontal="center" vertical="top"/>
    </xf>
    <xf numFmtId="165" fontId="27" fillId="0" borderId="18" xfId="0" applyNumberFormat="1" applyFont="1" applyFill="1" applyBorder="1" applyAlignment="1">
      <alignment horizontal="center" vertical="top"/>
    </xf>
    <xf numFmtId="0" fontId="27" fillId="0" borderId="38" xfId="0" applyFont="1" applyBorder="1" applyAlignment="1">
      <alignment vertical="top"/>
    </xf>
    <xf numFmtId="0" fontId="27" fillId="7" borderId="5" xfId="0" applyFont="1" applyFill="1" applyBorder="1" applyAlignment="1">
      <alignment horizontal="center" vertical="top"/>
    </xf>
    <xf numFmtId="165" fontId="27" fillId="7" borderId="38"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36" xfId="0" applyNumberFormat="1" applyFont="1" applyFill="1" applyBorder="1" applyAlignment="1">
      <alignment horizontal="center" vertical="center"/>
    </xf>
    <xf numFmtId="165" fontId="27" fillId="7" borderId="46" xfId="0" applyNumberFormat="1" applyFont="1" applyFill="1" applyBorder="1" applyAlignment="1">
      <alignment horizontal="center" vertical="center"/>
    </xf>
    <xf numFmtId="165" fontId="27" fillId="7" borderId="83" xfId="0" applyNumberFormat="1" applyFont="1" applyFill="1" applyBorder="1" applyAlignment="1">
      <alignment horizontal="center" vertical="top"/>
    </xf>
    <xf numFmtId="0" fontId="27" fillId="0" borderId="59" xfId="0" applyFont="1" applyBorder="1" applyAlignment="1">
      <alignment horizontal="center" vertical="top"/>
    </xf>
    <xf numFmtId="0" fontId="27" fillId="0" borderId="59" xfId="0" applyFont="1" applyBorder="1" applyAlignment="1">
      <alignment vertical="top"/>
    </xf>
    <xf numFmtId="165" fontId="1" fillId="7" borderId="32" xfId="0" applyNumberFormat="1" applyFont="1" applyFill="1" applyBorder="1" applyAlignment="1">
      <alignment horizontal="left" vertical="top" wrapText="1"/>
    </xf>
    <xf numFmtId="0" fontId="27" fillId="7" borderId="9" xfId="0" applyFont="1" applyFill="1" applyBorder="1" applyAlignment="1">
      <alignment horizontal="center" vertical="top"/>
    </xf>
    <xf numFmtId="0" fontId="27" fillId="0" borderId="35" xfId="0" applyFont="1" applyBorder="1" applyAlignment="1">
      <alignment horizontal="center" vertical="top"/>
    </xf>
    <xf numFmtId="165" fontId="27" fillId="0" borderId="24" xfId="0" applyNumberFormat="1" applyFont="1" applyBorder="1" applyAlignment="1">
      <alignment horizontal="center" vertical="top"/>
    </xf>
    <xf numFmtId="165" fontId="27" fillId="0" borderId="59" xfId="0" applyNumberFormat="1" applyFont="1" applyBorder="1" applyAlignment="1">
      <alignment horizontal="center" vertical="top"/>
    </xf>
    <xf numFmtId="165" fontId="27" fillId="7" borderId="19" xfId="0" applyNumberFormat="1" applyFont="1" applyFill="1" applyBorder="1" applyAlignment="1">
      <alignment horizontal="center" vertical="top"/>
    </xf>
    <xf numFmtId="165" fontId="27" fillId="7" borderId="13" xfId="0" applyNumberFormat="1" applyFont="1" applyFill="1" applyBorder="1" applyAlignment="1">
      <alignment horizontal="center" vertical="top"/>
    </xf>
    <xf numFmtId="165" fontId="27" fillId="7" borderId="1" xfId="0" applyNumberFormat="1" applyFont="1" applyFill="1" applyBorder="1" applyAlignment="1">
      <alignment horizontal="center" vertical="top"/>
    </xf>
    <xf numFmtId="165" fontId="27" fillId="7" borderId="14" xfId="0" applyNumberFormat="1" applyFont="1" applyFill="1" applyBorder="1" applyAlignment="1">
      <alignment horizontal="center" vertical="top"/>
    </xf>
    <xf numFmtId="0" fontId="16" fillId="7" borderId="17" xfId="0" applyFont="1" applyFill="1" applyBorder="1" applyAlignment="1">
      <alignment vertical="top" wrapText="1"/>
    </xf>
    <xf numFmtId="0" fontId="1" fillId="0" borderId="110" xfId="0" applyFont="1" applyBorder="1" applyAlignment="1">
      <alignment vertical="top"/>
    </xf>
    <xf numFmtId="0" fontId="1" fillId="7" borderId="70" xfId="0" applyFont="1" applyFill="1" applyBorder="1" applyAlignment="1">
      <alignment horizontal="center" vertical="center"/>
    </xf>
    <xf numFmtId="165" fontId="6" fillId="7" borderId="9" xfId="0" applyNumberFormat="1" applyFont="1" applyFill="1" applyBorder="1" applyAlignment="1">
      <alignment horizontal="center" vertical="top" wrapText="1"/>
    </xf>
    <xf numFmtId="165" fontId="2" fillId="7" borderId="35" xfId="0" applyNumberFormat="1" applyFont="1" applyFill="1" applyBorder="1" applyAlignment="1">
      <alignment horizontal="center" vertical="top"/>
    </xf>
    <xf numFmtId="165" fontId="5" fillId="7" borderId="4" xfId="0" applyNumberFormat="1" applyFont="1" applyFill="1" applyBorder="1" applyAlignment="1">
      <alignment vertical="top" wrapText="1"/>
    </xf>
    <xf numFmtId="165" fontId="5" fillId="7" borderId="32" xfId="0" applyNumberFormat="1" applyFont="1" applyFill="1" applyBorder="1" applyAlignment="1">
      <alignment vertical="top" wrapText="1"/>
    </xf>
    <xf numFmtId="165" fontId="2" fillId="7" borderId="9" xfId="0" applyNumberFormat="1" applyFont="1" applyFill="1" applyBorder="1" applyAlignment="1">
      <alignment horizontal="center" vertical="top"/>
    </xf>
    <xf numFmtId="165" fontId="2" fillId="7" borderId="24" xfId="0" applyNumberFormat="1" applyFont="1" applyFill="1" applyBorder="1" applyAlignment="1">
      <alignment horizontal="center" vertical="top"/>
    </xf>
    <xf numFmtId="167" fontId="27" fillId="7" borderId="95" xfId="0" applyNumberFormat="1" applyFont="1" applyFill="1" applyBorder="1" applyAlignment="1">
      <alignment horizontal="center" vertical="top"/>
    </xf>
    <xf numFmtId="0" fontId="27" fillId="7" borderId="4" xfId="0" applyFont="1" applyFill="1" applyBorder="1" applyAlignment="1">
      <alignment horizontal="center" vertical="center"/>
    </xf>
    <xf numFmtId="167"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5" xfId="0" applyFont="1" applyFill="1" applyBorder="1" applyAlignment="1">
      <alignment horizontal="center" vertical="center"/>
    </xf>
    <xf numFmtId="167" fontId="27" fillId="7" borderId="93" xfId="0" applyNumberFormat="1" applyFont="1" applyFill="1" applyBorder="1" applyAlignment="1">
      <alignment horizontal="center" vertical="top"/>
    </xf>
    <xf numFmtId="167" fontId="27" fillId="0" borderId="5" xfId="0" applyNumberFormat="1" applyFont="1" applyBorder="1" applyAlignment="1">
      <alignment horizontal="center" vertical="top"/>
    </xf>
    <xf numFmtId="0" fontId="27" fillId="7" borderId="28" xfId="0" applyFont="1" applyFill="1" applyBorder="1" applyAlignment="1">
      <alignment horizontal="center" vertical="top"/>
    </xf>
    <xf numFmtId="167" fontId="27" fillId="7" borderId="5" xfId="0" applyNumberFormat="1" applyFont="1" applyFill="1" applyBorder="1" applyAlignment="1">
      <alignment vertical="top"/>
    </xf>
    <xf numFmtId="167" fontId="27" fillId="7" borderId="93" xfId="0" applyNumberFormat="1" applyFont="1" applyFill="1" applyBorder="1" applyAlignment="1">
      <alignment vertical="top"/>
    </xf>
    <xf numFmtId="167" fontId="27" fillId="7" borderId="38" xfId="0" applyNumberFormat="1" applyFont="1" applyFill="1" applyBorder="1" applyAlignment="1">
      <alignment horizontal="center" vertical="top"/>
    </xf>
    <xf numFmtId="167" fontId="27" fillId="7" borderId="16" xfId="0" applyNumberFormat="1" applyFont="1" applyFill="1" applyBorder="1" applyAlignment="1">
      <alignment horizontal="center" vertical="top"/>
    </xf>
    <xf numFmtId="167" fontId="27" fillId="7" borderId="36" xfId="0" applyNumberFormat="1" applyFont="1" applyFill="1" applyBorder="1" applyAlignment="1">
      <alignment horizontal="center" vertical="top"/>
    </xf>
    <xf numFmtId="167" fontId="27" fillId="0" borderId="0" xfId="0" applyNumberFormat="1" applyFont="1" applyAlignment="1">
      <alignment vertical="top"/>
    </xf>
    <xf numFmtId="0" fontId="27" fillId="0" borderId="0" xfId="0" applyFont="1" applyAlignment="1">
      <alignment horizontal="center" vertical="top"/>
    </xf>
    <xf numFmtId="167" fontId="27" fillId="0" borderId="5" xfId="0" applyNumberFormat="1" applyFont="1" applyBorder="1" applyAlignment="1">
      <alignment vertical="top"/>
    </xf>
    <xf numFmtId="165" fontId="27" fillId="0" borderId="0" xfId="0" applyNumberFormat="1" applyFont="1" applyBorder="1" applyAlignment="1">
      <alignment vertical="top"/>
    </xf>
    <xf numFmtId="0" fontId="1" fillId="7" borderId="83" xfId="0" applyNumberFormat="1" applyFont="1" applyFill="1" applyBorder="1" applyAlignment="1">
      <alignment horizontal="center" vertical="top" wrapText="1"/>
    </xf>
    <xf numFmtId="0" fontId="1" fillId="0" borderId="122" xfId="0" applyFont="1" applyBorder="1" applyAlignment="1">
      <alignment horizontal="center" vertical="center" textRotation="90"/>
    </xf>
    <xf numFmtId="165" fontId="2" fillId="7" borderId="17" xfId="0" applyNumberFormat="1" applyFont="1" applyFill="1" applyBorder="1" applyAlignment="1">
      <alignment horizontal="center" vertical="top" wrapText="1"/>
    </xf>
    <xf numFmtId="0" fontId="28" fillId="0" borderId="0" xfId="0" applyFont="1" applyFill="1" applyAlignment="1">
      <alignment vertical="top" wrapText="1"/>
    </xf>
    <xf numFmtId="165" fontId="27" fillId="7" borderId="5" xfId="0" applyNumberFormat="1" applyFont="1" applyFill="1" applyBorder="1" applyAlignment="1">
      <alignment horizontal="center" vertical="top"/>
    </xf>
    <xf numFmtId="0" fontId="28" fillId="0" borderId="0" xfId="0" applyFont="1" applyFill="1" applyAlignment="1">
      <alignment horizontal="left" vertical="top" wrapText="1"/>
    </xf>
    <xf numFmtId="3" fontId="18" fillId="0" borderId="0" xfId="0" applyNumberFormat="1" applyFont="1" applyAlignment="1">
      <alignment horizontal="center" vertical="top"/>
    </xf>
    <xf numFmtId="0" fontId="12" fillId="0" borderId="0" xfId="0" applyFont="1" applyBorder="1" applyAlignment="1">
      <alignment horizontal="center" vertical="top" wrapText="1"/>
    </xf>
    <xf numFmtId="0" fontId="11" fillId="0" borderId="0" xfId="0" applyFont="1" applyBorder="1" applyAlignment="1">
      <alignment horizontal="center" vertical="top"/>
    </xf>
    <xf numFmtId="0" fontId="1" fillId="0" borderId="26" xfId="0" applyFont="1" applyBorder="1" applyAlignment="1">
      <alignment horizontal="right"/>
    </xf>
    <xf numFmtId="3" fontId="1" fillId="0" borderId="3" xfId="0" applyNumberFormat="1" applyFont="1" applyBorder="1" applyAlignment="1">
      <alignment horizontal="center" vertical="center" textRotation="90" shrinkToFit="1"/>
    </xf>
    <xf numFmtId="3" fontId="1" fillId="0" borderId="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21"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33" xfId="0" applyNumberFormat="1" applyFont="1" applyBorder="1" applyAlignment="1">
      <alignment horizontal="center" vertical="center" shrinkToFit="1"/>
    </xf>
    <xf numFmtId="3" fontId="1" fillId="0" borderId="39" xfId="0" applyNumberFormat="1" applyFont="1" applyBorder="1" applyAlignment="1">
      <alignment horizontal="center" vertical="center" shrinkToFit="1"/>
    </xf>
    <xf numFmtId="3" fontId="1" fillId="0" borderId="45" xfId="0" applyNumberFormat="1" applyFont="1" applyBorder="1" applyAlignment="1">
      <alignment horizontal="center" vertical="center" shrinkToFit="1"/>
    </xf>
    <xf numFmtId="0" fontId="1" fillId="0" borderId="22"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03" xfId="0" applyFont="1" applyBorder="1" applyAlignment="1">
      <alignment horizontal="center" vertical="center" textRotation="90" wrapText="1"/>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 fillId="0" borderId="4" xfId="0" applyFont="1" applyBorder="1" applyAlignment="1">
      <alignment horizontal="center" vertical="center" wrapText="1"/>
    </xf>
    <xf numFmtId="0" fontId="1" fillId="0" borderId="50" xfId="0" applyFont="1" applyBorder="1" applyAlignment="1">
      <alignment horizontal="center" vertical="center" wrapText="1"/>
    </xf>
    <xf numFmtId="3" fontId="1" fillId="0" borderId="59" xfId="0" applyNumberFormat="1" applyFont="1" applyBorder="1" applyAlignment="1">
      <alignment horizontal="center" vertical="center"/>
    </xf>
    <xf numFmtId="3" fontId="1" fillId="0" borderId="42" xfId="0" applyNumberFormat="1" applyFont="1" applyBorder="1" applyAlignment="1">
      <alignment horizontal="center" vertical="center"/>
    </xf>
    <xf numFmtId="49" fontId="3" fillId="6" borderId="89" xfId="0" applyNumberFormat="1" applyFont="1" applyFill="1" applyBorder="1" applyAlignment="1">
      <alignment horizontal="left" vertical="top" wrapText="1"/>
    </xf>
    <xf numFmtId="49" fontId="3" fillId="6" borderId="41" xfId="0" applyNumberFormat="1" applyFont="1" applyFill="1" applyBorder="1" applyAlignment="1">
      <alignment horizontal="left" vertical="top" wrapText="1"/>
    </xf>
    <xf numFmtId="49" fontId="3" fillId="6" borderId="90" xfId="0" applyNumberFormat="1" applyFont="1" applyFill="1" applyBorder="1" applyAlignment="1">
      <alignment horizontal="left" vertical="top" wrapText="1"/>
    </xf>
    <xf numFmtId="3" fontId="1" fillId="0" borderId="32" xfId="0" applyNumberFormat="1" applyFont="1" applyBorder="1" applyAlignment="1">
      <alignment horizontal="center" vertical="center" textRotation="90" wrapText="1" shrinkToFit="1"/>
    </xf>
    <xf numFmtId="3" fontId="1" fillId="0" borderId="4" xfId="0" applyNumberFormat="1" applyFont="1" applyBorder="1" applyAlignment="1">
      <alignment horizontal="center" vertical="center" textRotation="90" wrapText="1" shrinkToFit="1"/>
    </xf>
    <xf numFmtId="3" fontId="1" fillId="0" borderId="50" xfId="0" applyNumberFormat="1" applyFont="1" applyBorder="1" applyAlignment="1">
      <alignment horizontal="center" vertical="center" textRotation="90" wrapText="1" shrinkToFit="1"/>
    </xf>
    <xf numFmtId="0" fontId="1" fillId="0" borderId="3"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7" borderId="5" xfId="0" applyFont="1" applyFill="1" applyBorder="1" applyAlignment="1">
      <alignment horizontal="center" vertical="top"/>
    </xf>
    <xf numFmtId="0" fontId="1" fillId="7" borderId="9" xfId="0" applyFont="1" applyFill="1" applyBorder="1" applyAlignment="1">
      <alignment horizontal="center" vertical="top"/>
    </xf>
    <xf numFmtId="0" fontId="1" fillId="7" borderId="35" xfId="0" applyFont="1" applyFill="1" applyBorder="1" applyAlignment="1">
      <alignment horizontal="center" vertical="top"/>
    </xf>
    <xf numFmtId="165" fontId="1" fillId="7" borderId="17" xfId="0" applyNumberFormat="1" applyFont="1" applyFill="1" applyBorder="1" applyAlignment="1">
      <alignment horizontal="left" vertical="top" wrapText="1"/>
    </xf>
    <xf numFmtId="165" fontId="1" fillId="7" borderId="9" xfId="0" applyNumberFormat="1" applyFont="1" applyFill="1" applyBorder="1" applyAlignment="1">
      <alignment horizontal="left" vertical="top" wrapText="1"/>
    </xf>
    <xf numFmtId="165" fontId="1" fillId="7" borderId="6" xfId="3" applyNumberFormat="1" applyFont="1" applyFill="1" applyBorder="1" applyAlignment="1">
      <alignment horizontal="left" vertical="top" wrapText="1"/>
    </xf>
    <xf numFmtId="165" fontId="1" fillId="7" borderId="4" xfId="3" applyNumberFormat="1" applyFont="1" applyFill="1" applyBorder="1" applyAlignment="1">
      <alignment horizontal="left" vertical="top" wrapText="1"/>
    </xf>
    <xf numFmtId="49" fontId="1" fillId="8" borderId="17" xfId="0" applyNumberFormat="1" applyFont="1" applyFill="1" applyBorder="1" applyAlignment="1">
      <alignment horizontal="center" vertical="center" textRotation="90" wrapText="1"/>
    </xf>
    <xf numFmtId="49" fontId="1" fillId="8" borderId="9" xfId="0" applyNumberFormat="1" applyFont="1" applyFill="1" applyBorder="1" applyAlignment="1">
      <alignment horizontal="center" vertical="center" textRotation="90" wrapText="1"/>
    </xf>
    <xf numFmtId="165" fontId="1" fillId="7" borderId="17" xfId="0" applyNumberFormat="1" applyFont="1" applyFill="1" applyBorder="1" applyAlignment="1">
      <alignment vertical="top" wrapText="1"/>
    </xf>
    <xf numFmtId="165" fontId="1" fillId="7" borderId="9" xfId="0" applyNumberFormat="1" applyFont="1" applyFill="1" applyBorder="1" applyAlignment="1">
      <alignment vertical="top" wrapText="1"/>
    </xf>
    <xf numFmtId="0" fontId="1" fillId="7" borderId="4" xfId="0" applyFont="1" applyFill="1" applyBorder="1" applyAlignment="1">
      <alignment horizontal="center" vertical="top"/>
    </xf>
    <xf numFmtId="0" fontId="3" fillId="5" borderId="40" xfId="0" applyFont="1" applyFill="1" applyBorder="1" applyAlignment="1">
      <alignment horizontal="left" vertical="top" wrapText="1"/>
    </xf>
    <xf numFmtId="0" fontId="3" fillId="5" borderId="46" xfId="0" applyFont="1" applyFill="1" applyBorder="1" applyAlignment="1">
      <alignment horizontal="left" vertical="top" wrapText="1"/>
    </xf>
    <xf numFmtId="0" fontId="0" fillId="0" borderId="46" xfId="0" applyBorder="1" applyAlignment="1">
      <alignment horizontal="left" vertical="top" wrapText="1"/>
    </xf>
    <xf numFmtId="0" fontId="0" fillId="0" borderId="31" xfId="0" applyBorder="1" applyAlignment="1">
      <alignment horizontal="left" vertical="top" wrapText="1"/>
    </xf>
    <xf numFmtId="0" fontId="2" fillId="9" borderId="37" xfId="0" applyFont="1" applyFill="1" applyBorder="1" applyAlignment="1">
      <alignment horizontal="left" vertical="top" wrapText="1"/>
    </xf>
    <xf numFmtId="0" fontId="2" fillId="9" borderId="4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8" xfId="0" applyFont="1" applyFill="1" applyBorder="1" applyAlignment="1">
      <alignment horizontal="left" vertical="top" wrapText="1"/>
    </xf>
    <xf numFmtId="0" fontId="0" fillId="0" borderId="48" xfId="0" applyBorder="1" applyAlignment="1">
      <alignment horizontal="left" vertical="top" wrapText="1"/>
    </xf>
    <xf numFmtId="0" fontId="0" fillId="0" borderId="34" xfId="0" applyBorder="1" applyAlignment="1">
      <alignment horizontal="left" vertical="top" wrapText="1"/>
    </xf>
    <xf numFmtId="0" fontId="1" fillId="7" borderId="17" xfId="0" applyFont="1" applyFill="1" applyBorder="1" applyAlignment="1">
      <alignment vertical="top" wrapText="1"/>
    </xf>
    <xf numFmtId="0" fontId="5" fillId="7" borderId="9" xfId="0" applyFont="1" applyFill="1" applyBorder="1" applyAlignment="1">
      <alignment vertical="top" wrapText="1"/>
    </xf>
    <xf numFmtId="165" fontId="1" fillId="7" borderId="37" xfId="0" applyNumberFormat="1" applyFont="1" applyFill="1" applyBorder="1" applyAlignment="1">
      <alignment horizontal="left" vertical="top" wrapText="1"/>
    </xf>
    <xf numFmtId="165" fontId="1" fillId="7" borderId="39" xfId="0" applyNumberFormat="1" applyFont="1" applyFill="1" applyBorder="1" applyAlignment="1">
      <alignment horizontal="left" vertical="top" wrapText="1"/>
    </xf>
    <xf numFmtId="49" fontId="1" fillId="7" borderId="9" xfId="0" applyNumberFormat="1" applyFont="1" applyFill="1" applyBorder="1" applyAlignment="1">
      <alignment horizontal="center" vertical="top" wrapText="1"/>
    </xf>
    <xf numFmtId="49" fontId="1" fillId="7" borderId="24" xfId="0" applyNumberFormat="1" applyFont="1" applyFill="1" applyBorder="1" applyAlignment="1">
      <alignment horizontal="center" vertical="top" wrapText="1"/>
    </xf>
    <xf numFmtId="49" fontId="1" fillId="7" borderId="15" xfId="0" applyNumberFormat="1" applyFont="1" applyFill="1" applyBorder="1" applyAlignment="1">
      <alignment horizontal="center" vertical="top" wrapText="1"/>
    </xf>
    <xf numFmtId="49" fontId="1" fillId="7" borderId="23" xfId="0" applyNumberFormat="1" applyFont="1" applyFill="1" applyBorder="1" applyAlignment="1">
      <alignment horizontal="center" vertical="top" wrapText="1"/>
    </xf>
    <xf numFmtId="165" fontId="1" fillId="7" borderId="6" xfId="0" applyNumberFormat="1" applyFont="1" applyFill="1" applyBorder="1" applyAlignment="1">
      <alignment horizontal="left" vertical="top" wrapText="1"/>
    </xf>
    <xf numFmtId="165" fontId="1" fillId="7" borderId="4" xfId="0" applyNumberFormat="1" applyFont="1" applyFill="1" applyBorder="1" applyAlignment="1">
      <alignment horizontal="left"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0" fontId="1" fillId="7" borderId="71" xfId="0" applyFont="1" applyFill="1" applyBorder="1" applyAlignment="1">
      <alignment horizontal="left" vertical="top" wrapText="1"/>
    </xf>
    <xf numFmtId="0" fontId="1" fillId="7" borderId="4" xfId="0" applyFont="1" applyFill="1" applyBorder="1" applyAlignment="1">
      <alignment horizontal="left" vertical="top" wrapText="1"/>
    </xf>
    <xf numFmtId="165" fontId="1" fillId="8" borderId="17" xfId="0" applyNumberFormat="1" applyFont="1" applyFill="1" applyBorder="1" applyAlignment="1">
      <alignment horizontal="center" vertical="center" textRotation="90" wrapText="1"/>
    </xf>
    <xf numFmtId="165" fontId="1" fillId="8" borderId="9" xfId="0" applyNumberFormat="1" applyFont="1" applyFill="1" applyBorder="1" applyAlignment="1">
      <alignment horizontal="center" vertical="center" textRotation="90" wrapText="1"/>
    </xf>
    <xf numFmtId="165" fontId="1" fillId="7" borderId="24"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7" borderId="20" xfId="0" applyNumberFormat="1" applyFont="1" applyFill="1" applyBorder="1" applyAlignment="1">
      <alignment horizontal="left" vertical="top" wrapText="1"/>
    </xf>
    <xf numFmtId="165" fontId="1" fillId="0" borderId="17" xfId="0" applyNumberFormat="1" applyFont="1" applyFill="1" applyBorder="1" applyAlignment="1">
      <alignment horizontal="left" vertical="top" wrapText="1"/>
    </xf>
    <xf numFmtId="165" fontId="1" fillId="0" borderId="9" xfId="0" applyNumberFormat="1" applyFont="1" applyFill="1" applyBorder="1" applyAlignment="1">
      <alignment horizontal="left" vertical="top" wrapText="1"/>
    </xf>
    <xf numFmtId="165" fontId="1" fillId="0" borderId="24" xfId="0" applyNumberFormat="1" applyFont="1" applyFill="1" applyBorder="1" applyAlignment="1">
      <alignment horizontal="left" vertical="top" wrapText="1"/>
    </xf>
    <xf numFmtId="165" fontId="5" fillId="7" borderId="24" xfId="0" applyNumberFormat="1" applyFont="1" applyFill="1" applyBorder="1" applyAlignment="1">
      <alignment horizontal="left" vertical="top" wrapText="1"/>
    </xf>
    <xf numFmtId="0" fontId="1" fillId="7" borderId="95" xfId="0" applyNumberFormat="1" applyFont="1" applyFill="1" applyBorder="1" applyAlignment="1">
      <alignment horizontal="center" vertical="top" wrapText="1"/>
    </xf>
    <xf numFmtId="49" fontId="1" fillId="7" borderId="5"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1" fillId="7" borderId="24" xfId="0" applyNumberFormat="1" applyFont="1" applyFill="1" applyBorder="1" applyAlignment="1">
      <alignment vertical="top" wrapText="1"/>
    </xf>
    <xf numFmtId="0" fontId="5" fillId="7" borderId="24" xfId="0" applyFont="1" applyFill="1" applyBorder="1" applyAlignment="1">
      <alignment vertical="top" wrapText="1"/>
    </xf>
    <xf numFmtId="0" fontId="1" fillId="7" borderId="6" xfId="0" applyFont="1" applyFill="1" applyBorder="1" applyAlignment="1">
      <alignment horizontal="left" vertical="top" wrapText="1"/>
    </xf>
    <xf numFmtId="0" fontId="1" fillId="7" borderId="20" xfId="0" applyFont="1" applyFill="1" applyBorder="1" applyAlignment="1">
      <alignment horizontal="left" vertical="top" wrapText="1"/>
    </xf>
    <xf numFmtId="165" fontId="1" fillId="3" borderId="17" xfId="0" applyNumberFormat="1" applyFont="1" applyFill="1" applyBorder="1" applyAlignment="1">
      <alignment vertical="top" wrapText="1"/>
    </xf>
    <xf numFmtId="165" fontId="1" fillId="3" borderId="9" xfId="0" applyNumberFormat="1" applyFont="1" applyFill="1" applyBorder="1" applyAlignment="1">
      <alignment vertical="top" wrapText="1"/>
    </xf>
    <xf numFmtId="165" fontId="1" fillId="3" borderId="24" xfId="0" applyNumberFormat="1" applyFont="1" applyFill="1" applyBorder="1" applyAlignment="1">
      <alignment vertical="top" wrapText="1"/>
    </xf>
    <xf numFmtId="165" fontId="1" fillId="7" borderId="39" xfId="0" applyNumberFormat="1" applyFont="1" applyFill="1" applyBorder="1" applyAlignment="1">
      <alignment vertical="top" wrapText="1"/>
    </xf>
    <xf numFmtId="165" fontId="1" fillId="0" borderId="73" xfId="0" applyNumberFormat="1" applyFont="1" applyFill="1" applyBorder="1" applyAlignment="1">
      <alignment horizontal="center" vertical="top" wrapText="1"/>
    </xf>
    <xf numFmtId="0" fontId="0" fillId="0" borderId="77" xfId="0" applyFill="1" applyBorder="1" applyAlignment="1">
      <alignment horizontal="center" vertical="top" wrapText="1"/>
    </xf>
    <xf numFmtId="49" fontId="1" fillId="7" borderId="70" xfId="0" applyNumberFormat="1" applyFont="1" applyFill="1" applyBorder="1" applyAlignment="1">
      <alignment vertical="top" wrapText="1"/>
    </xf>
    <xf numFmtId="0" fontId="1" fillId="0" borderId="70" xfId="0" applyNumberFormat="1" applyFont="1" applyFill="1" applyBorder="1" applyAlignment="1">
      <alignment horizontal="left" vertical="top" wrapText="1"/>
    </xf>
    <xf numFmtId="0" fontId="1" fillId="0" borderId="9" xfId="0" applyNumberFormat="1" applyFont="1" applyFill="1" applyBorder="1" applyAlignment="1">
      <alignment horizontal="left" vertical="top" wrapText="1"/>
    </xf>
    <xf numFmtId="165" fontId="2" fillId="2" borderId="58" xfId="0" applyNumberFormat="1" applyFont="1" applyFill="1" applyBorder="1" applyAlignment="1">
      <alignment horizontal="right" vertical="top"/>
    </xf>
    <xf numFmtId="165" fontId="2" fillId="2" borderId="54" xfId="0" applyNumberFormat="1" applyFont="1" applyFill="1" applyBorder="1" applyAlignment="1">
      <alignment horizontal="right" vertical="top"/>
    </xf>
    <xf numFmtId="165" fontId="2" fillId="2" borderId="55" xfId="0" applyNumberFormat="1" applyFont="1" applyFill="1" applyBorder="1" applyAlignment="1">
      <alignment horizontal="right" vertical="top"/>
    </xf>
    <xf numFmtId="165" fontId="1" fillId="2" borderId="44" xfId="0" applyNumberFormat="1" applyFont="1" applyFill="1" applyBorder="1" applyAlignment="1">
      <alignment horizontal="center" vertical="top" wrapText="1"/>
    </xf>
    <xf numFmtId="165" fontId="1" fillId="2" borderId="54" xfId="0" applyNumberFormat="1" applyFont="1" applyFill="1" applyBorder="1" applyAlignment="1">
      <alignment horizontal="center" vertical="top" wrapText="1"/>
    </xf>
    <xf numFmtId="165" fontId="1" fillId="2" borderId="55" xfId="0" applyNumberFormat="1" applyFont="1" applyFill="1" applyBorder="1" applyAlignment="1">
      <alignment horizontal="center" vertical="top" wrapText="1"/>
    </xf>
    <xf numFmtId="165" fontId="2" fillId="2" borderId="58" xfId="0" applyNumberFormat="1" applyFont="1" applyFill="1" applyBorder="1" applyAlignment="1">
      <alignment horizontal="left" vertical="top"/>
    </xf>
    <xf numFmtId="165" fontId="2" fillId="2" borderId="54" xfId="0" applyNumberFormat="1" applyFont="1" applyFill="1" applyBorder="1" applyAlignment="1">
      <alignment horizontal="left" vertical="top"/>
    </xf>
    <xf numFmtId="165" fontId="2" fillId="2" borderId="55" xfId="0" applyNumberFormat="1" applyFont="1" applyFill="1" applyBorder="1" applyAlignment="1">
      <alignment horizontal="left" vertical="top"/>
    </xf>
    <xf numFmtId="165" fontId="1" fillId="7" borderId="66" xfId="0" applyNumberFormat="1" applyFont="1" applyFill="1" applyBorder="1" applyAlignment="1">
      <alignment horizontal="left" vertical="top" wrapText="1"/>
    </xf>
    <xf numFmtId="165" fontId="1" fillId="7" borderId="102" xfId="0" applyNumberFormat="1" applyFont="1" applyFill="1" applyBorder="1" applyAlignment="1">
      <alignment horizontal="left" vertical="top" wrapText="1"/>
    </xf>
    <xf numFmtId="165" fontId="1" fillId="7" borderId="81" xfId="0" applyNumberFormat="1" applyFont="1" applyFill="1" applyBorder="1" applyAlignment="1">
      <alignment horizontal="left" vertical="top" wrapText="1"/>
    </xf>
    <xf numFmtId="165" fontId="1" fillId="0" borderId="95" xfId="0" applyNumberFormat="1" applyFont="1" applyFill="1" applyBorder="1" applyAlignment="1">
      <alignment horizontal="center" vertical="top" wrapText="1"/>
    </xf>
    <xf numFmtId="0" fontId="0" fillId="0" borderId="96" xfId="0" applyFill="1" applyBorder="1" applyAlignment="1">
      <alignment horizontal="center" vertical="top" wrapText="1"/>
    </xf>
    <xf numFmtId="0" fontId="1" fillId="7" borderId="70" xfId="0" applyNumberFormat="1" applyFont="1" applyFill="1" applyBorder="1" applyAlignment="1">
      <alignment horizontal="left" vertical="top" wrapText="1"/>
    </xf>
    <xf numFmtId="0" fontId="1" fillId="7" borderId="60" xfId="0" applyNumberFormat="1" applyFont="1" applyFill="1" applyBorder="1" applyAlignment="1">
      <alignment horizontal="left" vertical="top" wrapText="1"/>
    </xf>
    <xf numFmtId="0" fontId="1" fillId="7" borderId="70" xfId="0" applyFont="1" applyFill="1" applyBorder="1" applyAlignment="1">
      <alignment horizontal="left" vertical="top" wrapText="1"/>
    </xf>
    <xf numFmtId="0" fontId="1" fillId="7" borderId="24" xfId="0" applyFont="1" applyFill="1" applyBorder="1" applyAlignment="1">
      <alignment horizontal="lef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1" fillId="0" borderId="70" xfId="0" applyNumberFormat="1" applyFont="1" applyFill="1" applyBorder="1" applyAlignment="1">
      <alignment horizontal="center" vertical="top" wrapText="1"/>
    </xf>
    <xf numFmtId="0" fontId="0" fillId="0" borderId="60" xfId="0" applyFill="1" applyBorder="1" applyAlignment="1">
      <alignment horizontal="center" vertical="top" wrapText="1"/>
    </xf>
    <xf numFmtId="165" fontId="2" fillId="7" borderId="24" xfId="0" applyNumberFormat="1" applyFont="1" applyFill="1" applyBorder="1" applyAlignment="1">
      <alignment horizontal="center" vertical="top" wrapText="1"/>
    </xf>
    <xf numFmtId="165" fontId="1" fillId="0" borderId="6" xfId="0" applyNumberFormat="1" applyFont="1" applyFill="1" applyBorder="1" applyAlignment="1">
      <alignment horizontal="left" vertical="top" wrapText="1"/>
    </xf>
    <xf numFmtId="165" fontId="1" fillId="0" borderId="20" xfId="0" applyNumberFormat="1" applyFont="1" applyFill="1" applyBorder="1" applyAlignment="1">
      <alignment horizontal="left" vertical="top" wrapText="1"/>
    </xf>
    <xf numFmtId="0" fontId="1" fillId="0" borderId="92" xfId="0" applyNumberFormat="1" applyFont="1" applyFill="1" applyBorder="1" applyAlignment="1">
      <alignment horizontal="center" vertical="top"/>
    </xf>
    <xf numFmtId="49" fontId="1" fillId="0" borderId="93" xfId="0" applyNumberFormat="1" applyFont="1" applyFill="1" applyBorder="1" applyAlignment="1">
      <alignment horizontal="center" vertical="top"/>
    </xf>
    <xf numFmtId="0" fontId="1" fillId="0" borderId="17"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1" fillId="7" borderId="37" xfId="0" applyNumberFormat="1" applyFont="1" applyFill="1" applyBorder="1" applyAlignment="1">
      <alignment vertical="top" wrapText="1"/>
    </xf>
    <xf numFmtId="165" fontId="2" fillId="2" borderId="45" xfId="0" applyNumberFormat="1" applyFont="1" applyFill="1" applyBorder="1" applyAlignment="1">
      <alignment horizontal="left" vertical="top"/>
    </xf>
    <xf numFmtId="165" fontId="2" fillId="2" borderId="26" xfId="0" applyNumberFormat="1" applyFont="1" applyFill="1" applyBorder="1" applyAlignment="1">
      <alignment horizontal="left" vertical="top"/>
    </xf>
    <xf numFmtId="165" fontId="2" fillId="2" borderId="27" xfId="0" applyNumberFormat="1" applyFont="1" applyFill="1" applyBorder="1" applyAlignment="1">
      <alignment horizontal="left" vertical="top"/>
    </xf>
    <xf numFmtId="0" fontId="1" fillId="7" borderId="17" xfId="0" applyFont="1" applyFill="1" applyBorder="1" applyAlignment="1">
      <alignment horizontal="left" vertical="top" wrapText="1"/>
    </xf>
    <xf numFmtId="165" fontId="1" fillId="7" borderId="36" xfId="0" applyNumberFormat="1" applyFont="1" applyFill="1" applyBorder="1" applyAlignment="1">
      <alignment horizontal="left" vertical="top" wrapText="1"/>
    </xf>
    <xf numFmtId="165" fontId="1" fillId="7" borderId="38" xfId="0" applyNumberFormat="1" applyFont="1" applyFill="1" applyBorder="1" applyAlignment="1">
      <alignment horizontal="left" vertical="top" wrapText="1"/>
    </xf>
    <xf numFmtId="165" fontId="1" fillId="7" borderId="67" xfId="0" applyNumberFormat="1" applyFont="1" applyFill="1" applyBorder="1" applyAlignment="1">
      <alignment horizontal="left" vertical="top" wrapText="1"/>
    </xf>
    <xf numFmtId="0" fontId="1" fillId="0" borderId="70" xfId="0" applyFont="1" applyBorder="1" applyAlignment="1">
      <alignment horizontal="left" vertical="top"/>
    </xf>
    <xf numFmtId="0" fontId="1" fillId="0" borderId="60" xfId="0" applyFont="1" applyBorder="1" applyAlignment="1">
      <alignment horizontal="left" vertical="top"/>
    </xf>
    <xf numFmtId="0" fontId="16" fillId="7" borderId="70" xfId="0" applyFont="1" applyFill="1" applyBorder="1" applyAlignment="1">
      <alignment horizontal="left" vertical="top" wrapText="1"/>
    </xf>
    <xf numFmtId="0" fontId="16" fillId="7" borderId="9" xfId="0" applyFont="1" applyFill="1" applyBorder="1" applyAlignment="1">
      <alignment horizontal="left" vertical="top" wrapText="1"/>
    </xf>
    <xf numFmtId="0" fontId="1" fillId="0" borderId="4" xfId="0" applyFont="1" applyBorder="1" applyAlignment="1">
      <alignment horizontal="left" vertical="top" wrapText="1"/>
    </xf>
    <xf numFmtId="165" fontId="27" fillId="0" borderId="4" xfId="0" applyNumberFormat="1" applyFont="1" applyFill="1" applyBorder="1" applyAlignment="1">
      <alignment horizontal="center" vertical="top"/>
    </xf>
    <xf numFmtId="165" fontId="27" fillId="0" borderId="20" xfId="0" applyNumberFormat="1" applyFont="1" applyFill="1" applyBorder="1" applyAlignment="1">
      <alignment horizontal="center" vertical="top"/>
    </xf>
    <xf numFmtId="165" fontId="27" fillId="7" borderId="5" xfId="0" applyNumberFormat="1" applyFont="1" applyFill="1" applyBorder="1" applyAlignment="1">
      <alignment horizontal="center" vertical="top"/>
    </xf>
    <xf numFmtId="165" fontId="27" fillId="7" borderId="93"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165" fontId="1" fillId="7" borderId="29" xfId="0" applyNumberFormat="1" applyFont="1" applyFill="1" applyBorder="1" applyAlignment="1">
      <alignmen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165" fontId="1" fillId="7" borderId="51" xfId="0" applyNumberFormat="1" applyFont="1" applyFill="1" applyBorder="1" applyAlignment="1">
      <alignment horizontal="left" vertical="top" wrapText="1"/>
    </xf>
    <xf numFmtId="165" fontId="1" fillId="7" borderId="48" xfId="0" applyNumberFormat="1" applyFont="1" applyFill="1" applyBorder="1" applyAlignment="1">
      <alignment horizontal="left" vertical="top" wrapText="1"/>
    </xf>
    <xf numFmtId="165" fontId="1" fillId="7" borderId="34" xfId="0" applyNumberFormat="1" applyFont="1" applyFill="1" applyBorder="1" applyAlignment="1">
      <alignment horizontal="left" vertical="top" wrapText="1"/>
    </xf>
    <xf numFmtId="3" fontId="1" fillId="0" borderId="41" xfId="0" applyNumberFormat="1" applyFont="1" applyFill="1" applyBorder="1" applyAlignment="1">
      <alignment horizontal="left" vertical="top" wrapText="1"/>
    </xf>
    <xf numFmtId="3" fontId="2" fillId="0" borderId="44"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165" fontId="2" fillId="5" borderId="52" xfId="0" applyNumberFormat="1" applyFont="1" applyFill="1" applyBorder="1" applyAlignment="1">
      <alignment horizontal="right" vertical="top" wrapText="1"/>
    </xf>
    <xf numFmtId="165" fontId="2" fillId="5" borderId="57" xfId="0" applyNumberFormat="1" applyFont="1" applyFill="1" applyBorder="1" applyAlignment="1">
      <alignment horizontal="right" vertical="top" wrapText="1"/>
    </xf>
    <xf numFmtId="165" fontId="2" fillId="5" borderId="53" xfId="0" applyNumberFormat="1" applyFont="1" applyFill="1" applyBorder="1" applyAlignment="1">
      <alignment horizontal="right" vertical="top" wrapText="1"/>
    </xf>
    <xf numFmtId="165" fontId="2" fillId="8" borderId="51" xfId="0" applyNumberFormat="1" applyFont="1" applyFill="1" applyBorder="1" applyAlignment="1">
      <alignment horizontal="right" vertical="top" wrapText="1"/>
    </xf>
    <xf numFmtId="165" fontId="5" fillId="8" borderId="48" xfId="0" applyNumberFormat="1" applyFont="1" applyFill="1" applyBorder="1" applyAlignment="1">
      <alignment horizontal="right" vertical="top" wrapText="1"/>
    </xf>
    <xf numFmtId="165" fontId="5" fillId="8" borderId="34" xfId="0" applyNumberFormat="1" applyFont="1" applyFill="1" applyBorder="1" applyAlignment="1">
      <alignment horizontal="right" vertical="top" wrapText="1"/>
    </xf>
    <xf numFmtId="165" fontId="2" fillId="9" borderId="58" xfId="0" applyNumberFormat="1" applyFont="1" applyFill="1" applyBorder="1" applyAlignment="1">
      <alignment horizontal="right" vertical="top"/>
    </xf>
    <xf numFmtId="165" fontId="2" fillId="9" borderId="54" xfId="0" applyNumberFormat="1" applyFont="1" applyFill="1" applyBorder="1" applyAlignment="1">
      <alignment horizontal="right" vertical="top"/>
    </xf>
    <xf numFmtId="165" fontId="2" fillId="9" borderId="55" xfId="0" applyNumberFormat="1" applyFont="1" applyFill="1" applyBorder="1" applyAlignment="1">
      <alignment horizontal="right" vertical="top"/>
    </xf>
    <xf numFmtId="165" fontId="1" fillId="9" borderId="44" xfId="0" applyNumberFormat="1" applyFont="1" applyFill="1" applyBorder="1" applyAlignment="1">
      <alignment horizontal="center" vertical="top"/>
    </xf>
    <xf numFmtId="165" fontId="1" fillId="9" borderId="54" xfId="0" applyNumberFormat="1" applyFont="1" applyFill="1" applyBorder="1" applyAlignment="1">
      <alignment horizontal="center" vertical="top"/>
    </xf>
    <xf numFmtId="165" fontId="1" fillId="9" borderId="55" xfId="0" applyNumberFormat="1" applyFont="1" applyFill="1" applyBorder="1" applyAlignment="1">
      <alignment horizontal="center" vertical="top"/>
    </xf>
    <xf numFmtId="165" fontId="2" fillId="5" borderId="58" xfId="0" applyNumberFormat="1" applyFont="1" applyFill="1" applyBorder="1" applyAlignment="1">
      <alignment horizontal="right" vertical="top"/>
    </xf>
    <xf numFmtId="165" fontId="2" fillId="5" borderId="54" xfId="0" applyNumberFormat="1" applyFont="1" applyFill="1" applyBorder="1" applyAlignment="1">
      <alignment horizontal="right" vertical="top"/>
    </xf>
    <xf numFmtId="165" fontId="2" fillId="5" borderId="55" xfId="0" applyNumberFormat="1" applyFont="1" applyFill="1" applyBorder="1" applyAlignment="1">
      <alignment horizontal="right" vertical="top"/>
    </xf>
    <xf numFmtId="165" fontId="1" fillId="5" borderId="44" xfId="0" applyNumberFormat="1" applyFont="1" applyFill="1" applyBorder="1" applyAlignment="1">
      <alignment horizontal="center" vertical="top"/>
    </xf>
    <xf numFmtId="165" fontId="1" fillId="5" borderId="54" xfId="0" applyNumberFormat="1" applyFont="1" applyFill="1" applyBorder="1" applyAlignment="1">
      <alignment horizontal="center" vertical="top"/>
    </xf>
    <xf numFmtId="165" fontId="1" fillId="5" borderId="55" xfId="0" applyNumberFormat="1" applyFont="1" applyFill="1" applyBorder="1" applyAlignment="1">
      <alignment horizontal="center" vertical="top"/>
    </xf>
    <xf numFmtId="165" fontId="2" fillId="0" borderId="26" xfId="0" applyNumberFormat="1" applyFont="1" applyFill="1" applyBorder="1" applyAlignment="1">
      <alignment horizontal="center" vertical="top" wrapText="1"/>
    </xf>
    <xf numFmtId="165" fontId="1" fillId="0" borderId="51" xfId="0" applyNumberFormat="1" applyFont="1" applyBorder="1" applyAlignment="1">
      <alignment horizontal="left" vertical="top" wrapText="1"/>
    </xf>
    <xf numFmtId="165" fontId="1" fillId="0" borderId="48" xfId="0" applyNumberFormat="1" applyFont="1" applyBorder="1" applyAlignment="1">
      <alignment horizontal="left" vertical="top" wrapText="1"/>
    </xf>
    <xf numFmtId="165" fontId="1" fillId="0" borderId="34" xfId="0" applyNumberFormat="1" applyFont="1" applyBorder="1" applyAlignment="1">
      <alignment horizontal="left" vertical="top" wrapText="1"/>
    </xf>
    <xf numFmtId="0" fontId="1" fillId="3" borderId="49" xfId="0" applyFont="1" applyFill="1" applyBorder="1" applyAlignment="1">
      <alignment horizontal="left" vertical="top" wrapText="1"/>
    </xf>
    <xf numFmtId="0" fontId="1" fillId="3" borderId="59" xfId="0" applyFont="1" applyFill="1" applyBorder="1" applyAlignment="1">
      <alignment horizontal="left" vertical="top" wrapText="1"/>
    </xf>
    <xf numFmtId="0" fontId="1" fillId="3" borderId="42" xfId="0" applyFont="1" applyFill="1" applyBorder="1" applyAlignment="1">
      <alignment horizontal="left" vertical="top" wrapText="1"/>
    </xf>
    <xf numFmtId="165" fontId="2" fillId="4" borderId="56" xfId="0" applyNumberFormat="1" applyFont="1" applyFill="1" applyBorder="1" applyAlignment="1">
      <alignment horizontal="right" vertical="top" wrapText="1"/>
    </xf>
    <xf numFmtId="165" fontId="2" fillId="4" borderId="26" xfId="0" applyNumberFormat="1" applyFont="1" applyFill="1" applyBorder="1" applyAlignment="1">
      <alignment horizontal="right" vertical="top" wrapText="1"/>
    </xf>
    <xf numFmtId="165" fontId="2" fillId="4" borderId="27" xfId="0" applyNumberFormat="1" applyFont="1" applyFill="1" applyBorder="1" applyAlignment="1">
      <alignment horizontal="right" vertical="top" wrapText="1"/>
    </xf>
    <xf numFmtId="165" fontId="2" fillId="7" borderId="21" xfId="0" applyNumberFormat="1" applyFont="1" applyFill="1" applyBorder="1" applyAlignment="1">
      <alignment horizontal="left" vertical="top" wrapText="1"/>
    </xf>
    <xf numFmtId="165" fontId="2" fillId="7" borderId="9" xfId="0" applyNumberFormat="1" applyFont="1" applyFill="1" applyBorder="1" applyAlignment="1">
      <alignment horizontal="left" vertical="top" wrapText="1"/>
    </xf>
    <xf numFmtId="165" fontId="2" fillId="7" borderId="24" xfId="0" applyNumberFormat="1" applyFont="1" applyFill="1" applyBorder="1" applyAlignment="1">
      <alignment horizontal="left" vertical="top" wrapText="1"/>
    </xf>
    <xf numFmtId="165" fontId="2" fillId="8" borderId="51" xfId="0" applyNumberFormat="1" applyFont="1" applyFill="1" applyBorder="1" applyAlignment="1">
      <alignment horizontal="left" vertical="top" wrapText="1"/>
    </xf>
    <xf numFmtId="165" fontId="2" fillId="8" borderId="48" xfId="0" applyNumberFormat="1" applyFont="1" applyFill="1" applyBorder="1" applyAlignment="1">
      <alignment horizontal="left" vertical="top" wrapText="1"/>
    </xf>
    <xf numFmtId="165" fontId="2" fillId="8" borderId="34" xfId="0" applyNumberFormat="1" applyFont="1" applyFill="1" applyBorder="1" applyAlignment="1">
      <alignment horizontal="left" vertical="top" wrapText="1"/>
    </xf>
    <xf numFmtId="165" fontId="1" fillId="8" borderId="51" xfId="0" applyNumberFormat="1" applyFont="1" applyFill="1" applyBorder="1" applyAlignment="1">
      <alignment horizontal="left" vertical="top" wrapText="1"/>
    </xf>
    <xf numFmtId="165" fontId="1" fillId="8" borderId="51" xfId="0" applyNumberFormat="1" applyFont="1" applyFill="1" applyBorder="1" applyAlignment="1">
      <alignment vertical="top" wrapText="1"/>
    </xf>
    <xf numFmtId="165" fontId="5" fillId="8" borderId="48" xfId="0" applyNumberFormat="1" applyFont="1" applyFill="1" applyBorder="1" applyAlignment="1">
      <alignment vertical="top" wrapText="1"/>
    </xf>
    <xf numFmtId="165" fontId="5" fillId="8" borderId="34" xfId="0" applyNumberFormat="1" applyFont="1" applyFill="1" applyBorder="1" applyAlignment="1">
      <alignment vertical="top" wrapText="1"/>
    </xf>
    <xf numFmtId="165" fontId="2" fillId="5" borderId="51" xfId="0" applyNumberFormat="1" applyFont="1" applyFill="1" applyBorder="1" applyAlignment="1">
      <alignment horizontal="right" vertical="top" wrapText="1"/>
    </xf>
    <xf numFmtId="165" fontId="2" fillId="5" borderId="48" xfId="0" applyNumberFormat="1" applyFont="1" applyFill="1" applyBorder="1" applyAlignment="1">
      <alignment horizontal="right" vertical="top" wrapText="1"/>
    </xf>
    <xf numFmtId="165" fontId="2" fillId="5" borderId="34" xfId="0" applyNumberFormat="1" applyFont="1" applyFill="1" applyBorder="1" applyAlignment="1">
      <alignment horizontal="right" vertical="top" wrapText="1"/>
    </xf>
    <xf numFmtId="165" fontId="1" fillId="3" borderId="49" xfId="0" applyNumberFormat="1" applyFont="1" applyFill="1" applyBorder="1" applyAlignment="1">
      <alignment horizontal="left" vertical="top" wrapText="1"/>
    </xf>
    <xf numFmtId="165" fontId="1" fillId="3" borderId="59" xfId="0" applyNumberFormat="1" applyFont="1" applyFill="1" applyBorder="1" applyAlignment="1">
      <alignment horizontal="left" vertical="top" wrapText="1"/>
    </xf>
    <xf numFmtId="165" fontId="1" fillId="3" borderId="42" xfId="0" applyNumberFormat="1" applyFont="1" applyFill="1" applyBorder="1" applyAlignment="1">
      <alignment horizontal="left" vertical="top" wrapText="1"/>
    </xf>
    <xf numFmtId="165" fontId="1" fillId="3" borderId="51" xfId="0" applyNumberFormat="1" applyFont="1" applyFill="1" applyBorder="1" applyAlignment="1">
      <alignment horizontal="left" vertical="top" wrapText="1"/>
    </xf>
    <xf numFmtId="165" fontId="1" fillId="3" borderId="48" xfId="0" applyNumberFormat="1" applyFont="1" applyFill="1" applyBorder="1" applyAlignment="1">
      <alignment horizontal="left" vertical="top" wrapText="1"/>
    </xf>
    <xf numFmtId="165" fontId="1" fillId="3" borderId="34" xfId="0" applyNumberFormat="1" applyFont="1" applyFill="1" applyBorder="1" applyAlignment="1">
      <alignment horizontal="left" vertical="top" wrapText="1"/>
    </xf>
    <xf numFmtId="165" fontId="1" fillId="8" borderId="48" xfId="0" applyNumberFormat="1" applyFont="1" applyFill="1" applyBorder="1" applyAlignment="1">
      <alignment horizontal="left" vertical="top" wrapText="1"/>
    </xf>
    <xf numFmtId="165" fontId="1" fillId="8" borderId="34" xfId="0" applyNumberFormat="1" applyFont="1" applyFill="1" applyBorder="1" applyAlignment="1">
      <alignment horizontal="left" vertical="top" wrapText="1"/>
    </xf>
    <xf numFmtId="165" fontId="1" fillId="7" borderId="49" xfId="0" applyNumberFormat="1" applyFont="1" applyFill="1" applyBorder="1" applyAlignment="1">
      <alignment horizontal="left" vertical="top" wrapText="1"/>
    </xf>
    <xf numFmtId="165" fontId="1" fillId="7" borderId="59" xfId="0" applyNumberFormat="1" applyFont="1" applyFill="1" applyBorder="1" applyAlignment="1">
      <alignment horizontal="left" vertical="top" wrapText="1"/>
    </xf>
    <xf numFmtId="165" fontId="1" fillId="7" borderId="42"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0" fontId="1" fillId="7" borderId="18" xfId="0" applyFont="1" applyFill="1" applyBorder="1" applyAlignment="1">
      <alignment horizontal="center" vertical="top" wrapText="1"/>
    </xf>
    <xf numFmtId="0" fontId="1" fillId="7" borderId="15"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0" borderId="83" xfId="0" applyFont="1" applyBorder="1" applyAlignment="1">
      <alignment horizontal="center" vertical="top" wrapText="1"/>
    </xf>
    <xf numFmtId="0" fontId="1" fillId="0" borderId="15" xfId="0" applyFont="1" applyBorder="1" applyAlignment="1">
      <alignment horizontal="center" vertical="top" wrapText="1"/>
    </xf>
    <xf numFmtId="49" fontId="2" fillId="7" borderId="17"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wrapText="1"/>
    </xf>
    <xf numFmtId="0" fontId="0" fillId="0" borderId="24" xfId="0" applyBorder="1" applyAlignment="1">
      <alignment horizontal="center" vertical="top" wrapText="1"/>
    </xf>
    <xf numFmtId="165" fontId="1" fillId="7" borderId="18"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wrapText="1"/>
    </xf>
    <xf numFmtId="0" fontId="0" fillId="7" borderId="24" xfId="0" applyFill="1" applyBorder="1" applyAlignment="1">
      <alignment horizontal="center" vertical="top" wrapText="1"/>
    </xf>
    <xf numFmtId="165" fontId="1" fillId="7" borderId="16" xfId="0" applyNumberFormat="1" applyFont="1" applyFill="1" applyBorder="1" applyAlignment="1">
      <alignment horizontal="left" vertical="top" wrapText="1"/>
    </xf>
    <xf numFmtId="165" fontId="1" fillId="7" borderId="60" xfId="0" applyNumberFormat="1" applyFont="1" applyFill="1" applyBorder="1" applyAlignment="1">
      <alignment horizontal="left" vertical="top" wrapText="1"/>
    </xf>
    <xf numFmtId="49" fontId="1" fillId="7" borderId="93" xfId="0" applyNumberFormat="1" applyFont="1" applyFill="1" applyBorder="1" applyAlignment="1">
      <alignment horizontal="center" vertical="top" wrapText="1"/>
    </xf>
    <xf numFmtId="0" fontId="1" fillId="7" borderId="42" xfId="0" applyFont="1" applyFill="1" applyBorder="1" applyAlignment="1">
      <alignment horizontal="center" vertical="top"/>
    </xf>
    <xf numFmtId="49" fontId="1" fillId="7" borderId="73"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wrapText="1"/>
    </xf>
    <xf numFmtId="49" fontId="1" fillId="7" borderId="42" xfId="0" applyNumberFormat="1" applyFont="1" applyFill="1" applyBorder="1" applyAlignment="1">
      <alignment horizontal="center" vertical="top" wrapText="1"/>
    </xf>
    <xf numFmtId="165" fontId="1" fillId="7" borderId="20" xfId="3" applyNumberFormat="1" applyFont="1" applyFill="1" applyBorder="1" applyAlignment="1">
      <alignment horizontal="left" vertical="top" wrapText="1"/>
    </xf>
    <xf numFmtId="0" fontId="1" fillId="7" borderId="67" xfId="0" applyFont="1" applyFill="1" applyBorder="1" applyAlignment="1">
      <alignment horizontal="left" vertical="top" wrapText="1"/>
    </xf>
    <xf numFmtId="165" fontId="1" fillId="7" borderId="18" xfId="0" applyNumberFormat="1" applyFont="1" applyFill="1" applyBorder="1" applyAlignment="1">
      <alignment horizontal="center" vertical="center" wrapText="1"/>
    </xf>
    <xf numFmtId="165" fontId="1" fillId="7" borderId="15" xfId="0" applyNumberFormat="1" applyFont="1" applyFill="1" applyBorder="1" applyAlignment="1">
      <alignment horizontal="center" vertical="center" wrapText="1"/>
    </xf>
    <xf numFmtId="0" fontId="1" fillId="7" borderId="73" xfId="0" applyNumberFormat="1" applyFont="1" applyFill="1" applyBorder="1" applyAlignment="1">
      <alignment horizontal="center" vertical="top" wrapText="1"/>
    </xf>
    <xf numFmtId="0" fontId="1" fillId="7" borderId="24" xfId="0" applyFont="1" applyFill="1" applyBorder="1" applyAlignment="1">
      <alignment horizontal="center" vertical="top"/>
    </xf>
    <xf numFmtId="0" fontId="2" fillId="0" borderId="52"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1" fillId="0" borderId="32" xfId="0" applyFont="1" applyBorder="1" applyAlignment="1">
      <alignment horizontal="center" vertical="center" textRotation="90"/>
    </xf>
    <xf numFmtId="0" fontId="1" fillId="0" borderId="50" xfId="0" applyFont="1" applyBorder="1" applyAlignment="1">
      <alignment horizontal="center" vertical="center" textRotation="90"/>
    </xf>
    <xf numFmtId="3" fontId="1" fillId="0" borderId="57" xfId="0" applyNumberFormat="1" applyFont="1" applyBorder="1" applyAlignment="1">
      <alignment horizontal="center" vertical="center"/>
    </xf>
    <xf numFmtId="3" fontId="1" fillId="0" borderId="53" xfId="0" applyNumberFormat="1" applyFont="1" applyBorder="1" applyAlignment="1">
      <alignment horizontal="center" vertical="center"/>
    </xf>
    <xf numFmtId="0" fontId="1" fillId="7" borderId="93" xfId="0" applyFont="1" applyFill="1" applyBorder="1" applyAlignment="1">
      <alignment horizontal="center" vertical="top"/>
    </xf>
    <xf numFmtId="0" fontId="11" fillId="0" borderId="0" xfId="0" applyFont="1" applyAlignment="1">
      <alignment horizontal="right" vertical="top"/>
    </xf>
    <xf numFmtId="0" fontId="1" fillId="0" borderId="9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0" xfId="0" applyFont="1" applyBorder="1" applyAlignment="1">
      <alignment horizontal="center" vertical="center" textRotation="90" wrapText="1"/>
    </xf>
    <xf numFmtId="49" fontId="1" fillId="0" borderId="21" xfId="0" applyNumberFormat="1" applyFont="1" applyBorder="1" applyAlignment="1">
      <alignment horizontal="center" vertical="center" textRotation="90" shrinkToFit="1"/>
    </xf>
    <xf numFmtId="49" fontId="1" fillId="0" borderId="9" xfId="0" applyNumberFormat="1" applyFont="1" applyBorder="1" applyAlignment="1">
      <alignment horizontal="center" vertical="center" textRotation="90" shrinkToFit="1"/>
    </xf>
    <xf numFmtId="49" fontId="1" fillId="0" borderId="25" xfId="0" applyNumberFormat="1" applyFont="1" applyBorder="1" applyAlignment="1">
      <alignment horizontal="center" vertical="center" textRotation="90" shrinkToFit="1"/>
    </xf>
    <xf numFmtId="3" fontId="1" fillId="0" borderId="22" xfId="0" applyNumberFormat="1" applyFont="1" applyFill="1" applyBorder="1" applyAlignment="1">
      <alignment horizontal="center" vertical="center" wrapText="1" shrinkToFit="1"/>
    </xf>
    <xf numFmtId="3" fontId="1" fillId="0" borderId="15" xfId="0" applyNumberFormat="1" applyFont="1" applyFill="1" applyBorder="1" applyAlignment="1">
      <alignment horizontal="center" vertical="center" wrapText="1" shrinkToFit="1"/>
    </xf>
    <xf numFmtId="3" fontId="1" fillId="0" borderId="103" xfId="0" applyNumberFormat="1" applyFont="1" applyFill="1" applyBorder="1" applyAlignment="1">
      <alignment horizontal="center" vertical="center" wrapText="1" shrinkToFit="1"/>
    </xf>
    <xf numFmtId="49" fontId="1" fillId="7" borderId="75" xfId="0" applyNumberFormat="1" applyFont="1" applyFill="1" applyBorder="1" applyAlignment="1">
      <alignment horizontal="center" vertical="top" wrapText="1"/>
    </xf>
    <xf numFmtId="49" fontId="1" fillId="7" borderId="38" xfId="0" applyNumberFormat="1" applyFont="1" applyFill="1" applyBorder="1" applyAlignment="1">
      <alignment horizontal="center" vertical="top" wrapText="1"/>
    </xf>
    <xf numFmtId="49" fontId="1" fillId="7" borderId="16" xfId="0" applyNumberFormat="1" applyFont="1" applyFill="1" applyBorder="1" applyAlignment="1">
      <alignment horizontal="center" vertical="top" wrapText="1"/>
    </xf>
    <xf numFmtId="165" fontId="1" fillId="7" borderId="70" xfId="0" applyNumberFormat="1" applyFont="1" applyFill="1" applyBorder="1" applyAlignment="1">
      <alignment horizontal="left" vertical="top" wrapText="1"/>
    </xf>
    <xf numFmtId="165" fontId="1" fillId="7" borderId="83" xfId="0" applyNumberFormat="1" applyFont="1" applyFill="1" applyBorder="1" applyAlignment="1">
      <alignment horizontal="center" vertical="top" wrapText="1"/>
    </xf>
    <xf numFmtId="165" fontId="1" fillId="7" borderId="61" xfId="0" applyNumberFormat="1"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7" borderId="23" xfId="0" applyFont="1" applyFill="1" applyBorder="1" applyAlignment="1">
      <alignment horizontal="center" vertical="top" wrapText="1"/>
    </xf>
    <xf numFmtId="165" fontId="1" fillId="8" borderId="24" xfId="0" applyNumberFormat="1" applyFont="1" applyFill="1" applyBorder="1" applyAlignment="1">
      <alignment horizontal="center" vertical="center" textRotation="90" wrapText="1"/>
    </xf>
    <xf numFmtId="49" fontId="2" fillId="0" borderId="17" xfId="0" applyNumberFormat="1" applyFont="1" applyBorder="1" applyAlignment="1">
      <alignment horizontal="center" vertical="top"/>
    </xf>
    <xf numFmtId="49" fontId="2" fillId="0" borderId="9" xfId="0" applyNumberFormat="1" applyFont="1" applyBorder="1" applyAlignment="1">
      <alignment horizontal="center" vertical="top"/>
    </xf>
    <xf numFmtId="49" fontId="2" fillId="0" borderId="24" xfId="0" applyNumberFormat="1" applyFont="1" applyBorder="1" applyAlignment="1">
      <alignment horizontal="center" vertical="top"/>
    </xf>
    <xf numFmtId="0" fontId="13" fillId="7" borderId="15" xfId="0" applyFont="1" applyFill="1" applyBorder="1" applyAlignment="1">
      <alignment vertical="top" wrapText="1"/>
    </xf>
    <xf numFmtId="165" fontId="8" fillId="7" borderId="15" xfId="0" applyNumberFormat="1" applyFont="1" applyFill="1" applyBorder="1" applyAlignment="1">
      <alignment horizontal="center" vertical="top" wrapText="1"/>
    </xf>
    <xf numFmtId="165" fontId="8" fillId="7" borderId="23" xfId="0" applyNumberFormat="1" applyFont="1" applyFill="1" applyBorder="1" applyAlignment="1">
      <alignment horizontal="center" vertical="top" wrapText="1"/>
    </xf>
    <xf numFmtId="165" fontId="8" fillId="7" borderId="18" xfId="0" applyNumberFormat="1" applyFont="1" applyFill="1" applyBorder="1" applyAlignment="1">
      <alignment horizontal="center" vertical="top" wrapText="1"/>
    </xf>
    <xf numFmtId="0" fontId="1" fillId="7" borderId="6" xfId="0" applyFont="1" applyFill="1" applyBorder="1" applyAlignment="1">
      <alignment vertical="top" wrapText="1"/>
    </xf>
    <xf numFmtId="0" fontId="1" fillId="7" borderId="67" xfId="0" applyFont="1" applyFill="1" applyBorder="1" applyAlignment="1">
      <alignment vertical="top" wrapText="1"/>
    </xf>
    <xf numFmtId="0" fontId="1" fillId="0" borderId="17" xfId="0" applyFont="1" applyBorder="1" applyAlignment="1">
      <alignment horizontal="left" vertical="top"/>
    </xf>
    <xf numFmtId="0" fontId="1" fillId="0" borderId="9" xfId="0" applyFont="1" applyBorder="1" applyAlignment="1">
      <alignment horizontal="left" vertical="top"/>
    </xf>
    <xf numFmtId="165" fontId="1" fillId="7" borderId="83" xfId="0" applyNumberFormat="1" applyFont="1" applyFill="1" applyBorder="1" applyAlignment="1">
      <alignment horizontal="center" vertical="center" wrapText="1"/>
    </xf>
    <xf numFmtId="165" fontId="1" fillId="7" borderId="23" xfId="0" applyNumberFormat="1" applyFont="1" applyFill="1" applyBorder="1" applyAlignment="1">
      <alignment horizontal="center" vertical="center" wrapText="1"/>
    </xf>
    <xf numFmtId="0" fontId="1" fillId="0" borderId="70" xfId="0" applyFont="1" applyBorder="1" applyAlignment="1">
      <alignment horizontal="left" vertical="top" wrapText="1"/>
    </xf>
    <xf numFmtId="0" fontId="1" fillId="0" borderId="9" xfId="0" applyFont="1" applyBorder="1" applyAlignment="1">
      <alignment horizontal="left" vertical="top" wrapText="1"/>
    </xf>
    <xf numFmtId="165" fontId="1" fillId="7" borderId="18" xfId="0" applyNumberFormat="1" applyFont="1" applyFill="1" applyBorder="1" applyAlignment="1">
      <alignment horizontal="center" wrapText="1"/>
    </xf>
    <xf numFmtId="165" fontId="1" fillId="7" borderId="15" xfId="0" applyNumberFormat="1" applyFont="1" applyFill="1" applyBorder="1" applyAlignment="1">
      <alignment horizontal="center" wrapText="1"/>
    </xf>
    <xf numFmtId="0" fontId="1" fillId="7" borderId="20" xfId="0" applyFont="1" applyFill="1" applyBorder="1" applyAlignment="1">
      <alignment horizontal="center" vertical="top"/>
    </xf>
    <xf numFmtId="49" fontId="2" fillId="7" borderId="37"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49" fontId="2" fillId="7" borderId="29" xfId="0" applyNumberFormat="1" applyFont="1" applyFill="1" applyBorder="1" applyAlignment="1">
      <alignment horizontal="center" vertical="top"/>
    </xf>
    <xf numFmtId="0" fontId="5" fillId="0" borderId="61" xfId="0" applyFont="1" applyBorder="1" applyAlignment="1">
      <alignment horizontal="center" vertical="top" wrapText="1"/>
    </xf>
    <xf numFmtId="165" fontId="1" fillId="0" borderId="71" xfId="0" applyNumberFormat="1" applyFont="1" applyFill="1" applyBorder="1" applyAlignment="1">
      <alignment horizontal="center" vertical="top" wrapText="1"/>
    </xf>
    <xf numFmtId="0" fontId="0" fillId="0" borderId="67" xfId="0" applyFill="1" applyBorder="1" applyAlignment="1">
      <alignment horizontal="center" vertical="top" wrapText="1"/>
    </xf>
    <xf numFmtId="0" fontId="1" fillId="0" borderId="71" xfId="0" applyFont="1" applyBorder="1" applyAlignment="1">
      <alignment horizontal="left" vertical="top" wrapText="1"/>
    </xf>
    <xf numFmtId="165" fontId="1" fillId="0" borderId="71" xfId="0" applyNumberFormat="1" applyFont="1" applyBorder="1" applyAlignment="1">
      <alignment horizontal="center" vertical="top"/>
    </xf>
    <xf numFmtId="165" fontId="1" fillId="0" borderId="20" xfId="0" applyNumberFormat="1" applyFont="1" applyBorder="1" applyAlignment="1">
      <alignment horizontal="center" vertical="top"/>
    </xf>
    <xf numFmtId="165" fontId="1" fillId="0" borderId="71" xfId="0" applyNumberFormat="1" applyFont="1" applyFill="1" applyBorder="1" applyAlignment="1">
      <alignment horizontal="center" vertical="top"/>
    </xf>
    <xf numFmtId="165" fontId="1" fillId="0" borderId="20"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0" fontId="5" fillId="7" borderId="23" xfId="0" applyFont="1" applyFill="1" applyBorder="1" applyAlignment="1">
      <alignment horizontal="center" vertical="top"/>
    </xf>
    <xf numFmtId="0" fontId="1" fillId="7" borderId="31"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0" fontId="1" fillId="0" borderId="60" xfId="0" applyNumberFormat="1" applyFont="1" applyFill="1" applyBorder="1" applyAlignment="1">
      <alignment horizontal="left" vertical="top" wrapText="1"/>
    </xf>
    <xf numFmtId="165" fontId="1" fillId="7" borderId="35" xfId="0" applyNumberFormat="1" applyFont="1" applyFill="1" applyBorder="1" applyAlignment="1">
      <alignment horizontal="center" vertical="top" wrapText="1"/>
    </xf>
    <xf numFmtId="0" fontId="11" fillId="0" borderId="0" xfId="0" applyFont="1" applyAlignment="1">
      <alignment horizontal="left" vertical="center" wrapText="1"/>
    </xf>
    <xf numFmtId="165" fontId="1" fillId="7" borderId="21" xfId="0" applyNumberFormat="1" applyFont="1" applyFill="1" applyBorder="1" applyAlignment="1">
      <alignment horizontal="left" vertical="top" wrapText="1"/>
    </xf>
    <xf numFmtId="165" fontId="1" fillId="7" borderId="25" xfId="0" applyNumberFormat="1" applyFont="1" applyFill="1" applyBorder="1" applyAlignment="1">
      <alignment horizontal="left" vertical="top" wrapText="1"/>
    </xf>
    <xf numFmtId="0" fontId="26" fillId="10" borderId="44" xfId="0" applyFont="1" applyFill="1" applyBorder="1" applyAlignment="1">
      <alignment horizontal="right"/>
    </xf>
    <xf numFmtId="0" fontId="26" fillId="10" borderId="54" xfId="0" applyFont="1" applyFill="1" applyBorder="1" applyAlignment="1">
      <alignment horizontal="right"/>
    </xf>
    <xf numFmtId="0" fontId="0" fillId="10" borderId="44" xfId="0" applyFill="1" applyBorder="1" applyAlignment="1">
      <alignment horizontal="center"/>
    </xf>
    <xf numFmtId="0" fontId="0" fillId="10" borderId="54" xfId="0" applyFill="1" applyBorder="1" applyAlignment="1">
      <alignment horizontal="center"/>
    </xf>
    <xf numFmtId="0" fontId="0" fillId="10" borderId="55" xfId="0" applyFill="1" applyBorder="1" applyAlignment="1">
      <alignment horizontal="center"/>
    </xf>
    <xf numFmtId="165" fontId="1" fillId="7" borderId="22" xfId="0" applyNumberFormat="1" applyFont="1" applyFill="1" applyBorder="1" applyAlignment="1">
      <alignment horizontal="center" vertical="top" wrapText="1"/>
    </xf>
    <xf numFmtId="165" fontId="1" fillId="7" borderId="103" xfId="0" applyNumberFormat="1" applyFont="1" applyFill="1" applyBorder="1" applyAlignment="1">
      <alignment horizontal="center" vertical="top" wrapText="1"/>
    </xf>
    <xf numFmtId="165" fontId="1" fillId="7" borderId="21" xfId="0" applyNumberFormat="1" applyFont="1" applyFill="1" applyBorder="1" applyAlignment="1">
      <alignment vertical="top" wrapText="1"/>
    </xf>
    <xf numFmtId="0" fontId="1" fillId="7" borderId="32" xfId="0" applyFont="1" applyFill="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xf>
    <xf numFmtId="49" fontId="2" fillId="7" borderId="5" xfId="0" applyNumberFormat="1" applyFont="1" applyFill="1" applyBorder="1" applyAlignment="1">
      <alignment horizontal="center" vertical="top"/>
    </xf>
    <xf numFmtId="0" fontId="1" fillId="7" borderId="50" xfId="0" applyFont="1" applyFill="1" applyBorder="1" applyAlignment="1">
      <alignment horizontal="left" vertical="top" wrapText="1"/>
    </xf>
    <xf numFmtId="49" fontId="1" fillId="7" borderId="27" xfId="0" applyNumberFormat="1" applyFont="1" applyFill="1" applyBorder="1" applyAlignment="1">
      <alignment horizontal="center" vertical="top" wrapText="1"/>
    </xf>
    <xf numFmtId="49" fontId="1" fillId="7" borderId="7" xfId="0" applyNumberFormat="1" applyFont="1" applyFill="1" applyBorder="1" applyAlignment="1">
      <alignment horizontal="center" vertical="top" wrapText="1"/>
    </xf>
    <xf numFmtId="49" fontId="1" fillId="7" borderId="104" xfId="0" applyNumberFormat="1" applyFont="1" applyFill="1" applyBorder="1" applyAlignment="1">
      <alignment horizontal="center" vertical="top" wrapText="1"/>
    </xf>
  </cellXfs>
  <cellStyles count="4">
    <cellStyle name="Excel Built-in Normal" xfId="3"/>
    <cellStyle name="Įprastas" xfId="0" builtinId="0"/>
    <cellStyle name="Įprastas 2" xfId="2"/>
    <cellStyle name="Kablelis" xfId="1" builtinId="3"/>
  </cellStyles>
  <dxfs count="0"/>
  <tableStyles count="0" defaultTableStyle="TableStyleMedium2" defaultPivotStyle="PivotStyleLight16"/>
  <colors>
    <mruColors>
      <color rgb="FFFFFF99"/>
      <color rgb="FFFFDDFF"/>
      <color rgb="FFFFD5FF"/>
      <color rgb="FFFFCCFF"/>
      <color rgb="FFCCFFCC"/>
      <color rgb="FFFFFFCC"/>
      <color rgb="FF99FF99"/>
      <color rgb="FFE9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27</xdr:row>
      <xdr:rowOff>45720</xdr:rowOff>
    </xdr:from>
    <xdr:to>
      <xdr:col>23</xdr:col>
      <xdr:colOff>108802</xdr:colOff>
      <xdr:row>59</xdr:row>
      <xdr:rowOff>90764</xdr:rowOff>
    </xdr:to>
    <xdr:pic>
      <xdr:nvPicPr>
        <xdr:cNvPr id="3" name="Paveikslėlis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24840" y="4602480"/>
          <a:ext cx="13504762" cy="5409524"/>
        </a:xfrm>
        <a:prstGeom prst="rect">
          <a:avLst/>
        </a:prstGeom>
      </xdr:spPr>
    </xdr:pic>
    <xdr:clientData/>
  </xdr:twoCellAnchor>
  <xdr:twoCellAnchor editAs="oneCell">
    <xdr:from>
      <xdr:col>0</xdr:col>
      <xdr:colOff>579120</xdr:colOff>
      <xdr:row>2</xdr:row>
      <xdr:rowOff>158494</xdr:rowOff>
    </xdr:from>
    <xdr:to>
      <xdr:col>19</xdr:col>
      <xdr:colOff>375716</xdr:colOff>
      <xdr:row>26</xdr:row>
      <xdr:rowOff>96642</xdr:rowOff>
    </xdr:to>
    <xdr:pic>
      <xdr:nvPicPr>
        <xdr:cNvPr id="4" name="Paveikslėlis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79120" y="524254"/>
          <a:ext cx="11378996" cy="3961508"/>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23"/>
  <sheetViews>
    <sheetView tabSelected="1" zoomScaleNormal="100" zoomScaleSheetLayoutView="100" workbookViewId="0">
      <selection activeCell="U18" sqref="U18"/>
    </sheetView>
  </sheetViews>
  <sheetFormatPr defaultColWidth="9.1796875" defaultRowHeight="13" x14ac:dyDescent="0.25"/>
  <cols>
    <col min="1" max="3" width="2.81640625" style="2" customWidth="1"/>
    <col min="4" max="4" width="39.54296875" style="2" customWidth="1"/>
    <col min="5" max="5" width="4.453125" style="97" customWidth="1"/>
    <col min="6" max="6" width="8.81640625" style="3" customWidth="1"/>
    <col min="7" max="9" width="9.54296875" style="2" customWidth="1"/>
    <col min="10" max="10" width="37.453125" style="2" customWidth="1"/>
    <col min="11" max="13" width="6.453125" style="2" customWidth="1"/>
    <col min="14" max="14" width="9.1796875" style="1"/>
    <col min="15" max="18" width="0" style="1" hidden="1" customWidth="1"/>
    <col min="19" max="16384" width="9.1796875" style="1"/>
  </cols>
  <sheetData>
    <row r="1" spans="1:18" ht="32.5" customHeight="1" x14ac:dyDescent="0.25">
      <c r="E1" s="95"/>
      <c r="G1" s="3"/>
      <c r="H1" s="3"/>
      <c r="I1" s="3"/>
      <c r="J1" s="1147" t="s">
        <v>434</v>
      </c>
      <c r="K1" s="1147"/>
      <c r="L1" s="1147"/>
      <c r="M1" s="1147"/>
      <c r="O1" s="1001"/>
      <c r="P1" s="1001"/>
      <c r="Q1" s="1001"/>
      <c r="R1" s="1001"/>
    </row>
    <row r="2" spans="1:18" ht="15.75" customHeight="1" x14ac:dyDescent="0.25">
      <c r="E2" s="95"/>
      <c r="G2" s="3"/>
      <c r="H2" s="3"/>
      <c r="I2" s="3"/>
      <c r="J2" s="1147" t="s">
        <v>435</v>
      </c>
      <c r="K2" s="1147"/>
      <c r="L2" s="1147"/>
      <c r="M2" s="1147"/>
      <c r="O2" s="1001"/>
      <c r="P2" s="1001"/>
      <c r="Q2" s="1001"/>
      <c r="R2" s="1001"/>
    </row>
    <row r="3" spans="1:18" ht="15" customHeight="1" x14ac:dyDescent="0.25">
      <c r="E3" s="95"/>
      <c r="G3" s="3"/>
      <c r="H3" s="3"/>
      <c r="I3" s="3"/>
      <c r="J3" s="1145"/>
      <c r="K3" s="152"/>
      <c r="L3" s="152"/>
      <c r="M3" s="152"/>
    </row>
    <row r="4" spans="1:18" s="2" customFormat="1" ht="15" customHeight="1" x14ac:dyDescent="0.25">
      <c r="A4" s="1148" t="s">
        <v>432</v>
      </c>
      <c r="B4" s="1148"/>
      <c r="C4" s="1148"/>
      <c r="D4" s="1148"/>
      <c r="E4" s="1148"/>
      <c r="F4" s="1148"/>
      <c r="G4" s="1148"/>
      <c r="H4" s="1148"/>
      <c r="I4" s="1148"/>
      <c r="J4" s="1148"/>
      <c r="K4" s="1148"/>
      <c r="L4" s="1148"/>
      <c r="M4" s="1148"/>
    </row>
    <row r="5" spans="1:18" ht="15" customHeight="1" x14ac:dyDescent="0.25">
      <c r="A5" s="1149" t="s">
        <v>25</v>
      </c>
      <c r="B5" s="1149"/>
      <c r="C5" s="1149"/>
      <c r="D5" s="1149"/>
      <c r="E5" s="1149"/>
      <c r="F5" s="1149"/>
      <c r="G5" s="1149"/>
      <c r="H5" s="1149"/>
      <c r="I5" s="1149"/>
      <c r="J5" s="1149"/>
      <c r="K5" s="1149"/>
      <c r="L5" s="1149"/>
      <c r="M5" s="1149"/>
    </row>
    <row r="6" spans="1:18" ht="16" customHeight="1" x14ac:dyDescent="0.25">
      <c r="A6" s="1150" t="s">
        <v>14</v>
      </c>
      <c r="B6" s="1150"/>
      <c r="C6" s="1150"/>
      <c r="D6" s="1150"/>
      <c r="E6" s="1150"/>
      <c r="F6" s="1150"/>
      <c r="G6" s="1150"/>
      <c r="H6" s="1150"/>
      <c r="I6" s="1150"/>
      <c r="J6" s="1150"/>
      <c r="K6" s="1150"/>
      <c r="L6" s="1150"/>
      <c r="M6" s="1150"/>
    </row>
    <row r="7" spans="1:18" ht="15" customHeight="1" x14ac:dyDescent="0.3">
      <c r="A7" s="1"/>
      <c r="B7" s="1"/>
      <c r="C7" s="1"/>
      <c r="D7" s="1"/>
      <c r="E7" s="272"/>
      <c r="F7" s="270"/>
      <c r="G7" s="1"/>
      <c r="H7" s="1"/>
      <c r="I7" s="1"/>
      <c r="J7" s="1"/>
      <c r="K7" s="1"/>
      <c r="L7" s="811"/>
      <c r="M7" s="811"/>
    </row>
    <row r="8" spans="1:18" ht="15" customHeight="1" thickBot="1" x14ac:dyDescent="0.35">
      <c r="A8" s="1"/>
      <c r="B8" s="1"/>
      <c r="C8" s="1"/>
      <c r="D8" s="1"/>
      <c r="E8" s="272"/>
      <c r="F8" s="270"/>
      <c r="G8" s="1"/>
      <c r="H8" s="1"/>
      <c r="I8" s="287"/>
      <c r="J8" s="1"/>
      <c r="K8" s="1"/>
      <c r="L8" s="1151" t="s">
        <v>69</v>
      </c>
      <c r="M8" s="1151"/>
    </row>
    <row r="9" spans="1:18" s="12" customFormat="1" ht="21" customHeight="1" thickBot="1" x14ac:dyDescent="0.3">
      <c r="A9" s="1152" t="s">
        <v>15</v>
      </c>
      <c r="B9" s="1155" t="s">
        <v>0</v>
      </c>
      <c r="C9" s="1155" t="s">
        <v>1</v>
      </c>
      <c r="D9" s="1158" t="s">
        <v>9</v>
      </c>
      <c r="E9" s="1155" t="s">
        <v>245</v>
      </c>
      <c r="F9" s="1174" t="s">
        <v>2</v>
      </c>
      <c r="G9" s="1177" t="s">
        <v>248</v>
      </c>
      <c r="H9" s="1180" t="s">
        <v>414</v>
      </c>
      <c r="I9" s="1161" t="s">
        <v>250</v>
      </c>
      <c r="J9" s="1164" t="s">
        <v>225</v>
      </c>
      <c r="K9" s="1165"/>
      <c r="L9" s="1165"/>
      <c r="M9" s="1166"/>
    </row>
    <row r="10" spans="1:18" s="12" customFormat="1" ht="21" customHeight="1" x14ac:dyDescent="0.25">
      <c r="A10" s="1153"/>
      <c r="B10" s="1156"/>
      <c r="C10" s="1156"/>
      <c r="D10" s="1159"/>
      <c r="E10" s="1156"/>
      <c r="F10" s="1175"/>
      <c r="G10" s="1178"/>
      <c r="H10" s="1181"/>
      <c r="I10" s="1162"/>
      <c r="J10" s="1167" t="s">
        <v>9</v>
      </c>
      <c r="K10" s="1169" t="s">
        <v>233</v>
      </c>
      <c r="L10" s="1169"/>
      <c r="M10" s="1170"/>
    </row>
    <row r="11" spans="1:18" s="12" customFormat="1" ht="88.5" customHeight="1" thickBot="1" x14ac:dyDescent="0.3">
      <c r="A11" s="1154"/>
      <c r="B11" s="1157"/>
      <c r="C11" s="1157"/>
      <c r="D11" s="1160"/>
      <c r="E11" s="1157"/>
      <c r="F11" s="1176"/>
      <c r="G11" s="1179"/>
      <c r="H11" s="1182"/>
      <c r="I11" s="1163"/>
      <c r="J11" s="1168"/>
      <c r="K11" s="1143" t="s">
        <v>242</v>
      </c>
      <c r="L11" s="290" t="s">
        <v>243</v>
      </c>
      <c r="M11" s="289" t="s">
        <v>244</v>
      </c>
    </row>
    <row r="12" spans="1:18" s="7" customFormat="1" ht="15" customHeight="1" x14ac:dyDescent="0.25">
      <c r="A12" s="1171" t="s">
        <v>49</v>
      </c>
      <c r="B12" s="1172"/>
      <c r="C12" s="1172"/>
      <c r="D12" s="1172"/>
      <c r="E12" s="1172"/>
      <c r="F12" s="1172"/>
      <c r="G12" s="1172"/>
      <c r="H12" s="1172"/>
      <c r="I12" s="1172"/>
      <c r="J12" s="1172"/>
      <c r="K12" s="1172"/>
      <c r="L12" s="1172"/>
      <c r="M12" s="1173"/>
    </row>
    <row r="13" spans="1:18" s="7" customFormat="1" ht="15" customHeight="1" x14ac:dyDescent="0.25">
      <c r="A13" s="1195" t="s">
        <v>22</v>
      </c>
      <c r="B13" s="1196"/>
      <c r="C13" s="1196"/>
      <c r="D13" s="1196"/>
      <c r="E13" s="1196"/>
      <c r="F13" s="1196"/>
      <c r="G13" s="1196"/>
      <c r="H13" s="1196"/>
      <c r="I13" s="1196"/>
      <c r="J13" s="1196"/>
      <c r="K13" s="1197"/>
      <c r="L13" s="1197"/>
      <c r="M13" s="1198"/>
    </row>
    <row r="14" spans="1:18" ht="15" customHeight="1" x14ac:dyDescent="0.25">
      <c r="A14" s="11" t="s">
        <v>3</v>
      </c>
      <c r="B14" s="1199" t="s">
        <v>26</v>
      </c>
      <c r="C14" s="1200"/>
      <c r="D14" s="1200"/>
      <c r="E14" s="1200"/>
      <c r="F14" s="1200"/>
      <c r="G14" s="1200"/>
      <c r="H14" s="1200"/>
      <c r="I14" s="1200"/>
      <c r="J14" s="1200"/>
      <c r="K14" s="1197"/>
      <c r="L14" s="1197"/>
      <c r="M14" s="1198"/>
    </row>
    <row r="15" spans="1:18" ht="15" customHeight="1" x14ac:dyDescent="0.25">
      <c r="A15" s="34" t="s">
        <v>3</v>
      </c>
      <c r="B15" s="9" t="s">
        <v>3</v>
      </c>
      <c r="C15" s="1201" t="s">
        <v>141</v>
      </c>
      <c r="D15" s="1202"/>
      <c r="E15" s="1202"/>
      <c r="F15" s="1202"/>
      <c r="G15" s="1202"/>
      <c r="H15" s="1202"/>
      <c r="I15" s="1202"/>
      <c r="J15" s="1202"/>
      <c r="K15" s="1203"/>
      <c r="L15" s="1203"/>
      <c r="M15" s="1204"/>
    </row>
    <row r="16" spans="1:18" ht="13.5" customHeight="1" x14ac:dyDescent="0.25">
      <c r="A16" s="950" t="s">
        <v>3</v>
      </c>
      <c r="B16" s="951" t="s">
        <v>3</v>
      </c>
      <c r="C16" s="948" t="s">
        <v>3</v>
      </c>
      <c r="D16" s="1205" t="s">
        <v>125</v>
      </c>
      <c r="E16" s="744" t="s">
        <v>131</v>
      </c>
      <c r="F16" s="982" t="s">
        <v>21</v>
      </c>
      <c r="G16" s="113">
        <v>3337.1</v>
      </c>
      <c r="H16" s="111">
        <v>4768.3</v>
      </c>
      <c r="I16" s="114">
        <v>5298.7</v>
      </c>
      <c r="J16" s="452"/>
      <c r="K16" s="297"/>
      <c r="L16" s="303"/>
      <c r="M16" s="226"/>
      <c r="O16" s="1001" t="s">
        <v>21</v>
      </c>
      <c r="P16" s="1141">
        <f>+G28+G34+G41+G49+G54+G57+G60+G64+G68+G71+G72+G75+G81+G83+G87+G106+G108+G112+G114+G117+G119+G123+G126+G136+G139+G141+G144+G146+G149</f>
        <v>3337.1</v>
      </c>
      <c r="Q16" s="1141">
        <f>+H28+H34+H41+H49+H54+H57+H60+H64+H68+H71+H72+H75+H81+H83+H87+H106+H108+H112+H114+H117+H119+H123+H126+H136+H139+H141+H144+H146+H149</f>
        <v>4768.3</v>
      </c>
      <c r="R16" s="1141">
        <f>+I28+I34+I41+I49+I54+I57+I60+I64+I68+I71+I72+I75+I81+I83+I87+I106+I108+I112+I114+I117+I119+I123+I126+I136+I139+I141+I144+I146+I149</f>
        <v>5298.7</v>
      </c>
    </row>
    <row r="17" spans="1:18" ht="15.65" customHeight="1" x14ac:dyDescent="0.25">
      <c r="A17" s="950"/>
      <c r="B17" s="79"/>
      <c r="C17" s="948"/>
      <c r="D17" s="1206"/>
      <c r="E17" s="1"/>
      <c r="F17" s="16" t="s">
        <v>226</v>
      </c>
      <c r="G17" s="124">
        <v>14208</v>
      </c>
      <c r="H17" s="162">
        <v>2983.6</v>
      </c>
      <c r="I17" s="445"/>
      <c r="J17" s="452"/>
      <c r="K17" s="984"/>
      <c r="L17" s="998"/>
      <c r="M17" s="1000"/>
      <c r="O17" s="1001" t="s">
        <v>226</v>
      </c>
      <c r="P17" s="1141">
        <f>+G30</f>
        <v>14208</v>
      </c>
      <c r="Q17" s="1141">
        <f t="shared" ref="Q17:R17" si="0">+H30</f>
        <v>2983.6</v>
      </c>
      <c r="R17" s="1141">
        <f t="shared" si="0"/>
        <v>0</v>
      </c>
    </row>
    <row r="18" spans="1:18" ht="15.65" customHeight="1" x14ac:dyDescent="0.25">
      <c r="A18" s="950"/>
      <c r="B18" s="79"/>
      <c r="C18" s="948"/>
      <c r="D18" s="997"/>
      <c r="E18" s="744"/>
      <c r="F18" s="16" t="s">
        <v>328</v>
      </c>
      <c r="G18" s="294">
        <v>770</v>
      </c>
      <c r="H18" s="162">
        <v>207.5</v>
      </c>
      <c r="I18" s="23">
        <v>881.3</v>
      </c>
      <c r="J18" s="452"/>
      <c r="K18" s="984"/>
      <c r="L18" s="998"/>
      <c r="M18" s="999"/>
      <c r="O18" s="1001" t="s">
        <v>328</v>
      </c>
      <c r="P18" s="1141" t="e">
        <f>+G32+G36+#REF!+G62+G79+G142+G147+G150</f>
        <v>#REF!</v>
      </c>
      <c r="Q18" s="1141" t="e">
        <f>+H32+H36+#REF!+H62+H79+H142+H147+H150</f>
        <v>#REF!</v>
      </c>
      <c r="R18" s="1141" t="e">
        <f>+I32+I36+#REF!+I62+I79+I142+I147+I150</f>
        <v>#REF!</v>
      </c>
    </row>
    <row r="19" spans="1:18" ht="15.65" customHeight="1" x14ac:dyDescent="0.25">
      <c r="A19" s="950"/>
      <c r="B19" s="79"/>
      <c r="C19" s="948"/>
      <c r="D19" s="997"/>
      <c r="E19" s="744"/>
      <c r="F19" s="16" t="s">
        <v>64</v>
      </c>
      <c r="G19" s="124">
        <v>4546.6000000000004</v>
      </c>
      <c r="H19" s="162">
        <v>5153.3</v>
      </c>
      <c r="I19" s="23">
        <v>7379.3</v>
      </c>
      <c r="J19" s="452"/>
      <c r="K19" s="984"/>
      <c r="L19" s="998"/>
      <c r="M19" s="999"/>
      <c r="O19" s="1001" t="s">
        <v>64</v>
      </c>
      <c r="P19" s="1141" t="e">
        <f>+G38+G51+G58+G65+G88+G105+G111+G116+G118+G121+G127+G131+G132+#REF!+G133+G137</f>
        <v>#REF!</v>
      </c>
      <c r="Q19" s="1141" t="e">
        <f>+H38+H51+H58+H65+H88+H105+H111+H116+H118+H121+H127+H131+H132+#REF!+H133+H137</f>
        <v>#REF!</v>
      </c>
      <c r="R19" s="1141" t="e">
        <f>+I38+I51+I58+I65+I88+I105+I111+I116+I118+I121+I127+I131+I132+#REF!+I133+I137</f>
        <v>#REF!</v>
      </c>
    </row>
    <row r="20" spans="1:18" ht="15.65" customHeight="1" x14ac:dyDescent="0.25">
      <c r="A20" s="950"/>
      <c r="B20" s="79"/>
      <c r="C20" s="948"/>
      <c r="D20" s="997"/>
      <c r="E20" s="744"/>
      <c r="F20" s="16" t="s">
        <v>96</v>
      </c>
      <c r="G20" s="124">
        <v>1050.5999999999999</v>
      </c>
      <c r="H20" s="162">
        <v>430.2</v>
      </c>
      <c r="I20" s="23"/>
      <c r="J20" s="452"/>
      <c r="K20" s="984"/>
      <c r="L20" s="998"/>
      <c r="M20" s="999"/>
      <c r="O20" s="1001" t="s">
        <v>96</v>
      </c>
      <c r="P20" s="1141">
        <f>+G37+G42+G70</f>
        <v>1050.5999999999999</v>
      </c>
      <c r="Q20" s="1141">
        <f>+H37+H42+H70</f>
        <v>430.2</v>
      </c>
      <c r="R20" s="1141">
        <f>+I37+I42+I70</f>
        <v>0</v>
      </c>
    </row>
    <row r="21" spans="1:18" ht="15.65" customHeight="1" x14ac:dyDescent="0.25">
      <c r="A21" s="950"/>
      <c r="B21" s="79"/>
      <c r="C21" s="948"/>
      <c r="D21" s="997"/>
      <c r="E21" s="744"/>
      <c r="F21" s="716" t="s">
        <v>48</v>
      </c>
      <c r="G21" s="124">
        <v>221.9</v>
      </c>
      <c r="H21" s="162"/>
      <c r="I21" s="23"/>
      <c r="J21" s="452"/>
      <c r="K21" s="984"/>
      <c r="L21" s="998"/>
      <c r="M21" s="999"/>
      <c r="O21" s="1001" t="s">
        <v>48</v>
      </c>
      <c r="P21" s="1141" t="e">
        <f>+G29+G35+G47+G50+G55+#REF!+G69+G78+G84+G120+G124</f>
        <v>#REF!</v>
      </c>
      <c r="Q21" s="1141" t="e">
        <f>+H29+H35+H47+H50+H55+#REF!+H69+H78+H84+H120+H124</f>
        <v>#REF!</v>
      </c>
      <c r="R21" s="1141" t="e">
        <f>+I29+I35+I47+I50+I55+#REF!+I69+I78+I84+I120+I124</f>
        <v>#REF!</v>
      </c>
    </row>
    <row r="22" spans="1:18" ht="15.65" customHeight="1" x14ac:dyDescent="0.25">
      <c r="A22" s="950"/>
      <c r="B22" s="79"/>
      <c r="C22" s="948"/>
      <c r="D22" s="997"/>
      <c r="E22" s="744"/>
      <c r="F22" s="16" t="s">
        <v>210</v>
      </c>
      <c r="G22" s="124">
        <v>80.8</v>
      </c>
      <c r="H22" s="162"/>
      <c r="I22" s="23"/>
      <c r="J22" s="452"/>
      <c r="K22" s="984"/>
      <c r="L22" s="998"/>
      <c r="M22" s="999"/>
      <c r="O22" s="1001" t="s">
        <v>210</v>
      </c>
      <c r="P22" s="1141">
        <f>+G39+G43</f>
        <v>80.8</v>
      </c>
      <c r="Q22" s="1141">
        <f t="shared" ref="Q22:R22" si="1">+H39+H43</f>
        <v>0</v>
      </c>
      <c r="R22" s="1141">
        <f t="shared" si="1"/>
        <v>0</v>
      </c>
    </row>
    <row r="23" spans="1:18" ht="15.65" customHeight="1" x14ac:dyDescent="0.25">
      <c r="A23" s="950"/>
      <c r="B23" s="79"/>
      <c r="C23" s="948"/>
      <c r="D23" s="997"/>
      <c r="E23" s="744"/>
      <c r="F23" s="675" t="s">
        <v>57</v>
      </c>
      <c r="G23" s="124">
        <v>218.6</v>
      </c>
      <c r="H23" s="162"/>
      <c r="I23" s="23"/>
      <c r="J23" s="452"/>
      <c r="K23" s="984"/>
      <c r="L23" s="998"/>
      <c r="M23" s="999"/>
      <c r="O23" s="1001" t="s">
        <v>57</v>
      </c>
      <c r="P23" s="1141">
        <f>+G40+G44</f>
        <v>218.6</v>
      </c>
      <c r="Q23" s="1141">
        <f t="shared" ref="Q23:R23" si="2">+H40+H44</f>
        <v>0</v>
      </c>
      <c r="R23" s="1141">
        <f t="shared" si="2"/>
        <v>0</v>
      </c>
    </row>
    <row r="24" spans="1:18" ht="15.65" customHeight="1" x14ac:dyDescent="0.25">
      <c r="A24" s="950"/>
      <c r="B24" s="79"/>
      <c r="C24" s="948"/>
      <c r="D24" s="997"/>
      <c r="E24" s="744"/>
      <c r="F24" s="16" t="s">
        <v>234</v>
      </c>
      <c r="G24" s="124">
        <v>833.4</v>
      </c>
      <c r="H24" s="162"/>
      <c r="I24" s="23"/>
      <c r="J24" s="452"/>
      <c r="K24" s="984"/>
      <c r="L24" s="998"/>
      <c r="M24" s="999"/>
      <c r="O24" s="1001" t="s">
        <v>234</v>
      </c>
      <c r="P24" s="1141">
        <f>+G45+G52+G59+G80+G85+G46</f>
        <v>833.4</v>
      </c>
      <c r="Q24" s="1141">
        <f>+H45+H52+H59+H80+H85+H46</f>
        <v>0</v>
      </c>
      <c r="R24" s="1141">
        <f>+I45+I52+I59+I80+I85+I46</f>
        <v>0</v>
      </c>
    </row>
    <row r="25" spans="1:18" ht="15.65" customHeight="1" x14ac:dyDescent="0.25">
      <c r="A25" s="950"/>
      <c r="B25" s="79"/>
      <c r="C25" s="948"/>
      <c r="D25" s="997"/>
      <c r="E25" s="744"/>
      <c r="F25" s="16" t="s">
        <v>38</v>
      </c>
      <c r="G25" s="124">
        <v>640.6</v>
      </c>
      <c r="H25" s="162"/>
      <c r="I25" s="23">
        <v>49.4</v>
      </c>
      <c r="J25" s="452"/>
      <c r="K25" s="984"/>
      <c r="L25" s="998"/>
      <c r="M25" s="999"/>
      <c r="O25" s="1001" t="s">
        <v>38</v>
      </c>
      <c r="P25" s="1141">
        <f>+G61+G74+G130</f>
        <v>640.6</v>
      </c>
      <c r="Q25" s="1141">
        <f>+H61+H74+H130</f>
        <v>0</v>
      </c>
      <c r="R25" s="1141">
        <f>+I61+I74+I130</f>
        <v>49.4</v>
      </c>
    </row>
    <row r="26" spans="1:18" ht="15.65" customHeight="1" x14ac:dyDescent="0.25">
      <c r="A26" s="950"/>
      <c r="B26" s="79"/>
      <c r="C26" s="948"/>
      <c r="D26" s="997"/>
      <c r="E26" s="744"/>
      <c r="F26" s="716" t="s">
        <v>41</v>
      </c>
      <c r="G26" s="124">
        <v>1800</v>
      </c>
      <c r="H26" s="162">
        <v>1800</v>
      </c>
      <c r="I26" s="23">
        <v>1500</v>
      </c>
      <c r="J26" s="452"/>
      <c r="K26" s="984"/>
      <c r="L26" s="998"/>
      <c r="M26" s="999"/>
      <c r="O26" s="1001" t="s">
        <v>41</v>
      </c>
      <c r="P26" s="1141">
        <f>+G31</f>
        <v>1800</v>
      </c>
      <c r="Q26" s="1141">
        <f t="shared" ref="Q26:R26" si="3">+H31</f>
        <v>1800</v>
      </c>
      <c r="R26" s="1141">
        <f t="shared" si="3"/>
        <v>1500</v>
      </c>
    </row>
    <row r="27" spans="1:18" ht="15.65" customHeight="1" x14ac:dyDescent="0.25">
      <c r="A27" s="950"/>
      <c r="B27" s="79"/>
      <c r="C27" s="948"/>
      <c r="D27" s="997"/>
      <c r="E27" s="744"/>
      <c r="F27" s="944" t="s">
        <v>100</v>
      </c>
      <c r="G27" s="124">
        <v>1597.1</v>
      </c>
      <c r="H27" s="162">
        <v>4427</v>
      </c>
      <c r="I27" s="23"/>
      <c r="J27" s="452"/>
      <c r="K27" s="984"/>
      <c r="L27" s="998"/>
      <c r="M27" s="999"/>
      <c r="O27" s="1001" t="s">
        <v>100</v>
      </c>
      <c r="P27" s="1141">
        <f>+G153+G156+G33</f>
        <v>1597.1</v>
      </c>
      <c r="Q27" s="1141">
        <f>+H153+H156+H33</f>
        <v>4427</v>
      </c>
      <c r="R27" s="1141">
        <f>+I153+I156+I33</f>
        <v>0</v>
      </c>
    </row>
    <row r="28" spans="1:18" ht="15.65" customHeight="1" x14ac:dyDescent="0.25">
      <c r="A28" s="945"/>
      <c r="B28" s="956"/>
      <c r="C28" s="957"/>
      <c r="D28" s="1207" t="s">
        <v>74</v>
      </c>
      <c r="E28" s="965" t="s">
        <v>305</v>
      </c>
      <c r="F28" s="1003" t="s">
        <v>436</v>
      </c>
      <c r="G28" s="1004"/>
      <c r="H28" s="1005"/>
      <c r="I28" s="1006">
        <v>1526</v>
      </c>
      <c r="J28" s="419" t="s">
        <v>307</v>
      </c>
      <c r="K28" s="300">
        <v>85</v>
      </c>
      <c r="L28" s="308">
        <v>95</v>
      </c>
      <c r="M28" s="312">
        <v>100</v>
      </c>
      <c r="O28" s="1001"/>
      <c r="P28" s="1141" t="e">
        <f>+P16+P17+P18+P19+P20+P21+P22+P23+P24+P25+P26+P27</f>
        <v>#REF!</v>
      </c>
      <c r="Q28" s="1141" t="e">
        <f t="shared" ref="Q28:R28" si="4">+Q16+Q17+Q18+Q19+Q20+Q21+Q22+Q23+Q24+Q25+Q26+Q27</f>
        <v>#REF!</v>
      </c>
      <c r="R28" s="1141" t="e">
        <f t="shared" si="4"/>
        <v>#REF!</v>
      </c>
    </row>
    <row r="29" spans="1:18" ht="15.65" customHeight="1" x14ac:dyDescent="0.25">
      <c r="A29" s="945"/>
      <c r="B29" s="956"/>
      <c r="C29" s="957"/>
      <c r="D29" s="1208"/>
      <c r="E29" s="959" t="s">
        <v>430</v>
      </c>
      <c r="F29" s="1007" t="s">
        <v>437</v>
      </c>
      <c r="G29" s="1008">
        <v>1.5</v>
      </c>
      <c r="H29" s="1009"/>
      <c r="I29" s="1010"/>
      <c r="J29" s="404"/>
      <c r="K29" s="298"/>
      <c r="L29" s="305"/>
      <c r="M29" s="981"/>
      <c r="O29" s="1001"/>
      <c r="P29" s="1141" t="e">
        <f>+P28-G159</f>
        <v>#REF!</v>
      </c>
      <c r="Q29" s="1141" t="e">
        <f>+Q28-H159</f>
        <v>#REF!</v>
      </c>
      <c r="R29" s="1141" t="e">
        <f>+R28-I159</f>
        <v>#REF!</v>
      </c>
    </row>
    <row r="30" spans="1:18" ht="15.65" customHeight="1" x14ac:dyDescent="0.25">
      <c r="A30" s="945"/>
      <c r="B30" s="956"/>
      <c r="C30" s="957"/>
      <c r="D30" s="1208"/>
      <c r="E30" s="966" t="s">
        <v>279</v>
      </c>
      <c r="F30" s="1011" t="s">
        <v>438</v>
      </c>
      <c r="G30" s="1008">
        <f>5000-1400-752.6-870.8+2539+9692.4</f>
        <v>14208</v>
      </c>
      <c r="H30" s="1009">
        <v>2983.6</v>
      </c>
      <c r="I30" s="1010"/>
      <c r="J30" s="1217" t="s">
        <v>313</v>
      </c>
      <c r="K30" s="332">
        <v>60</v>
      </c>
      <c r="L30" s="338"/>
      <c r="M30" s="108"/>
    </row>
    <row r="31" spans="1:18" ht="15.65" customHeight="1" x14ac:dyDescent="0.25">
      <c r="A31" s="945"/>
      <c r="B31" s="956"/>
      <c r="C31" s="957"/>
      <c r="D31" s="1208"/>
      <c r="E31" s="744" t="s">
        <v>40</v>
      </c>
      <c r="F31" s="1007" t="s">
        <v>439</v>
      </c>
      <c r="G31" s="1008">
        <v>1800</v>
      </c>
      <c r="H31" s="1009">
        <v>1800</v>
      </c>
      <c r="I31" s="1010">
        <v>1500</v>
      </c>
      <c r="J31" s="1218"/>
      <c r="K31" s="298"/>
      <c r="L31" s="305"/>
      <c r="M31" s="644"/>
    </row>
    <row r="32" spans="1:18" ht="15.65" customHeight="1" x14ac:dyDescent="0.25">
      <c r="A32" s="945"/>
      <c r="B32" s="956"/>
      <c r="C32" s="957"/>
      <c r="D32" s="1208"/>
      <c r="E32" s="959" t="s">
        <v>224</v>
      </c>
      <c r="F32" s="1011" t="s">
        <v>440</v>
      </c>
      <c r="G32" s="1012"/>
      <c r="H32" s="1009"/>
      <c r="I32" s="1010">
        <v>881.3</v>
      </c>
      <c r="J32" s="1218"/>
      <c r="K32" s="298"/>
      <c r="L32" s="305"/>
      <c r="M32" s="86"/>
    </row>
    <row r="33" spans="1:13" ht="15.65" customHeight="1" x14ac:dyDescent="0.25">
      <c r="A33" s="945"/>
      <c r="B33" s="956"/>
      <c r="C33" s="957"/>
      <c r="D33" s="1208"/>
      <c r="E33" s="959" t="s">
        <v>148</v>
      </c>
      <c r="F33" s="1013" t="s">
        <v>441</v>
      </c>
      <c r="G33" s="1014">
        <f>1000-1000+2000-1000+1000-600</f>
        <v>1400</v>
      </c>
      <c r="H33" s="1015">
        <v>3280</v>
      </c>
      <c r="I33" s="1016"/>
      <c r="J33" s="1235"/>
      <c r="K33" s="298"/>
      <c r="L33" s="305"/>
      <c r="M33" s="243"/>
    </row>
    <row r="34" spans="1:13" ht="15.65" customHeight="1" x14ac:dyDescent="0.25">
      <c r="A34" s="950"/>
      <c r="B34" s="951"/>
      <c r="C34" s="1190" t="s">
        <v>120</v>
      </c>
      <c r="D34" s="1192" t="s">
        <v>290</v>
      </c>
      <c r="E34" s="965" t="s">
        <v>131</v>
      </c>
      <c r="F34" s="1011" t="s">
        <v>436</v>
      </c>
      <c r="G34" s="1004">
        <v>36.6</v>
      </c>
      <c r="H34" s="1017">
        <v>49.4</v>
      </c>
      <c r="I34" s="1006"/>
      <c r="J34" s="475" t="s">
        <v>307</v>
      </c>
      <c r="K34" s="810">
        <v>45</v>
      </c>
      <c r="L34" s="561">
        <v>100</v>
      </c>
      <c r="M34" s="345"/>
    </row>
    <row r="35" spans="1:13" ht="15.65" customHeight="1" x14ac:dyDescent="0.25">
      <c r="A35" s="950"/>
      <c r="B35" s="951"/>
      <c r="C35" s="1191"/>
      <c r="D35" s="1193"/>
      <c r="E35" s="744" t="s">
        <v>40</v>
      </c>
      <c r="F35" s="1011" t="s">
        <v>437</v>
      </c>
      <c r="G35" s="1008">
        <v>17.600000000000001</v>
      </c>
      <c r="H35" s="1009"/>
      <c r="I35" s="1010"/>
      <c r="J35" s="779" t="s">
        <v>127</v>
      </c>
      <c r="K35" s="770">
        <v>5</v>
      </c>
      <c r="L35" s="781"/>
      <c r="M35" s="780"/>
    </row>
    <row r="36" spans="1:13" ht="15.65" customHeight="1" x14ac:dyDescent="0.25">
      <c r="A36" s="950"/>
      <c r="B36" s="951"/>
      <c r="C36" s="1191"/>
      <c r="D36" s="1193"/>
      <c r="E36" s="959" t="s">
        <v>224</v>
      </c>
      <c r="F36" s="1011" t="s">
        <v>440</v>
      </c>
      <c r="G36" s="1008">
        <v>200</v>
      </c>
      <c r="H36" s="1009">
        <v>207.5</v>
      </c>
      <c r="I36" s="1010"/>
      <c r="J36" s="452"/>
      <c r="K36" s="964"/>
      <c r="L36" s="963"/>
      <c r="M36" s="67"/>
    </row>
    <row r="37" spans="1:13" ht="15.65" customHeight="1" x14ac:dyDescent="0.25">
      <c r="A37" s="950"/>
      <c r="B37" s="951"/>
      <c r="C37" s="1191"/>
      <c r="D37" s="1193"/>
      <c r="E37" s="744" t="s">
        <v>279</v>
      </c>
      <c r="F37" s="1011" t="s">
        <v>442</v>
      </c>
      <c r="G37" s="1008">
        <v>738.2</v>
      </c>
      <c r="H37" s="1009">
        <v>234.1</v>
      </c>
      <c r="I37" s="1010"/>
      <c r="J37" s="452"/>
      <c r="K37" s="964"/>
      <c r="L37" s="963"/>
      <c r="M37" s="67"/>
    </row>
    <row r="38" spans="1:13" ht="15.65" customHeight="1" x14ac:dyDescent="0.25">
      <c r="A38" s="950"/>
      <c r="B38" s="951"/>
      <c r="C38" s="1191"/>
      <c r="D38" s="1193"/>
      <c r="E38" s="966" t="s">
        <v>98</v>
      </c>
      <c r="F38" s="1011" t="s">
        <v>443</v>
      </c>
      <c r="G38" s="1008">
        <v>636.5</v>
      </c>
      <c r="H38" s="1009">
        <v>592.79999999999995</v>
      </c>
      <c r="I38" s="1010"/>
      <c r="J38" s="404"/>
      <c r="K38" s="302"/>
      <c r="L38" s="105"/>
      <c r="M38" s="107"/>
    </row>
    <row r="39" spans="1:13" ht="15.65" customHeight="1" x14ac:dyDescent="0.25">
      <c r="A39" s="950"/>
      <c r="B39" s="79"/>
      <c r="C39" s="1191"/>
      <c r="D39" s="1193"/>
      <c r="E39" s="966" t="s">
        <v>148</v>
      </c>
      <c r="F39" s="1011" t="s">
        <v>444</v>
      </c>
      <c r="G39" s="1008">
        <v>65</v>
      </c>
      <c r="H39" s="1009"/>
      <c r="I39" s="1010"/>
      <c r="J39" s="1194"/>
      <c r="K39" s="1183"/>
      <c r="L39" s="1184"/>
      <c r="M39" s="1185"/>
    </row>
    <row r="40" spans="1:13" ht="15.65" customHeight="1" x14ac:dyDescent="0.25">
      <c r="A40" s="950"/>
      <c r="B40" s="79"/>
      <c r="C40" s="1191"/>
      <c r="D40" s="1193"/>
      <c r="E40" s="966"/>
      <c r="F40" s="1018" t="s">
        <v>445</v>
      </c>
      <c r="G40" s="1019">
        <v>100</v>
      </c>
      <c r="H40" s="1020"/>
      <c r="I40" s="1016"/>
      <c r="J40" s="1194"/>
      <c r="K40" s="1183"/>
      <c r="L40" s="1184"/>
      <c r="M40" s="1185"/>
    </row>
    <row r="41" spans="1:13" ht="15" customHeight="1" x14ac:dyDescent="0.25">
      <c r="A41" s="44"/>
      <c r="B41" s="79"/>
      <c r="C41" s="1191"/>
      <c r="D41" s="1186" t="s">
        <v>173</v>
      </c>
      <c r="E41" s="958" t="s">
        <v>131</v>
      </c>
      <c r="F41" s="1011" t="s">
        <v>436</v>
      </c>
      <c r="G41" s="1021">
        <v>84.3</v>
      </c>
      <c r="H41" s="1022">
        <v>324.3</v>
      </c>
      <c r="I41" s="1006"/>
      <c r="J41" s="1188" t="s">
        <v>307</v>
      </c>
      <c r="K41" s="365">
        <v>50</v>
      </c>
      <c r="L41" s="563">
        <v>100</v>
      </c>
      <c r="M41" s="281"/>
    </row>
    <row r="42" spans="1:13" ht="15" customHeight="1" x14ac:dyDescent="0.25">
      <c r="A42" s="44"/>
      <c r="B42" s="79"/>
      <c r="C42" s="1191"/>
      <c r="D42" s="1187"/>
      <c r="E42" s="130" t="s">
        <v>40</v>
      </c>
      <c r="F42" s="1011" t="s">
        <v>442</v>
      </c>
      <c r="G42" s="1008">
        <v>233.2</v>
      </c>
      <c r="H42" s="1009">
        <v>116.9</v>
      </c>
      <c r="I42" s="1010"/>
      <c r="J42" s="1189"/>
      <c r="K42" s="801"/>
      <c r="L42" s="315"/>
      <c r="M42" s="107"/>
    </row>
    <row r="43" spans="1:13" ht="15" customHeight="1" x14ac:dyDescent="0.25">
      <c r="A43" s="44"/>
      <c r="B43" s="79"/>
      <c r="C43" s="1191"/>
      <c r="D43" s="1187"/>
      <c r="E43" s="959" t="s">
        <v>224</v>
      </c>
      <c r="F43" s="1011" t="s">
        <v>444</v>
      </c>
      <c r="G43" s="1008">
        <v>15.8</v>
      </c>
      <c r="H43" s="1009"/>
      <c r="I43" s="1010"/>
      <c r="J43" s="1189"/>
      <c r="K43" s="302"/>
      <c r="L43" s="315"/>
      <c r="M43" s="107"/>
    </row>
    <row r="44" spans="1:13" ht="15" customHeight="1" x14ac:dyDescent="0.25">
      <c r="A44" s="44"/>
      <c r="B44" s="79"/>
      <c r="C44" s="1191"/>
      <c r="D44" s="1187"/>
      <c r="E44" s="966" t="s">
        <v>279</v>
      </c>
      <c r="F44" s="1023" t="s">
        <v>445</v>
      </c>
      <c r="G44" s="1008">
        <v>118.6</v>
      </c>
      <c r="H44" s="1009"/>
      <c r="I44" s="1010"/>
      <c r="J44" s="1189"/>
      <c r="K44" s="302"/>
      <c r="L44" s="315"/>
      <c r="M44" s="107"/>
    </row>
    <row r="45" spans="1:13" ht="15" customHeight="1" x14ac:dyDescent="0.25">
      <c r="A45" s="44"/>
      <c r="B45" s="79"/>
      <c r="C45" s="1191"/>
      <c r="D45" s="1187"/>
      <c r="E45" s="966" t="s">
        <v>148</v>
      </c>
      <c r="F45" s="1011" t="s">
        <v>446</v>
      </c>
      <c r="G45" s="1008">
        <v>98.1</v>
      </c>
      <c r="H45" s="1009"/>
      <c r="I45" s="1010"/>
      <c r="J45" s="1189"/>
      <c r="K45" s="302"/>
      <c r="L45" s="315"/>
      <c r="M45" s="107"/>
    </row>
    <row r="46" spans="1:13" ht="15" customHeight="1" x14ac:dyDescent="0.25">
      <c r="A46" s="1215"/>
      <c r="B46" s="1216"/>
      <c r="C46" s="1219" t="s">
        <v>134</v>
      </c>
      <c r="D46" s="1207" t="s">
        <v>47</v>
      </c>
      <c r="E46" s="745" t="s">
        <v>131</v>
      </c>
      <c r="F46" s="1025" t="s">
        <v>446</v>
      </c>
      <c r="G46" s="1004">
        <v>229.7</v>
      </c>
      <c r="H46" s="1005"/>
      <c r="I46" s="1006"/>
      <c r="J46" s="1213" t="s">
        <v>79</v>
      </c>
      <c r="K46" s="323"/>
      <c r="L46" s="317"/>
      <c r="M46" s="234"/>
    </row>
    <row r="47" spans="1:13" ht="15" customHeight="1" x14ac:dyDescent="0.25">
      <c r="A47" s="1215"/>
      <c r="B47" s="1216"/>
      <c r="C47" s="1220"/>
      <c r="D47" s="1208"/>
      <c r="E47" s="744" t="s">
        <v>40</v>
      </c>
      <c r="F47" s="1011" t="s">
        <v>437</v>
      </c>
      <c r="G47" s="1008">
        <v>5.5</v>
      </c>
      <c r="H47" s="1009"/>
      <c r="I47" s="1010"/>
      <c r="J47" s="1214"/>
      <c r="K47" s="324"/>
      <c r="L47" s="318"/>
      <c r="M47" s="231"/>
    </row>
    <row r="48" spans="1:13" ht="17.25" customHeight="1" x14ac:dyDescent="0.25">
      <c r="A48" s="1215"/>
      <c r="B48" s="1216"/>
      <c r="C48" s="1220"/>
      <c r="D48" s="1208"/>
      <c r="E48" s="966" t="s">
        <v>224</v>
      </c>
      <c r="F48" s="1013"/>
      <c r="G48" s="1014"/>
      <c r="H48" s="1015"/>
      <c r="I48" s="1010"/>
      <c r="J48" s="1214"/>
      <c r="K48" s="324"/>
      <c r="L48" s="318"/>
      <c r="M48" s="231"/>
    </row>
    <row r="49" spans="1:13" ht="15.65" customHeight="1" x14ac:dyDescent="0.25">
      <c r="A49" s="1215"/>
      <c r="B49" s="1216"/>
      <c r="C49" s="1220"/>
      <c r="D49" s="1192" t="s">
        <v>94</v>
      </c>
      <c r="E49" s="56" t="s">
        <v>131</v>
      </c>
      <c r="F49" s="1026" t="s">
        <v>436</v>
      </c>
      <c r="G49" s="1004">
        <v>105.6</v>
      </c>
      <c r="H49" s="1005"/>
      <c r="I49" s="1006"/>
      <c r="J49" s="1217" t="s">
        <v>307</v>
      </c>
      <c r="K49" s="1228">
        <v>100</v>
      </c>
      <c r="L49" s="320"/>
      <c r="M49" s="230"/>
    </row>
    <row r="50" spans="1:13" ht="15.65" customHeight="1" x14ac:dyDescent="0.25">
      <c r="A50" s="1215"/>
      <c r="B50" s="1216"/>
      <c r="C50" s="1220"/>
      <c r="D50" s="1193"/>
      <c r="E50" s="744" t="s">
        <v>40</v>
      </c>
      <c r="F50" s="1011" t="s">
        <v>437</v>
      </c>
      <c r="G50" s="1008">
        <v>28.3</v>
      </c>
      <c r="H50" s="1009"/>
      <c r="I50" s="1010"/>
      <c r="J50" s="1218"/>
      <c r="K50" s="1229"/>
      <c r="L50" s="318"/>
      <c r="M50" s="231"/>
    </row>
    <row r="51" spans="1:13" ht="15.65" customHeight="1" x14ac:dyDescent="0.25">
      <c r="A51" s="1215"/>
      <c r="B51" s="1216"/>
      <c r="C51" s="1220"/>
      <c r="D51" s="1193"/>
      <c r="E51" s="966" t="s">
        <v>224</v>
      </c>
      <c r="F51" s="1011" t="s">
        <v>443</v>
      </c>
      <c r="G51" s="1008">
        <v>903.9</v>
      </c>
      <c r="H51" s="1009"/>
      <c r="I51" s="1010"/>
      <c r="J51" s="405"/>
      <c r="K51" s="324"/>
      <c r="L51" s="318"/>
      <c r="M51" s="231"/>
    </row>
    <row r="52" spans="1:13" ht="15.65" customHeight="1" x14ac:dyDescent="0.25">
      <c r="A52" s="1215"/>
      <c r="B52" s="1216"/>
      <c r="C52" s="1220"/>
      <c r="D52" s="943"/>
      <c r="E52" s="746" t="s">
        <v>148</v>
      </c>
      <c r="F52" s="1011" t="s">
        <v>446</v>
      </c>
      <c r="G52" s="1008">
        <v>300</v>
      </c>
      <c r="H52" s="1009"/>
      <c r="I52" s="1010"/>
      <c r="J52" s="452"/>
      <c r="K52" s="984"/>
      <c r="L52" s="1209"/>
      <c r="M52" s="1211"/>
    </row>
    <row r="53" spans="1:13" ht="15.65" customHeight="1" x14ac:dyDescent="0.25">
      <c r="A53" s="1215"/>
      <c r="B53" s="1216"/>
      <c r="C53" s="1220"/>
      <c r="D53" s="943"/>
      <c r="E53" s="746" t="s">
        <v>279</v>
      </c>
      <c r="F53" s="1013"/>
      <c r="G53" s="1014"/>
      <c r="H53" s="1015"/>
      <c r="I53" s="1024"/>
      <c r="J53" s="723"/>
      <c r="K53" s="229"/>
      <c r="L53" s="1210"/>
      <c r="M53" s="1212"/>
    </row>
    <row r="54" spans="1:13" ht="15" customHeight="1" x14ac:dyDescent="0.25">
      <c r="A54" s="945"/>
      <c r="B54" s="956"/>
      <c r="C54" s="50"/>
      <c r="D54" s="1224" t="s">
        <v>174</v>
      </c>
      <c r="E54" s="958" t="s">
        <v>40</v>
      </c>
      <c r="F54" s="1026" t="s">
        <v>436</v>
      </c>
      <c r="G54" s="1004"/>
      <c r="H54" s="1005">
        <v>50</v>
      </c>
      <c r="I54" s="1006">
        <v>103.2</v>
      </c>
      <c r="J54" s="403" t="s">
        <v>39</v>
      </c>
      <c r="K54" s="331"/>
      <c r="L54" s="337">
        <v>1</v>
      </c>
      <c r="M54" s="236"/>
    </row>
    <row r="55" spans="1:13" ht="15" customHeight="1" x14ac:dyDescent="0.25">
      <c r="A55" s="945"/>
      <c r="B55" s="956"/>
      <c r="C55" s="50"/>
      <c r="D55" s="1225"/>
      <c r="E55" s="959" t="s">
        <v>279</v>
      </c>
      <c r="F55" s="1011" t="s">
        <v>437</v>
      </c>
      <c r="G55" s="1008">
        <v>30</v>
      </c>
      <c r="H55" s="1009"/>
      <c r="I55" s="1010"/>
      <c r="J55" s="404" t="s">
        <v>307</v>
      </c>
      <c r="K55" s="298"/>
      <c r="L55" s="338"/>
      <c r="M55" s="86">
        <v>10</v>
      </c>
    </row>
    <row r="56" spans="1:13" ht="15" customHeight="1" x14ac:dyDescent="0.25">
      <c r="A56" s="945"/>
      <c r="B56" s="956"/>
      <c r="C56" s="50"/>
      <c r="D56" s="1226"/>
      <c r="E56" s="960" t="s">
        <v>148</v>
      </c>
      <c r="F56" s="1013"/>
      <c r="G56" s="1014"/>
      <c r="H56" s="1015"/>
      <c r="I56" s="1010"/>
      <c r="J56" s="168"/>
      <c r="K56" s="301"/>
      <c r="L56" s="309"/>
      <c r="M56" s="547"/>
    </row>
    <row r="57" spans="1:13" ht="27" customHeight="1" x14ac:dyDescent="0.25">
      <c r="A57" s="945"/>
      <c r="B57" s="956"/>
      <c r="C57" s="957"/>
      <c r="D57" s="1187" t="s">
        <v>119</v>
      </c>
      <c r="E57" s="129" t="s">
        <v>131</v>
      </c>
      <c r="F57" s="1003" t="s">
        <v>436</v>
      </c>
      <c r="G57" s="1004">
        <v>120</v>
      </c>
      <c r="H57" s="1005"/>
      <c r="I57" s="1006">
        <v>200</v>
      </c>
      <c r="J57" s="404" t="s">
        <v>324</v>
      </c>
      <c r="K57" s="591">
        <v>100</v>
      </c>
      <c r="L57" s="308"/>
      <c r="M57" s="85"/>
    </row>
    <row r="58" spans="1:13" ht="15" customHeight="1" x14ac:dyDescent="0.25">
      <c r="A58" s="945"/>
      <c r="B58" s="956"/>
      <c r="C58" s="957"/>
      <c r="D58" s="1187"/>
      <c r="E58" s="744" t="s">
        <v>279</v>
      </c>
      <c r="F58" s="1007" t="s">
        <v>443</v>
      </c>
      <c r="G58" s="1008">
        <v>276.60000000000002</v>
      </c>
      <c r="H58" s="1009">
        <v>200</v>
      </c>
      <c r="I58" s="1010">
        <v>200</v>
      </c>
      <c r="J58" s="1222" t="s">
        <v>325</v>
      </c>
      <c r="K58" s="332"/>
      <c r="L58" s="338">
        <v>15</v>
      </c>
      <c r="M58" s="244">
        <v>60</v>
      </c>
    </row>
    <row r="59" spans="1:13" ht="15" customHeight="1" x14ac:dyDescent="0.25">
      <c r="A59" s="945"/>
      <c r="B59" s="956"/>
      <c r="C59" s="957"/>
      <c r="D59" s="1187"/>
      <c r="E59" s="959" t="s">
        <v>148</v>
      </c>
      <c r="F59" s="1011" t="s">
        <v>446</v>
      </c>
      <c r="G59" s="1008">
        <v>100</v>
      </c>
      <c r="H59" s="1009"/>
      <c r="I59" s="1010"/>
      <c r="J59" s="1214"/>
      <c r="K59" s="298"/>
      <c r="L59" s="305"/>
      <c r="M59" s="86"/>
    </row>
    <row r="60" spans="1:13" ht="26.5" customHeight="1" x14ac:dyDescent="0.25">
      <c r="A60" s="945"/>
      <c r="B60" s="947"/>
      <c r="C60" s="47"/>
      <c r="D60" s="1205" t="s">
        <v>161</v>
      </c>
      <c r="E60" s="958" t="s">
        <v>148</v>
      </c>
      <c r="F60" s="1026" t="s">
        <v>436</v>
      </c>
      <c r="G60" s="1027">
        <v>430</v>
      </c>
      <c r="H60" s="1005">
        <v>450</v>
      </c>
      <c r="I60" s="1006">
        <v>324</v>
      </c>
      <c r="J60" s="403" t="s">
        <v>433</v>
      </c>
      <c r="K60" s="496">
        <v>100</v>
      </c>
      <c r="L60" s="337"/>
      <c r="M60" s="88"/>
    </row>
    <row r="61" spans="1:13" ht="26.5" customHeight="1" x14ac:dyDescent="0.25">
      <c r="A61" s="967"/>
      <c r="B61" s="947"/>
      <c r="C61" s="48"/>
      <c r="D61" s="1206"/>
      <c r="E61" s="744" t="s">
        <v>131</v>
      </c>
      <c r="F61" s="1011" t="s">
        <v>447</v>
      </c>
      <c r="G61" s="1008">
        <v>293.60000000000002</v>
      </c>
      <c r="H61" s="1009"/>
      <c r="I61" s="1010"/>
      <c r="J61" s="404" t="s">
        <v>319</v>
      </c>
      <c r="K61" s="497">
        <v>60</v>
      </c>
      <c r="L61" s="338">
        <v>100</v>
      </c>
      <c r="M61" s="108"/>
    </row>
    <row r="62" spans="1:13" ht="26.5" customHeight="1" x14ac:dyDescent="0.25">
      <c r="A62" s="967"/>
      <c r="B62" s="956"/>
      <c r="C62" s="48"/>
      <c r="D62" s="954"/>
      <c r="E62" s="749" t="s">
        <v>279</v>
      </c>
      <c r="F62" s="1011" t="s">
        <v>440</v>
      </c>
      <c r="G62" s="1008">
        <v>120</v>
      </c>
      <c r="H62" s="1009"/>
      <c r="I62" s="1010"/>
      <c r="J62" s="454" t="s">
        <v>318</v>
      </c>
      <c r="K62" s="497">
        <v>45</v>
      </c>
      <c r="L62" s="338">
        <v>75</v>
      </c>
      <c r="M62" s="108">
        <v>100</v>
      </c>
    </row>
    <row r="63" spans="1:13" ht="27.65" customHeight="1" x14ac:dyDescent="0.25">
      <c r="A63" s="967"/>
      <c r="B63" s="956"/>
      <c r="C63" s="48"/>
      <c r="D63" s="954"/>
      <c r="E63" s="149"/>
      <c r="F63" s="1011"/>
      <c r="G63" s="1014"/>
      <c r="H63" s="1015"/>
      <c r="I63" s="1024"/>
      <c r="J63" s="418" t="s">
        <v>320</v>
      </c>
      <c r="K63" s="480">
        <v>30</v>
      </c>
      <c r="L63" s="339">
        <v>70</v>
      </c>
      <c r="M63" s="239">
        <v>100</v>
      </c>
    </row>
    <row r="64" spans="1:13" ht="15.65" customHeight="1" x14ac:dyDescent="0.25">
      <c r="A64" s="967"/>
      <c r="B64" s="956"/>
      <c r="C64" s="48"/>
      <c r="D64" s="1186" t="s">
        <v>253</v>
      </c>
      <c r="E64" s="983" t="s">
        <v>40</v>
      </c>
      <c r="F64" s="1028" t="s">
        <v>436</v>
      </c>
      <c r="G64" s="1029">
        <v>100</v>
      </c>
      <c r="H64" s="1030">
        <v>300</v>
      </c>
      <c r="I64" s="1031">
        <v>439.4</v>
      </c>
      <c r="J64" s="930" t="s">
        <v>307</v>
      </c>
      <c r="K64" s="320">
        <v>15</v>
      </c>
      <c r="L64" s="490">
        <v>50</v>
      </c>
      <c r="M64" s="235">
        <v>100</v>
      </c>
    </row>
    <row r="65" spans="1:13" ht="15.65" customHeight="1" x14ac:dyDescent="0.25">
      <c r="A65" s="967"/>
      <c r="B65" s="956"/>
      <c r="C65" s="48"/>
      <c r="D65" s="1187"/>
      <c r="E65" s="744" t="s">
        <v>131</v>
      </c>
      <c r="F65" s="1007" t="s">
        <v>443</v>
      </c>
      <c r="G65" s="1032">
        <v>500</v>
      </c>
      <c r="H65" s="1033">
        <v>1744.2</v>
      </c>
      <c r="I65" s="1034">
        <v>2547</v>
      </c>
      <c r="J65" s="953"/>
      <c r="K65" s="318"/>
      <c r="L65" s="971"/>
      <c r="M65" s="644"/>
    </row>
    <row r="66" spans="1:13" ht="15.65" customHeight="1" x14ac:dyDescent="0.25">
      <c r="A66" s="967"/>
      <c r="B66" s="956"/>
      <c r="C66" s="48"/>
      <c r="D66" s="1187"/>
      <c r="E66" s="744" t="s">
        <v>277</v>
      </c>
      <c r="F66" s="1023"/>
      <c r="G66" s="1035"/>
      <c r="H66" s="1036"/>
      <c r="I66" s="1037"/>
      <c r="J66" s="404"/>
      <c r="K66" s="324"/>
      <c r="L66" s="646"/>
      <c r="M66" s="644"/>
    </row>
    <row r="67" spans="1:13" ht="15.65" customHeight="1" x14ac:dyDescent="0.25">
      <c r="A67" s="967"/>
      <c r="B67" s="956"/>
      <c r="C67" s="48"/>
      <c r="D67" s="1227"/>
      <c r="E67" s="960" t="s">
        <v>148</v>
      </c>
      <c r="F67" s="1038"/>
      <c r="G67" s="1039"/>
      <c r="H67" s="1040"/>
      <c r="I67" s="1041"/>
      <c r="J67" s="168"/>
      <c r="L67" s="141"/>
      <c r="M67" s="243"/>
    </row>
    <row r="68" spans="1:13" ht="15.65" customHeight="1" x14ac:dyDescent="0.25">
      <c r="A68" s="967"/>
      <c r="B68" s="956"/>
      <c r="C68" s="50"/>
      <c r="D68" s="1186" t="s">
        <v>99</v>
      </c>
      <c r="E68" s="129" t="s">
        <v>40</v>
      </c>
      <c r="F68" s="1028" t="s">
        <v>436</v>
      </c>
      <c r="G68" s="1004">
        <v>26</v>
      </c>
      <c r="H68" s="1005">
        <v>28.8</v>
      </c>
      <c r="I68" s="1006"/>
      <c r="J68" s="454" t="s">
        <v>307</v>
      </c>
      <c r="K68" s="300">
        <v>50</v>
      </c>
      <c r="L68" s="305">
        <v>100</v>
      </c>
      <c r="M68" s="235"/>
    </row>
    <row r="69" spans="1:13" ht="15.65" customHeight="1" x14ac:dyDescent="0.25">
      <c r="A69" s="967"/>
      <c r="B69" s="956"/>
      <c r="C69" s="50"/>
      <c r="D69" s="1187"/>
      <c r="E69" s="959" t="s">
        <v>148</v>
      </c>
      <c r="F69" s="1042" t="s">
        <v>437</v>
      </c>
      <c r="G69" s="1012">
        <v>5.5</v>
      </c>
      <c r="H69" s="1009"/>
      <c r="I69" s="1043"/>
      <c r="J69" s="165"/>
      <c r="L69" s="307"/>
      <c r="M69" s="644"/>
    </row>
    <row r="70" spans="1:13" ht="15.65" customHeight="1" x14ac:dyDescent="0.25">
      <c r="A70" s="967"/>
      <c r="B70" s="956"/>
      <c r="C70" s="50"/>
      <c r="D70" s="1221"/>
      <c r="E70" s="960" t="s">
        <v>279</v>
      </c>
      <c r="F70" s="1044" t="s">
        <v>442</v>
      </c>
      <c r="G70" s="1014">
        <v>79.2</v>
      </c>
      <c r="H70" s="1015">
        <v>79.2</v>
      </c>
      <c r="I70" s="1016"/>
      <c r="J70" s="411"/>
      <c r="K70" s="301"/>
      <c r="L70" s="309"/>
      <c r="M70" s="87"/>
    </row>
    <row r="71" spans="1:13" ht="15.65" customHeight="1" x14ac:dyDescent="0.25">
      <c r="A71" s="967"/>
      <c r="B71" s="956"/>
      <c r="C71" s="50"/>
      <c r="D71" s="1186" t="s">
        <v>276</v>
      </c>
      <c r="E71" s="129" t="s">
        <v>40</v>
      </c>
      <c r="F71" s="1028" t="s">
        <v>436</v>
      </c>
      <c r="G71" s="1004">
        <v>9.6999999999999993</v>
      </c>
      <c r="H71" s="1005"/>
      <c r="I71" s="1006"/>
      <c r="J71" s="949" t="s">
        <v>39</v>
      </c>
      <c r="K71" s="331">
        <v>1</v>
      </c>
      <c r="L71" s="549"/>
      <c r="M71" s="236"/>
    </row>
    <row r="72" spans="1:13" ht="15" customHeight="1" x14ac:dyDescent="0.25">
      <c r="A72" s="967"/>
      <c r="B72" s="956"/>
      <c r="C72" s="50"/>
      <c r="D72" s="1187"/>
      <c r="E72" s="130" t="s">
        <v>277</v>
      </c>
      <c r="F72" s="1042" t="s">
        <v>436</v>
      </c>
      <c r="G72" s="1008">
        <v>87.4</v>
      </c>
      <c r="H72" s="1009"/>
      <c r="I72" s="1012"/>
      <c r="J72" s="1222" t="s">
        <v>307</v>
      </c>
      <c r="K72" s="298">
        <v>100</v>
      </c>
      <c r="L72" s="550"/>
      <c r="M72" s="86"/>
    </row>
    <row r="73" spans="1:13" ht="26.15" customHeight="1" x14ac:dyDescent="0.25">
      <c r="A73" s="967"/>
      <c r="B73" s="956"/>
      <c r="C73" s="50"/>
      <c r="D73" s="1221"/>
      <c r="E73" s="959" t="s">
        <v>148</v>
      </c>
      <c r="F73" s="1044"/>
      <c r="G73" s="1045"/>
      <c r="H73" s="1015"/>
      <c r="I73" s="1045"/>
      <c r="J73" s="1223"/>
      <c r="K73" s="301"/>
      <c r="L73" s="551"/>
      <c r="M73" s="87"/>
    </row>
    <row r="74" spans="1:13" ht="17.25" customHeight="1" x14ac:dyDescent="0.25">
      <c r="A74" s="945"/>
      <c r="B74" s="947"/>
      <c r="C74" s="48"/>
      <c r="D74" s="1192" t="s">
        <v>330</v>
      </c>
      <c r="E74" s="56" t="s">
        <v>98</v>
      </c>
      <c r="F74" s="1026" t="s">
        <v>447</v>
      </c>
      <c r="G74" s="1012">
        <v>347</v>
      </c>
      <c r="H74" s="1005"/>
      <c r="I74" s="1006"/>
      <c r="J74" s="949" t="s">
        <v>307</v>
      </c>
      <c r="K74" s="298">
        <v>1</v>
      </c>
      <c r="L74" s="305">
        <v>33</v>
      </c>
      <c r="M74" s="86">
        <v>60</v>
      </c>
    </row>
    <row r="75" spans="1:13" ht="17.25" customHeight="1" x14ac:dyDescent="0.25">
      <c r="A75" s="945"/>
      <c r="B75" s="947"/>
      <c r="C75" s="48"/>
      <c r="D75" s="1193"/>
      <c r="E75" s="959" t="s">
        <v>148</v>
      </c>
      <c r="F75" s="1011" t="s">
        <v>436</v>
      </c>
      <c r="G75" s="1008"/>
      <c r="H75" s="1009">
        <v>500</v>
      </c>
      <c r="I75" s="1043">
        <v>600</v>
      </c>
      <c r="J75" s="869"/>
      <c r="K75" s="869"/>
      <c r="L75" s="307"/>
      <c r="M75" s="225"/>
    </row>
    <row r="76" spans="1:13" ht="17.25" customHeight="1" x14ac:dyDescent="0.25">
      <c r="A76" s="945"/>
      <c r="B76" s="947"/>
      <c r="C76" s="48"/>
      <c r="D76" s="1193"/>
      <c r="E76" s="972" t="s">
        <v>40</v>
      </c>
      <c r="F76" s="1011"/>
      <c r="G76" s="1012"/>
      <c r="H76" s="1009"/>
      <c r="I76" s="1043"/>
      <c r="J76" s="949"/>
      <c r="K76" s="298"/>
      <c r="L76" s="305"/>
      <c r="M76" s="86"/>
    </row>
    <row r="77" spans="1:13" ht="18" customHeight="1" x14ac:dyDescent="0.25">
      <c r="A77" s="945"/>
      <c r="B77" s="947"/>
      <c r="C77" s="47"/>
      <c r="D77" s="1232"/>
      <c r="E77" s="747" t="s">
        <v>279</v>
      </c>
      <c r="F77" s="1013"/>
      <c r="G77" s="1046"/>
      <c r="H77" s="1047"/>
      <c r="I77" s="1048"/>
      <c r="J77" s="411"/>
      <c r="K77" s="301"/>
      <c r="L77" s="309"/>
      <c r="M77" s="87"/>
    </row>
    <row r="78" spans="1:13" ht="17.5" customHeight="1" x14ac:dyDescent="0.25">
      <c r="A78" s="945"/>
      <c r="B78" s="956"/>
      <c r="C78" s="47"/>
      <c r="D78" s="1224" t="s">
        <v>236</v>
      </c>
      <c r="E78" s="966" t="s">
        <v>148</v>
      </c>
      <c r="F78" s="1026" t="s">
        <v>437</v>
      </c>
      <c r="G78" s="1004">
        <v>2.5</v>
      </c>
      <c r="H78" s="1005"/>
      <c r="I78" s="1006"/>
      <c r="J78" s="454" t="s">
        <v>307</v>
      </c>
      <c r="K78" s="298">
        <v>100</v>
      </c>
      <c r="L78" s="308"/>
      <c r="M78" s="235"/>
    </row>
    <row r="79" spans="1:13" ht="17.5" customHeight="1" x14ac:dyDescent="0.25">
      <c r="A79" s="945"/>
      <c r="B79" s="956"/>
      <c r="C79" s="47"/>
      <c r="D79" s="1225"/>
      <c r="E79" s="966" t="s">
        <v>40</v>
      </c>
      <c r="F79" s="1011" t="s">
        <v>440</v>
      </c>
      <c r="G79" s="1008">
        <v>255</v>
      </c>
      <c r="H79" s="1009"/>
      <c r="I79" s="1010"/>
      <c r="J79" s="723"/>
      <c r="K79" s="984"/>
      <c r="L79" s="305"/>
      <c r="M79" s="644"/>
    </row>
    <row r="80" spans="1:13" ht="17.5" customHeight="1" x14ac:dyDescent="0.25">
      <c r="A80" s="945"/>
      <c r="B80" s="956"/>
      <c r="C80" s="47"/>
      <c r="D80" s="1226"/>
      <c r="E80" s="960" t="s">
        <v>279</v>
      </c>
      <c r="F80" s="1013" t="s">
        <v>446</v>
      </c>
      <c r="G80" s="1012">
        <v>100</v>
      </c>
      <c r="H80" s="1015"/>
      <c r="I80" s="1016"/>
      <c r="J80" s="723"/>
      <c r="K80" s="229"/>
      <c r="L80" s="309"/>
      <c r="M80" s="86"/>
    </row>
    <row r="81" spans="1:13" ht="28" customHeight="1" x14ac:dyDescent="0.25">
      <c r="A81" s="945"/>
      <c r="B81" s="956"/>
      <c r="C81" s="47"/>
      <c r="D81" s="1186" t="s">
        <v>254</v>
      </c>
      <c r="E81" s="958" t="s">
        <v>277</v>
      </c>
      <c r="F81" s="1026" t="s">
        <v>436</v>
      </c>
      <c r="G81" s="1004">
        <v>125</v>
      </c>
      <c r="H81" s="1005"/>
      <c r="I81" s="1006"/>
      <c r="J81" s="419" t="s">
        <v>307</v>
      </c>
      <c r="K81" s="300">
        <v>100</v>
      </c>
      <c r="L81" s="308"/>
      <c r="M81" s="235"/>
    </row>
    <row r="82" spans="1:13" ht="28" customHeight="1" x14ac:dyDescent="0.25">
      <c r="A82" s="945"/>
      <c r="B82" s="956"/>
      <c r="C82" s="47"/>
      <c r="D82" s="1221"/>
      <c r="E82" s="802"/>
      <c r="F82" s="1013"/>
      <c r="G82" s="1012"/>
      <c r="H82" s="1015"/>
      <c r="I82" s="1049"/>
      <c r="J82" s="404"/>
      <c r="K82" s="301"/>
      <c r="L82" s="309"/>
      <c r="M82" s="86"/>
    </row>
    <row r="83" spans="1:13" ht="16.5" customHeight="1" x14ac:dyDescent="0.25">
      <c r="A83" s="945"/>
      <c r="B83" s="956"/>
      <c r="C83" s="47"/>
      <c r="D83" s="1192" t="s">
        <v>410</v>
      </c>
      <c r="E83" s="153" t="s">
        <v>279</v>
      </c>
      <c r="F83" s="1026" t="s">
        <v>436</v>
      </c>
      <c r="G83" s="1004">
        <v>10.1</v>
      </c>
      <c r="H83" s="1005">
        <v>28</v>
      </c>
      <c r="I83" s="1006">
        <v>28</v>
      </c>
      <c r="J83" s="1213" t="s">
        <v>75</v>
      </c>
      <c r="K83" s="300">
        <v>100</v>
      </c>
      <c r="L83" s="308">
        <v>100</v>
      </c>
      <c r="M83" s="85">
        <v>100</v>
      </c>
    </row>
    <row r="84" spans="1:13" ht="16.5" customHeight="1" x14ac:dyDescent="0.25">
      <c r="A84" s="945"/>
      <c r="B84" s="956"/>
      <c r="C84" s="47"/>
      <c r="D84" s="1206"/>
      <c r="E84" s="157"/>
      <c r="F84" s="1042" t="s">
        <v>437</v>
      </c>
      <c r="G84" s="1008">
        <v>12.3</v>
      </c>
      <c r="H84" s="1009"/>
      <c r="I84" s="1010"/>
      <c r="J84" s="1214"/>
      <c r="K84" s="298"/>
      <c r="L84" s="305"/>
      <c r="M84" s="86"/>
    </row>
    <row r="85" spans="1:13" s="6" customFormat="1" ht="23.5" customHeight="1" x14ac:dyDescent="0.25">
      <c r="A85" s="945"/>
      <c r="B85" s="956"/>
      <c r="C85" s="957"/>
      <c r="D85" s="1233"/>
      <c r="E85" s="159"/>
      <c r="F85" s="1050" t="s">
        <v>446</v>
      </c>
      <c r="G85" s="1051">
        <v>5.6</v>
      </c>
      <c r="H85" s="1052"/>
      <c r="I85" s="1053"/>
      <c r="J85" s="1223"/>
      <c r="K85" s="334"/>
      <c r="L85" s="340"/>
      <c r="M85" s="238"/>
    </row>
    <row r="86" spans="1:13" ht="15.75" customHeight="1" x14ac:dyDescent="0.25">
      <c r="A86" s="945"/>
      <c r="B86" s="947"/>
      <c r="C86" s="48"/>
      <c r="D86" s="93" t="s">
        <v>147</v>
      </c>
      <c r="E86" s="161" t="s">
        <v>224</v>
      </c>
      <c r="F86" s="69"/>
      <c r="G86" s="335"/>
      <c r="H86" s="119"/>
      <c r="I86" s="456"/>
      <c r="J86" s="450"/>
      <c r="K86" s="335"/>
      <c r="L86" s="341"/>
      <c r="M86" s="240"/>
    </row>
    <row r="87" spans="1:13" ht="26.25" customHeight="1" x14ac:dyDescent="0.25">
      <c r="A87" s="945"/>
      <c r="B87" s="947"/>
      <c r="C87" s="48"/>
      <c r="D87" s="552" t="s">
        <v>191</v>
      </c>
      <c r="E87" s="153" t="s">
        <v>279</v>
      </c>
      <c r="F87" s="1026" t="s">
        <v>436</v>
      </c>
      <c r="G87" s="1004">
        <f>550-200</f>
        <v>350</v>
      </c>
      <c r="H87" s="1005">
        <v>20</v>
      </c>
      <c r="I87" s="1006">
        <v>20</v>
      </c>
      <c r="J87" s="933" t="s">
        <v>53</v>
      </c>
      <c r="K87" s="935">
        <v>2.2999999999999998</v>
      </c>
      <c r="L87" s="183">
        <v>1.1000000000000001</v>
      </c>
      <c r="M87" s="241">
        <v>1.4</v>
      </c>
    </row>
    <row r="88" spans="1:13" ht="27" customHeight="1" x14ac:dyDescent="0.25">
      <c r="A88" s="945"/>
      <c r="B88" s="947"/>
      <c r="C88" s="50"/>
      <c r="D88" s="33" t="s">
        <v>190</v>
      </c>
      <c r="E88" s="149"/>
      <c r="F88" s="1011" t="s">
        <v>443</v>
      </c>
      <c r="G88" s="1008">
        <f>726+2</f>
        <v>728</v>
      </c>
      <c r="H88" s="1009">
        <v>454</v>
      </c>
      <c r="I88" s="1010">
        <v>590</v>
      </c>
      <c r="J88" s="404"/>
      <c r="K88" s="294"/>
      <c r="L88" s="124"/>
      <c r="M88" s="15"/>
    </row>
    <row r="89" spans="1:13" ht="15" customHeight="1" x14ac:dyDescent="0.25">
      <c r="A89" s="945"/>
      <c r="B89" s="947"/>
      <c r="C89" s="50"/>
      <c r="D89" s="61" t="s">
        <v>192</v>
      </c>
      <c r="E89" s="149"/>
      <c r="F89" s="16"/>
      <c r="G89" s="124"/>
      <c r="H89" s="162"/>
      <c r="I89" s="23"/>
      <c r="J89" s="404"/>
      <c r="K89" s="294"/>
      <c r="L89" s="124"/>
      <c r="M89" s="15"/>
    </row>
    <row r="90" spans="1:13" ht="15" customHeight="1" x14ac:dyDescent="0.25">
      <c r="A90" s="945"/>
      <c r="B90" s="947"/>
      <c r="C90" s="50"/>
      <c r="D90" s="61" t="s">
        <v>259</v>
      </c>
      <c r="E90" s="149"/>
      <c r="F90" s="16"/>
      <c r="G90" s="124"/>
      <c r="H90" s="162"/>
      <c r="I90" s="23"/>
      <c r="J90" s="404"/>
      <c r="K90" s="294"/>
      <c r="L90" s="124"/>
      <c r="M90" s="15"/>
    </row>
    <row r="91" spans="1:13" ht="15" customHeight="1" x14ac:dyDescent="0.25">
      <c r="A91" s="945"/>
      <c r="B91" s="947"/>
      <c r="C91" s="50"/>
      <c r="D91" s="541" t="s">
        <v>260</v>
      </c>
      <c r="E91" s="149"/>
      <c r="F91" s="16"/>
      <c r="G91" s="124"/>
      <c r="H91" s="162"/>
      <c r="I91" s="23"/>
      <c r="J91" s="404"/>
      <c r="K91" s="294"/>
      <c r="L91" s="124"/>
      <c r="M91" s="15"/>
    </row>
    <row r="92" spans="1:13" ht="15" customHeight="1" x14ac:dyDescent="0.25">
      <c r="A92" s="945"/>
      <c r="B92" s="947"/>
      <c r="C92" s="50"/>
      <c r="D92" s="541" t="s">
        <v>272</v>
      </c>
      <c r="E92" s="149"/>
      <c r="F92" s="16"/>
      <c r="G92" s="124"/>
      <c r="H92" s="162"/>
      <c r="I92" s="23"/>
      <c r="J92" s="404"/>
      <c r="K92" s="294"/>
      <c r="L92" s="124"/>
      <c r="M92" s="15"/>
    </row>
    <row r="93" spans="1:13" ht="15" customHeight="1" x14ac:dyDescent="0.25">
      <c r="A93" s="945"/>
      <c r="B93" s="947"/>
      <c r="C93" s="50"/>
      <c r="D93" s="542" t="s">
        <v>273</v>
      </c>
      <c r="E93" s="149"/>
      <c r="F93" s="16"/>
      <c r="G93" s="124"/>
      <c r="H93" s="162"/>
      <c r="I93" s="23"/>
      <c r="J93" s="404"/>
      <c r="K93" s="294"/>
      <c r="L93" s="124"/>
      <c r="M93" s="15"/>
    </row>
    <row r="94" spans="1:13" ht="15" customHeight="1" x14ac:dyDescent="0.25">
      <c r="A94" s="945"/>
      <c r="B94" s="947"/>
      <c r="C94" s="50"/>
      <c r="D94" s="542" t="s">
        <v>274</v>
      </c>
      <c r="E94" s="149"/>
      <c r="F94" s="16"/>
      <c r="G94" s="124"/>
      <c r="H94" s="162"/>
      <c r="I94" s="23"/>
      <c r="J94" s="404"/>
      <c r="K94" s="294"/>
      <c r="L94" s="124"/>
      <c r="M94" s="15"/>
    </row>
    <row r="95" spans="1:13" ht="27.65" customHeight="1" x14ac:dyDescent="0.25">
      <c r="A95" s="945"/>
      <c r="B95" s="947"/>
      <c r="C95" s="50"/>
      <c r="D95" s="543" t="s">
        <v>275</v>
      </c>
      <c r="E95" s="149"/>
      <c r="F95" s="16"/>
      <c r="G95" s="294"/>
      <c r="H95" s="162"/>
      <c r="I95" s="445"/>
      <c r="J95" s="404"/>
      <c r="K95" s="294"/>
      <c r="L95" s="124"/>
      <c r="M95" s="15"/>
    </row>
    <row r="96" spans="1:13" ht="15" customHeight="1" x14ac:dyDescent="0.25">
      <c r="A96" s="945"/>
      <c r="B96" s="947"/>
      <c r="C96" s="50"/>
      <c r="D96" s="33" t="s">
        <v>412</v>
      </c>
      <c r="E96" s="149"/>
      <c r="F96" s="16"/>
      <c r="G96" s="294"/>
      <c r="H96" s="162"/>
      <c r="I96" s="445"/>
      <c r="J96" s="404"/>
      <c r="K96" s="294"/>
      <c r="L96" s="124"/>
      <c r="M96" s="15"/>
    </row>
    <row r="97" spans="1:13" ht="15" customHeight="1" x14ac:dyDescent="0.25">
      <c r="A97" s="945"/>
      <c r="B97" s="947"/>
      <c r="C97" s="50"/>
      <c r="D97" s="33" t="s">
        <v>413</v>
      </c>
      <c r="E97" s="149"/>
      <c r="F97" s="16"/>
      <c r="G97" s="124"/>
      <c r="H97" s="162"/>
      <c r="I97" s="23"/>
      <c r="J97" s="404"/>
      <c r="K97" s="294"/>
      <c r="L97" s="124"/>
      <c r="M97" s="15"/>
    </row>
    <row r="98" spans="1:13" ht="15" customHeight="1" x14ac:dyDescent="0.25">
      <c r="A98" s="945"/>
      <c r="B98" s="947"/>
      <c r="C98" s="50"/>
      <c r="D98" s="33" t="s">
        <v>280</v>
      </c>
      <c r="E98" s="149"/>
      <c r="F98" s="16"/>
      <c r="G98" s="124"/>
      <c r="H98" s="162"/>
      <c r="I98" s="23"/>
      <c r="J98" s="404"/>
      <c r="K98" s="294"/>
      <c r="L98" s="124"/>
      <c r="M98" s="15"/>
    </row>
    <row r="99" spans="1:13" ht="28.5" customHeight="1" x14ac:dyDescent="0.25">
      <c r="A99" s="945"/>
      <c r="B99" s="947"/>
      <c r="C99" s="50"/>
      <c r="D99" s="943" t="s">
        <v>411</v>
      </c>
      <c r="E99" s="149"/>
      <c r="F99" s="16"/>
      <c r="G99" s="124"/>
      <c r="H99" s="162"/>
      <c r="I99" s="23"/>
      <c r="J99" s="404"/>
      <c r="K99" s="294"/>
      <c r="L99" s="124"/>
      <c r="M99" s="15"/>
    </row>
    <row r="100" spans="1:13" ht="15" customHeight="1" x14ac:dyDescent="0.25">
      <c r="A100" s="945"/>
      <c r="B100" s="947"/>
      <c r="C100" s="50"/>
      <c r="D100" s="61" t="s">
        <v>261</v>
      </c>
      <c r="E100" s="149"/>
      <c r="F100" s="16"/>
      <c r="G100" s="294"/>
      <c r="H100" s="162"/>
      <c r="I100" s="23"/>
      <c r="J100" s="404"/>
      <c r="K100" s="294"/>
      <c r="L100" s="124"/>
      <c r="M100" s="15"/>
    </row>
    <row r="101" spans="1:13" ht="15" customHeight="1" x14ac:dyDescent="0.25">
      <c r="A101" s="945"/>
      <c r="B101" s="947"/>
      <c r="C101" s="50"/>
      <c r="D101" s="61" t="s">
        <v>262</v>
      </c>
      <c r="E101" s="149"/>
      <c r="F101" s="16"/>
      <c r="G101" s="124"/>
      <c r="H101" s="162"/>
      <c r="I101" s="23"/>
      <c r="J101" s="404"/>
      <c r="K101" s="294"/>
      <c r="L101" s="124"/>
      <c r="M101" s="15"/>
    </row>
    <row r="102" spans="1:13" ht="15" customHeight="1" x14ac:dyDescent="0.25">
      <c r="A102" s="945"/>
      <c r="B102" s="947"/>
      <c r="C102" s="50"/>
      <c r="D102" s="61" t="s">
        <v>281</v>
      </c>
      <c r="E102" s="149"/>
      <c r="F102" s="16"/>
      <c r="G102" s="124"/>
      <c r="H102" s="162"/>
      <c r="I102" s="23"/>
      <c r="J102" s="404"/>
      <c r="K102" s="294"/>
      <c r="L102" s="124"/>
      <c r="M102" s="15"/>
    </row>
    <row r="103" spans="1:13" ht="15" customHeight="1" x14ac:dyDescent="0.25">
      <c r="A103" s="945"/>
      <c r="B103" s="947"/>
      <c r="C103" s="50"/>
      <c r="D103" s="61" t="s">
        <v>332</v>
      </c>
      <c r="E103" s="149"/>
      <c r="F103" s="16"/>
      <c r="G103" s="294"/>
      <c r="H103" s="162"/>
      <c r="I103" s="23"/>
      <c r="J103" s="404"/>
      <c r="K103" s="294"/>
      <c r="L103" s="162"/>
      <c r="M103" s="445"/>
    </row>
    <row r="104" spans="1:13" ht="15" customHeight="1" x14ac:dyDescent="0.25">
      <c r="A104" s="945"/>
      <c r="B104" s="947"/>
      <c r="C104" s="50"/>
      <c r="D104" s="61" t="s">
        <v>282</v>
      </c>
      <c r="E104" s="149"/>
      <c r="F104" s="16"/>
      <c r="G104" s="294"/>
      <c r="H104" s="162"/>
      <c r="I104" s="445"/>
      <c r="J104" s="949"/>
      <c r="K104" s="298"/>
      <c r="L104" s="305"/>
      <c r="M104" s="445"/>
    </row>
    <row r="105" spans="1:13" ht="27.65" customHeight="1" x14ac:dyDescent="0.25">
      <c r="A105" s="945"/>
      <c r="B105" s="947"/>
      <c r="C105" s="48"/>
      <c r="D105" s="1207" t="s">
        <v>65</v>
      </c>
      <c r="E105" s="958" t="s">
        <v>224</v>
      </c>
      <c r="F105" s="1026" t="s">
        <v>443</v>
      </c>
      <c r="G105" s="1004">
        <v>500</v>
      </c>
      <c r="H105" s="1005">
        <v>500</v>
      </c>
      <c r="I105" s="1006">
        <v>500</v>
      </c>
      <c r="J105" s="931" t="s">
        <v>110</v>
      </c>
      <c r="K105" s="311">
        <v>0.1</v>
      </c>
      <c r="L105" s="569">
        <v>0.1</v>
      </c>
      <c r="M105" s="939">
        <v>0.1</v>
      </c>
    </row>
    <row r="106" spans="1:13" ht="26.25" customHeight="1" x14ac:dyDescent="0.25">
      <c r="A106" s="945"/>
      <c r="B106" s="947"/>
      <c r="C106" s="48"/>
      <c r="D106" s="1208"/>
      <c r="E106" s="959" t="s">
        <v>279</v>
      </c>
      <c r="F106" s="1011" t="s">
        <v>436</v>
      </c>
      <c r="G106" s="1008">
        <v>521.79999999999995</v>
      </c>
      <c r="H106" s="1009">
        <v>521.79999999999995</v>
      </c>
      <c r="I106" s="1043">
        <v>521.79999999999995</v>
      </c>
      <c r="J106" s="423" t="s">
        <v>34</v>
      </c>
      <c r="K106" s="574">
        <v>4</v>
      </c>
      <c r="L106" s="575">
        <v>4</v>
      </c>
      <c r="M106" s="576">
        <v>4</v>
      </c>
    </row>
    <row r="107" spans="1:13" ht="15.75" customHeight="1" x14ac:dyDescent="0.25">
      <c r="A107" s="945"/>
      <c r="B107" s="947"/>
      <c r="C107" s="48"/>
      <c r="D107" s="1208"/>
      <c r="E107" s="749" t="s">
        <v>148</v>
      </c>
      <c r="F107" s="1013"/>
      <c r="G107" s="1012"/>
      <c r="H107" s="1009"/>
      <c r="I107" s="1043"/>
      <c r="J107" s="423" t="s">
        <v>52</v>
      </c>
      <c r="K107" s="571">
        <v>1.3</v>
      </c>
      <c r="L107" s="572">
        <v>1.3</v>
      </c>
      <c r="M107" s="573">
        <v>1.3</v>
      </c>
    </row>
    <row r="108" spans="1:13" ht="15" customHeight="1" x14ac:dyDescent="0.25">
      <c r="A108" s="1230"/>
      <c r="B108" s="1216"/>
      <c r="C108" s="1231"/>
      <c r="D108" s="1186" t="s">
        <v>43</v>
      </c>
      <c r="E108" s="958" t="s">
        <v>224</v>
      </c>
      <c r="F108" s="1011" t="s">
        <v>436</v>
      </c>
      <c r="G108" s="1054">
        <v>500</v>
      </c>
      <c r="H108" s="1005">
        <v>500</v>
      </c>
      <c r="I108" s="1055">
        <v>500</v>
      </c>
      <c r="J108" s="1213" t="s">
        <v>108</v>
      </c>
      <c r="K108" s="365">
        <v>2.5</v>
      </c>
      <c r="L108" s="563">
        <v>2.5</v>
      </c>
      <c r="M108" s="938">
        <v>2.5</v>
      </c>
    </row>
    <row r="109" spans="1:13" ht="15" customHeight="1" x14ac:dyDescent="0.25">
      <c r="A109" s="1230"/>
      <c r="B109" s="1216"/>
      <c r="C109" s="1231"/>
      <c r="D109" s="1187"/>
      <c r="E109" s="749" t="s">
        <v>148</v>
      </c>
      <c r="F109" s="1011"/>
      <c r="G109" s="1012"/>
      <c r="H109" s="1009"/>
      <c r="I109" s="1043"/>
      <c r="J109" s="1214"/>
      <c r="K109" s="504"/>
      <c r="L109" s="748"/>
      <c r="M109" s="505"/>
    </row>
    <row r="110" spans="1:13" ht="14.25" customHeight="1" x14ac:dyDescent="0.25">
      <c r="A110" s="1230"/>
      <c r="B110" s="1216"/>
      <c r="C110" s="1231"/>
      <c r="D110" s="1221"/>
      <c r="E110" s="581" t="s">
        <v>279</v>
      </c>
      <c r="F110" s="1056"/>
      <c r="G110" s="1057"/>
      <c r="H110" s="1058"/>
      <c r="I110" s="1059"/>
      <c r="J110" s="1223"/>
      <c r="K110" s="936"/>
      <c r="L110" s="109"/>
      <c r="M110" s="342"/>
    </row>
    <row r="111" spans="1:13" ht="15.75" customHeight="1" x14ac:dyDescent="0.25">
      <c r="A111" s="1230"/>
      <c r="B111" s="1216"/>
      <c r="C111" s="1231"/>
      <c r="D111" s="1236" t="s">
        <v>104</v>
      </c>
      <c r="E111" s="959" t="s">
        <v>224</v>
      </c>
      <c r="F111" s="1026" t="s">
        <v>443</v>
      </c>
      <c r="G111" s="1004">
        <v>220</v>
      </c>
      <c r="H111" s="1054">
        <v>220</v>
      </c>
      <c r="I111" s="1006">
        <v>220</v>
      </c>
      <c r="J111" s="933" t="s">
        <v>111</v>
      </c>
      <c r="K111" s="566">
        <v>0.5</v>
      </c>
      <c r="L111" s="567">
        <v>0.5</v>
      </c>
      <c r="M111" s="565">
        <v>0.5</v>
      </c>
    </row>
    <row r="112" spans="1:13" ht="15.75" customHeight="1" x14ac:dyDescent="0.25">
      <c r="A112" s="1230"/>
      <c r="B112" s="1216"/>
      <c r="C112" s="1231"/>
      <c r="D112" s="1237"/>
      <c r="E112" s="966" t="s">
        <v>148</v>
      </c>
      <c r="F112" s="1023" t="s">
        <v>436</v>
      </c>
      <c r="G112" s="1008">
        <f>740.4-374.3</f>
        <v>366.1</v>
      </c>
      <c r="H112" s="1009">
        <v>366.1</v>
      </c>
      <c r="I112" s="1010">
        <v>366.1</v>
      </c>
      <c r="J112" s="423" t="s">
        <v>109</v>
      </c>
      <c r="K112" s="566">
        <v>1.1000000000000001</v>
      </c>
      <c r="L112" s="725">
        <v>1.1000000000000001</v>
      </c>
      <c r="M112" s="726">
        <v>1.1000000000000001</v>
      </c>
    </row>
    <row r="113" spans="1:13" ht="15" customHeight="1" x14ac:dyDescent="0.25">
      <c r="A113" s="1230"/>
      <c r="B113" s="1216"/>
      <c r="C113" s="1231"/>
      <c r="D113" s="1238"/>
      <c r="E113" s="581" t="s">
        <v>279</v>
      </c>
      <c r="F113" s="1060"/>
      <c r="G113" s="1061"/>
      <c r="H113" s="1062"/>
      <c r="I113" s="1063"/>
      <c r="J113" s="423" t="s">
        <v>314</v>
      </c>
      <c r="K113" s="566">
        <v>1</v>
      </c>
      <c r="L113" s="1"/>
      <c r="M113" s="500"/>
    </row>
    <row r="114" spans="1:13" ht="15.75" customHeight="1" x14ac:dyDescent="0.25">
      <c r="A114" s="945"/>
      <c r="B114" s="947"/>
      <c r="C114" s="957"/>
      <c r="D114" s="1239" t="s">
        <v>427</v>
      </c>
      <c r="E114" s="153" t="s">
        <v>279</v>
      </c>
      <c r="F114" s="1026" t="s">
        <v>436</v>
      </c>
      <c r="G114" s="1054">
        <f>543-443</f>
        <v>100</v>
      </c>
      <c r="H114" s="1005">
        <v>141</v>
      </c>
      <c r="I114" s="1027">
        <v>142</v>
      </c>
      <c r="J114" s="1213" t="s">
        <v>80</v>
      </c>
      <c r="K114" s="791">
        <v>1</v>
      </c>
      <c r="L114" s="308">
        <v>1</v>
      </c>
      <c r="M114" s="235">
        <v>1</v>
      </c>
    </row>
    <row r="115" spans="1:13" ht="16.5" customHeight="1" x14ac:dyDescent="0.25">
      <c r="A115" s="945"/>
      <c r="B115" s="947"/>
      <c r="C115" s="957"/>
      <c r="D115" s="1239"/>
      <c r="E115" s="749" t="s">
        <v>148</v>
      </c>
      <c r="F115" s="1013"/>
      <c r="G115" s="1045"/>
      <c r="H115" s="1015"/>
      <c r="I115" s="1064"/>
      <c r="J115" s="1223"/>
      <c r="K115" s="301"/>
      <c r="L115" s="348"/>
      <c r="M115" s="87"/>
    </row>
    <row r="116" spans="1:13" ht="15" customHeight="1" x14ac:dyDescent="0.25">
      <c r="A116" s="967"/>
      <c r="B116" s="947"/>
      <c r="C116" s="50"/>
      <c r="D116" s="1186" t="s">
        <v>33</v>
      </c>
      <c r="E116" s="153" t="s">
        <v>279</v>
      </c>
      <c r="F116" s="1065" t="s">
        <v>443</v>
      </c>
      <c r="G116" s="1012">
        <v>121</v>
      </c>
      <c r="H116" s="1005">
        <v>121</v>
      </c>
      <c r="I116" s="1006">
        <v>121</v>
      </c>
      <c r="J116" s="1213" t="s">
        <v>103</v>
      </c>
      <c r="K116" s="300">
        <v>17</v>
      </c>
      <c r="L116" s="347">
        <v>17</v>
      </c>
      <c r="M116" s="85">
        <v>17</v>
      </c>
    </row>
    <row r="117" spans="1:13" ht="16.5" customHeight="1" x14ac:dyDescent="0.25">
      <c r="A117" s="967"/>
      <c r="B117" s="947"/>
      <c r="C117" s="50"/>
      <c r="D117" s="1187"/>
      <c r="E117" s="149"/>
      <c r="F117" s="1013" t="s">
        <v>436</v>
      </c>
      <c r="G117" s="1014">
        <v>108.4</v>
      </c>
      <c r="H117" s="1015">
        <v>108.4</v>
      </c>
      <c r="I117" s="1016">
        <v>108.4</v>
      </c>
      <c r="J117" s="1223"/>
      <c r="K117" s="301"/>
      <c r="L117" s="348"/>
      <c r="M117" s="87"/>
    </row>
    <row r="118" spans="1:13" ht="27" customHeight="1" x14ac:dyDescent="0.25">
      <c r="A118" s="967"/>
      <c r="B118" s="947"/>
      <c r="C118" s="50"/>
      <c r="D118" s="937" t="s">
        <v>227</v>
      </c>
      <c r="E118" s="958" t="s">
        <v>279</v>
      </c>
      <c r="F118" s="1003" t="s">
        <v>443</v>
      </c>
      <c r="G118" s="1054">
        <v>32.6</v>
      </c>
      <c r="H118" s="1005"/>
      <c r="I118" s="1055"/>
      <c r="J118" s="952" t="s">
        <v>102</v>
      </c>
      <c r="K118" s="300"/>
      <c r="L118" s="347"/>
      <c r="M118" s="85"/>
    </row>
    <row r="119" spans="1:13" ht="15" customHeight="1" x14ac:dyDescent="0.25">
      <c r="A119" s="967"/>
      <c r="B119" s="956"/>
      <c r="C119" s="47"/>
      <c r="D119" s="1186" t="s">
        <v>162</v>
      </c>
      <c r="E119" s="56" t="s">
        <v>279</v>
      </c>
      <c r="F119" s="1028" t="s">
        <v>436</v>
      </c>
      <c r="G119" s="1004">
        <v>58.3</v>
      </c>
      <c r="H119" s="1005"/>
      <c r="I119" s="1006"/>
      <c r="J119" s="1234" t="s">
        <v>123</v>
      </c>
      <c r="K119" s="300">
        <v>100</v>
      </c>
      <c r="L119" s="308"/>
      <c r="M119" s="235"/>
    </row>
    <row r="120" spans="1:13" ht="15" customHeight="1" x14ac:dyDescent="0.25">
      <c r="A120" s="967"/>
      <c r="B120" s="956"/>
      <c r="C120" s="47"/>
      <c r="D120" s="1221"/>
      <c r="E120" s="960" t="s">
        <v>40</v>
      </c>
      <c r="F120" s="1038" t="s">
        <v>437</v>
      </c>
      <c r="G120" s="1012">
        <v>63.7</v>
      </c>
      <c r="H120" s="1015"/>
      <c r="I120" s="1016"/>
      <c r="J120" s="1235"/>
      <c r="K120" s="301"/>
      <c r="L120" s="305"/>
      <c r="M120" s="243"/>
    </row>
    <row r="121" spans="1:13" ht="14.25" customHeight="1" x14ac:dyDescent="0.25">
      <c r="A121" s="967"/>
      <c r="B121" s="956"/>
      <c r="C121" s="47"/>
      <c r="D121" s="1186" t="s">
        <v>124</v>
      </c>
      <c r="E121" s="56" t="s">
        <v>279</v>
      </c>
      <c r="F121" s="1028" t="s">
        <v>443</v>
      </c>
      <c r="G121" s="1054">
        <v>8</v>
      </c>
      <c r="H121" s="1005">
        <v>8</v>
      </c>
      <c r="I121" s="1027">
        <v>8</v>
      </c>
      <c r="J121" s="952" t="s">
        <v>309</v>
      </c>
      <c r="K121" s="357">
        <v>10</v>
      </c>
      <c r="L121" s="360">
        <v>10</v>
      </c>
      <c r="M121" s="356">
        <v>10</v>
      </c>
    </row>
    <row r="122" spans="1:13" ht="15" customHeight="1" x14ac:dyDescent="0.25">
      <c r="A122" s="967"/>
      <c r="B122" s="956"/>
      <c r="C122" s="47"/>
      <c r="D122" s="1221"/>
      <c r="E122" s="92"/>
      <c r="F122" s="1044"/>
      <c r="G122" s="1045"/>
      <c r="H122" s="1015"/>
      <c r="I122" s="1064"/>
      <c r="J122" s="409"/>
      <c r="K122" s="301"/>
      <c r="L122" s="309"/>
      <c r="M122" s="87"/>
    </row>
    <row r="123" spans="1:13" ht="15" customHeight="1" x14ac:dyDescent="0.25">
      <c r="A123" s="967"/>
      <c r="B123" s="956"/>
      <c r="C123" s="47"/>
      <c r="D123" s="1186" t="s">
        <v>209</v>
      </c>
      <c r="E123" s="56" t="s">
        <v>40</v>
      </c>
      <c r="F123" s="1028" t="s">
        <v>436</v>
      </c>
      <c r="G123" s="1004">
        <v>37.799999999999997</v>
      </c>
      <c r="H123" s="1005">
        <v>357.2</v>
      </c>
      <c r="I123" s="1006"/>
      <c r="J123" s="438" t="s">
        <v>61</v>
      </c>
      <c r="K123" s="298">
        <v>1</v>
      </c>
      <c r="L123" s="305"/>
      <c r="M123" s="86"/>
    </row>
    <row r="124" spans="1:13" ht="15" customHeight="1" x14ac:dyDescent="0.25">
      <c r="A124" s="967"/>
      <c r="B124" s="956"/>
      <c r="C124" s="47"/>
      <c r="D124" s="1187"/>
      <c r="E124" s="966" t="s">
        <v>148</v>
      </c>
      <c r="F124" s="1007" t="s">
        <v>437</v>
      </c>
      <c r="G124" s="1008">
        <v>5</v>
      </c>
      <c r="H124" s="1009"/>
      <c r="I124" s="1010"/>
      <c r="J124" s="442" t="s">
        <v>307</v>
      </c>
      <c r="K124" s="332"/>
      <c r="L124" s="338">
        <v>100</v>
      </c>
      <c r="M124" s="244"/>
    </row>
    <row r="125" spans="1:13" ht="15.75" customHeight="1" x14ac:dyDescent="0.25">
      <c r="A125" s="967"/>
      <c r="B125" s="956"/>
      <c r="C125" s="47"/>
      <c r="D125" s="1187"/>
      <c r="E125" s="985" t="s">
        <v>277</v>
      </c>
      <c r="F125" s="1018"/>
      <c r="G125" s="1066"/>
      <c r="H125" s="1009"/>
      <c r="I125" s="1016"/>
      <c r="J125" s="168"/>
      <c r="K125" s="645"/>
      <c r="L125" s="604"/>
      <c r="M125" s="243"/>
    </row>
    <row r="126" spans="1:13" ht="18" customHeight="1" x14ac:dyDescent="0.25">
      <c r="A126" s="967"/>
      <c r="B126" s="956"/>
      <c r="C126" s="47"/>
      <c r="D126" s="1186" t="s">
        <v>428</v>
      </c>
      <c r="E126" s="56"/>
      <c r="F126" s="1028" t="s">
        <v>436</v>
      </c>
      <c r="G126" s="1004">
        <v>30</v>
      </c>
      <c r="H126" s="1005">
        <v>200</v>
      </c>
      <c r="I126" s="1006">
        <v>60.8</v>
      </c>
      <c r="J126" s="495" t="s">
        <v>327</v>
      </c>
      <c r="K126" s="331">
        <v>2</v>
      </c>
      <c r="L126" s="337"/>
      <c r="M126" s="85"/>
    </row>
    <row r="127" spans="1:13" ht="18" customHeight="1" x14ac:dyDescent="0.25">
      <c r="A127" s="967"/>
      <c r="B127" s="956"/>
      <c r="C127" s="47"/>
      <c r="D127" s="1187"/>
      <c r="E127" s="750" t="s">
        <v>148</v>
      </c>
      <c r="F127" s="1042" t="s">
        <v>443</v>
      </c>
      <c r="G127" s="1008">
        <v>100</v>
      </c>
      <c r="H127" s="1009">
        <v>200</v>
      </c>
      <c r="I127" s="1010">
        <v>600</v>
      </c>
      <c r="J127" s="442" t="s">
        <v>307</v>
      </c>
      <c r="K127" s="671">
        <v>5</v>
      </c>
      <c r="L127" s="672">
        <v>40</v>
      </c>
      <c r="M127" s="673">
        <v>100</v>
      </c>
    </row>
    <row r="128" spans="1:13" ht="90.75" customHeight="1" x14ac:dyDescent="0.25">
      <c r="A128" s="967"/>
      <c r="B128" s="956"/>
      <c r="C128" s="47"/>
      <c r="D128" s="1221"/>
      <c r="E128" s="960" t="s">
        <v>279</v>
      </c>
      <c r="F128" s="1044"/>
      <c r="G128" s="1014"/>
      <c r="H128" s="1015"/>
      <c r="I128" s="1016"/>
      <c r="J128" s="544"/>
      <c r="K128" s="301"/>
      <c r="L128" s="309"/>
      <c r="M128" s="243"/>
    </row>
    <row r="129" spans="1:14" ht="17.5" customHeight="1" x14ac:dyDescent="0.25">
      <c r="A129" s="967"/>
      <c r="B129" s="947"/>
      <c r="C129" s="220"/>
      <c r="D129" s="937" t="s">
        <v>229</v>
      </c>
      <c r="E129" s="959" t="s">
        <v>148</v>
      </c>
      <c r="F129" s="1067"/>
      <c r="G129" s="1012"/>
      <c r="H129" s="1009"/>
      <c r="I129" s="1012"/>
      <c r="J129" s="407"/>
      <c r="K129" s="298"/>
      <c r="L129" s="305"/>
      <c r="M129" s="86"/>
    </row>
    <row r="130" spans="1:14" ht="15" customHeight="1" x14ac:dyDescent="0.25">
      <c r="A130" s="967"/>
      <c r="B130" s="947"/>
      <c r="C130" s="220"/>
      <c r="D130" s="961" t="s">
        <v>230</v>
      </c>
      <c r="E130" s="752" t="s">
        <v>277</v>
      </c>
      <c r="F130" s="1068" t="s">
        <v>447</v>
      </c>
      <c r="G130" s="1069"/>
      <c r="H130" s="1017"/>
      <c r="I130" s="1070">
        <v>49.4</v>
      </c>
      <c r="J130" s="442" t="s">
        <v>307</v>
      </c>
      <c r="K130" s="332"/>
      <c r="L130" s="338"/>
      <c r="M130" s="244">
        <v>100</v>
      </c>
    </row>
    <row r="131" spans="1:14" ht="29.15" customHeight="1" x14ac:dyDescent="0.25">
      <c r="A131" s="967"/>
      <c r="B131" s="947"/>
      <c r="C131" s="220"/>
      <c r="D131" s="806" t="s">
        <v>263</v>
      </c>
      <c r="E131" s="959" t="s">
        <v>277</v>
      </c>
      <c r="F131" s="1042" t="s">
        <v>443</v>
      </c>
      <c r="G131" s="1008">
        <v>320</v>
      </c>
      <c r="H131" s="1009"/>
      <c r="I131" s="1010"/>
      <c r="J131" s="442" t="s">
        <v>307</v>
      </c>
      <c r="K131" s="491">
        <v>100</v>
      </c>
      <c r="L131" s="490"/>
      <c r="M131" s="237"/>
    </row>
    <row r="132" spans="1:14" ht="21.65" customHeight="1" x14ac:dyDescent="0.25">
      <c r="A132" s="967"/>
      <c r="B132" s="947"/>
      <c r="C132" s="220"/>
      <c r="D132" s="806" t="s">
        <v>264</v>
      </c>
      <c r="E132" s="959" t="s">
        <v>277</v>
      </c>
      <c r="F132" s="1044" t="s">
        <v>443</v>
      </c>
      <c r="G132" s="1045"/>
      <c r="H132" s="1015">
        <v>210</v>
      </c>
      <c r="I132" s="1016"/>
      <c r="J132" s="437" t="s">
        <v>307</v>
      </c>
      <c r="K132" s="481"/>
      <c r="L132" s="479">
        <v>100</v>
      </c>
      <c r="M132" s="239"/>
    </row>
    <row r="133" spans="1:14" ht="15" customHeight="1" x14ac:dyDescent="0.25">
      <c r="A133" s="967"/>
      <c r="B133" s="947"/>
      <c r="C133" s="220"/>
      <c r="D133" s="1186" t="s">
        <v>232</v>
      </c>
      <c r="E133" s="958" t="s">
        <v>279</v>
      </c>
      <c r="F133" s="1042" t="s">
        <v>443</v>
      </c>
      <c r="G133" s="1071"/>
      <c r="H133" s="1017">
        <v>103.3</v>
      </c>
      <c r="I133" s="1043">
        <v>1962.7</v>
      </c>
      <c r="J133" s="405" t="s">
        <v>307</v>
      </c>
      <c r="K133" s="332"/>
      <c r="L133" s="338">
        <v>5</v>
      </c>
      <c r="M133" s="244">
        <v>100</v>
      </c>
    </row>
    <row r="134" spans="1:14" ht="15" customHeight="1" x14ac:dyDescent="0.25">
      <c r="A134" s="967"/>
      <c r="B134" s="947"/>
      <c r="C134" s="220"/>
      <c r="D134" s="1187"/>
      <c r="E134" s="142" t="s">
        <v>148</v>
      </c>
      <c r="F134" s="1042"/>
      <c r="G134" s="1008"/>
      <c r="H134" s="1009"/>
      <c r="I134" s="1010"/>
      <c r="J134" s="405"/>
      <c r="K134" s="298"/>
      <c r="L134" s="305"/>
      <c r="M134" s="644"/>
      <c r="N134" s="869"/>
    </row>
    <row r="135" spans="1:14" ht="15" customHeight="1" x14ac:dyDescent="0.25">
      <c r="A135" s="967"/>
      <c r="B135" s="947"/>
      <c r="C135" s="220"/>
      <c r="D135" s="1221"/>
      <c r="E135" s="142" t="s">
        <v>40</v>
      </c>
      <c r="F135" s="1072"/>
      <c r="G135" s="1073"/>
      <c r="H135" s="1074"/>
      <c r="I135" s="1074"/>
      <c r="J135" s="168"/>
      <c r="K135" s="228"/>
      <c r="L135" s="141"/>
      <c r="M135" s="547"/>
      <c r="N135" s="869"/>
    </row>
    <row r="136" spans="1:14" ht="15" customHeight="1" x14ac:dyDescent="0.25">
      <c r="A136" s="967"/>
      <c r="B136" s="947"/>
      <c r="C136" s="220"/>
      <c r="D136" s="1186" t="s">
        <v>265</v>
      </c>
      <c r="E136" s="56" t="s">
        <v>40</v>
      </c>
      <c r="F136" s="1028" t="s">
        <v>436</v>
      </c>
      <c r="G136" s="1075">
        <v>100</v>
      </c>
      <c r="H136" s="1005">
        <v>288.3</v>
      </c>
      <c r="I136" s="1006"/>
      <c r="J136" s="952" t="s">
        <v>307</v>
      </c>
      <c r="K136" s="300">
        <v>25</v>
      </c>
      <c r="L136" s="308">
        <v>100</v>
      </c>
      <c r="M136" s="235"/>
    </row>
    <row r="137" spans="1:14" ht="15" customHeight="1" x14ac:dyDescent="0.25">
      <c r="A137" s="967"/>
      <c r="B137" s="947"/>
      <c r="C137" s="220"/>
      <c r="D137" s="1187"/>
      <c r="E137" s="142" t="s">
        <v>277</v>
      </c>
      <c r="F137" s="1042" t="s">
        <v>443</v>
      </c>
      <c r="G137" s="1008">
        <v>200</v>
      </c>
      <c r="H137" s="1009">
        <v>800</v>
      </c>
      <c r="I137" s="1010"/>
      <c r="J137" s="405"/>
      <c r="K137" s="298"/>
      <c r="L137" s="305"/>
      <c r="M137" s="86"/>
    </row>
    <row r="138" spans="1:14" ht="15" customHeight="1" x14ac:dyDescent="0.25">
      <c r="A138" s="967"/>
      <c r="B138" s="947"/>
      <c r="C138" s="220"/>
      <c r="D138" s="1187"/>
      <c r="E138" s="807" t="s">
        <v>148</v>
      </c>
      <c r="F138" s="1072"/>
      <c r="G138" s="1001"/>
      <c r="H138" s="1062"/>
      <c r="I138" s="1016"/>
      <c r="J138" s="409"/>
      <c r="K138" s="298"/>
      <c r="L138" s="309"/>
      <c r="M138" s="243"/>
    </row>
    <row r="139" spans="1:14" ht="15.65" customHeight="1" x14ac:dyDescent="0.25">
      <c r="A139" s="967"/>
      <c r="B139" s="947"/>
      <c r="C139" s="220"/>
      <c r="D139" s="1186" t="s">
        <v>266</v>
      </c>
      <c r="E139" s="56" t="s">
        <v>277</v>
      </c>
      <c r="F139" s="1028" t="s">
        <v>436</v>
      </c>
      <c r="G139" s="1004">
        <v>30</v>
      </c>
      <c r="H139" s="1005">
        <v>50</v>
      </c>
      <c r="I139" s="1043"/>
      <c r="J139" s="495" t="s">
        <v>61</v>
      </c>
      <c r="K139" s="496">
        <v>1</v>
      </c>
      <c r="L139" s="337"/>
      <c r="M139" s="236"/>
    </row>
    <row r="140" spans="1:14" ht="15.65" customHeight="1" x14ac:dyDescent="0.25">
      <c r="A140" s="967"/>
      <c r="B140" s="947"/>
      <c r="C140" s="220"/>
      <c r="D140" s="1221"/>
      <c r="E140" s="142"/>
      <c r="F140" s="1044"/>
      <c r="G140" s="1014"/>
      <c r="H140" s="1015"/>
      <c r="I140" s="1016"/>
      <c r="J140" s="437" t="s">
        <v>307</v>
      </c>
      <c r="K140" s="333"/>
      <c r="L140" s="339">
        <v>100</v>
      </c>
      <c r="M140" s="132"/>
    </row>
    <row r="141" spans="1:14" ht="15.65" customHeight="1" x14ac:dyDescent="0.25">
      <c r="A141" s="967"/>
      <c r="B141" s="947"/>
      <c r="C141" s="220"/>
      <c r="D141" s="1186" t="s">
        <v>326</v>
      </c>
      <c r="E141" s="56" t="s">
        <v>277</v>
      </c>
      <c r="F141" s="1028" t="s">
        <v>436</v>
      </c>
      <c r="G141" s="1075"/>
      <c r="H141" s="1005">
        <v>175</v>
      </c>
      <c r="I141" s="1043"/>
      <c r="J141" s="495" t="s">
        <v>61</v>
      </c>
      <c r="K141" s="331">
        <v>1</v>
      </c>
      <c r="L141" s="305"/>
      <c r="M141" s="86"/>
    </row>
    <row r="142" spans="1:14" ht="15.65" customHeight="1" x14ac:dyDescent="0.25">
      <c r="A142" s="967"/>
      <c r="B142" s="947"/>
      <c r="C142" s="220"/>
      <c r="D142" s="1187"/>
      <c r="E142" s="142" t="s">
        <v>40</v>
      </c>
      <c r="F142" s="1011" t="s">
        <v>440</v>
      </c>
      <c r="G142" s="1008">
        <v>25</v>
      </c>
      <c r="H142" s="1009"/>
      <c r="I142" s="1010"/>
      <c r="J142" s="442" t="s">
        <v>307</v>
      </c>
      <c r="K142" s="298"/>
      <c r="L142" s="338">
        <v>100</v>
      </c>
      <c r="M142" s="244"/>
    </row>
    <row r="143" spans="1:14" ht="15.65" customHeight="1" x14ac:dyDescent="0.25">
      <c r="A143" s="967"/>
      <c r="B143" s="947"/>
      <c r="C143" s="220"/>
      <c r="D143" s="1221"/>
      <c r="E143" s="142"/>
      <c r="F143" s="1042"/>
      <c r="G143" s="1014"/>
      <c r="H143" s="1015"/>
      <c r="I143" s="1016"/>
      <c r="J143" s="405"/>
      <c r="K143" s="301"/>
      <c r="L143" s="305"/>
      <c r="M143" s="86"/>
    </row>
    <row r="144" spans="1:14" ht="16.5" customHeight="1" x14ac:dyDescent="0.25">
      <c r="A144" s="945"/>
      <c r="B144" s="947"/>
      <c r="C144" s="48"/>
      <c r="D144" s="1192" t="s">
        <v>297</v>
      </c>
      <c r="E144" s="965" t="s">
        <v>40</v>
      </c>
      <c r="F144" s="1026" t="s">
        <v>436</v>
      </c>
      <c r="G144" s="1012"/>
      <c r="H144" s="1009"/>
      <c r="I144" s="1043">
        <v>359</v>
      </c>
      <c r="J144" s="952" t="s">
        <v>307</v>
      </c>
      <c r="K144" s="300"/>
      <c r="L144" s="308"/>
      <c r="M144" s="85">
        <v>100</v>
      </c>
    </row>
    <row r="145" spans="1:13" ht="16.5" customHeight="1" x14ac:dyDescent="0.25">
      <c r="A145" s="945"/>
      <c r="B145" s="947"/>
      <c r="C145" s="47"/>
      <c r="D145" s="1232"/>
      <c r="E145" s="807" t="s">
        <v>277</v>
      </c>
      <c r="F145" s="1013"/>
      <c r="G145" s="1046"/>
      <c r="H145" s="1047"/>
      <c r="I145" s="1048"/>
      <c r="J145" s="411"/>
      <c r="K145" s="301"/>
      <c r="L145" s="309"/>
      <c r="M145" s="87"/>
    </row>
    <row r="146" spans="1:13" ht="15" customHeight="1" x14ac:dyDescent="0.25">
      <c r="A146" s="945"/>
      <c r="B146" s="947"/>
      <c r="C146" s="48"/>
      <c r="D146" s="1192" t="s">
        <v>294</v>
      </c>
      <c r="E146" s="965" t="s">
        <v>40</v>
      </c>
      <c r="F146" s="1026" t="s">
        <v>436</v>
      </c>
      <c r="G146" s="1004"/>
      <c r="H146" s="1005">
        <v>110</v>
      </c>
      <c r="I146" s="1043"/>
      <c r="J146" s="931" t="s">
        <v>39</v>
      </c>
      <c r="K146" s="300"/>
      <c r="L146" s="308">
        <v>1</v>
      </c>
      <c r="M146" s="235"/>
    </row>
    <row r="147" spans="1:13" ht="15" customHeight="1" x14ac:dyDescent="0.25">
      <c r="A147" s="945"/>
      <c r="B147" s="947"/>
      <c r="C147" s="48"/>
      <c r="D147" s="1193"/>
      <c r="E147" s="966" t="s">
        <v>277</v>
      </c>
      <c r="F147" s="1011" t="s">
        <v>440</v>
      </c>
      <c r="G147" s="1008">
        <v>20</v>
      </c>
      <c r="H147" s="1009"/>
      <c r="I147" s="1010"/>
      <c r="J147" s="405"/>
      <c r="K147" s="298"/>
      <c r="L147" s="305"/>
      <c r="M147" s="86"/>
    </row>
    <row r="148" spans="1:13" ht="15" customHeight="1" x14ac:dyDescent="0.25">
      <c r="A148" s="945"/>
      <c r="B148" s="947"/>
      <c r="C148" s="47"/>
      <c r="D148" s="1232"/>
      <c r="E148" s="807" t="s">
        <v>148</v>
      </c>
      <c r="F148" s="1013"/>
      <c r="G148" s="1046"/>
      <c r="H148" s="1047"/>
      <c r="I148" s="1048"/>
      <c r="J148" s="768"/>
      <c r="K148" s="301"/>
      <c r="L148" s="309"/>
      <c r="M148" s="87"/>
    </row>
    <row r="149" spans="1:13" ht="15" customHeight="1" x14ac:dyDescent="0.25">
      <c r="A149" s="945"/>
      <c r="B149" s="947"/>
      <c r="C149" s="48"/>
      <c r="D149" s="1192" t="s">
        <v>295</v>
      </c>
      <c r="E149" s="965" t="s">
        <v>40</v>
      </c>
      <c r="F149" s="1026" t="s">
        <v>436</v>
      </c>
      <c r="G149" s="1012"/>
      <c r="H149" s="1009">
        <v>200</v>
      </c>
      <c r="I149" s="1006"/>
      <c r="J149" s="931" t="s">
        <v>39</v>
      </c>
      <c r="K149" s="300"/>
      <c r="L149" s="308">
        <v>1</v>
      </c>
      <c r="M149" s="235"/>
    </row>
    <row r="150" spans="1:13" ht="15" customHeight="1" x14ac:dyDescent="0.25">
      <c r="A150" s="945"/>
      <c r="B150" s="947"/>
      <c r="C150" s="48"/>
      <c r="D150" s="1193"/>
      <c r="E150" s="966" t="s">
        <v>277</v>
      </c>
      <c r="F150" s="1011" t="s">
        <v>440</v>
      </c>
      <c r="G150" s="1032">
        <v>50</v>
      </c>
      <c r="H150" s="1009"/>
      <c r="I150" s="1010"/>
      <c r="J150" s="405"/>
      <c r="K150" s="298"/>
      <c r="L150" s="305"/>
      <c r="M150" s="644"/>
    </row>
    <row r="151" spans="1:13" ht="15" customHeight="1" x14ac:dyDescent="0.25">
      <c r="A151" s="945"/>
      <c r="B151" s="947"/>
      <c r="C151" s="47"/>
      <c r="D151" s="1232"/>
      <c r="E151" s="807" t="s">
        <v>148</v>
      </c>
      <c r="F151" s="1013"/>
      <c r="G151" s="1046"/>
      <c r="H151" s="1047"/>
      <c r="I151" s="1076"/>
      <c r="K151" s="301"/>
      <c r="L151" s="309"/>
      <c r="M151" s="87"/>
    </row>
    <row r="152" spans="1:13" s="6" customFormat="1" ht="13.5" customHeight="1" x14ac:dyDescent="0.25">
      <c r="A152" s="945"/>
      <c r="B152" s="956"/>
      <c r="C152" s="50"/>
      <c r="D152" s="663" t="s">
        <v>303</v>
      </c>
      <c r="E152" s="751"/>
      <c r="F152" s="1077"/>
      <c r="G152" s="1078"/>
      <c r="H152" s="1079"/>
      <c r="I152" s="1080"/>
      <c r="J152" s="659"/>
      <c r="K152" s="661"/>
      <c r="L152" s="662"/>
      <c r="M152" s="660"/>
    </row>
    <row r="153" spans="1:13" ht="16.5" customHeight="1" x14ac:dyDescent="0.25">
      <c r="A153" s="945"/>
      <c r="B153" s="947"/>
      <c r="C153" s="48"/>
      <c r="D153" s="1192" t="s">
        <v>301</v>
      </c>
      <c r="E153" s="958" t="s">
        <v>322</v>
      </c>
      <c r="F153" s="1026" t="s">
        <v>441</v>
      </c>
      <c r="G153" s="1012">
        <v>109.4</v>
      </c>
      <c r="H153" s="1009">
        <v>322.60000000000002</v>
      </c>
      <c r="I153" s="1043"/>
      <c r="J153" s="949" t="s">
        <v>39</v>
      </c>
      <c r="K153" s="300">
        <v>1</v>
      </c>
      <c r="L153" s="308"/>
      <c r="M153" s="85"/>
    </row>
    <row r="154" spans="1:13" ht="26.5" customHeight="1" x14ac:dyDescent="0.25">
      <c r="A154" s="945"/>
      <c r="B154" s="947"/>
      <c r="C154" s="47"/>
      <c r="D154" s="1193"/>
      <c r="E154" s="977" t="s">
        <v>40</v>
      </c>
      <c r="F154" s="1011"/>
      <c r="G154" s="1081"/>
      <c r="H154" s="1082"/>
      <c r="I154" s="1083"/>
      <c r="J154" s="454" t="s">
        <v>200</v>
      </c>
      <c r="K154" s="332"/>
      <c r="L154" s="338">
        <v>100</v>
      </c>
      <c r="M154" s="244"/>
    </row>
    <row r="155" spans="1:13" ht="14.5" customHeight="1" x14ac:dyDescent="0.25">
      <c r="A155" s="945"/>
      <c r="B155" s="947"/>
      <c r="C155" s="48"/>
      <c r="D155" s="942"/>
      <c r="E155" s="960" t="s">
        <v>148</v>
      </c>
      <c r="F155" s="1013"/>
      <c r="G155" s="1084"/>
      <c r="H155" s="1047"/>
      <c r="I155" s="1076"/>
      <c r="J155" s="411"/>
      <c r="K155" s="301"/>
      <c r="L155" s="309"/>
      <c r="M155" s="86"/>
    </row>
    <row r="156" spans="1:13" ht="21.65" customHeight="1" x14ac:dyDescent="0.25">
      <c r="A156" s="945"/>
      <c r="B156" s="947"/>
      <c r="C156" s="48"/>
      <c r="D156" s="1192" t="s">
        <v>302</v>
      </c>
      <c r="E156" s="965" t="s">
        <v>277</v>
      </c>
      <c r="F156" s="1026" t="s">
        <v>441</v>
      </c>
      <c r="G156" s="1004">
        <v>87.7</v>
      </c>
      <c r="H156" s="1009">
        <v>824.4</v>
      </c>
      <c r="I156" s="1006"/>
      <c r="J156" s="451" t="s">
        <v>39</v>
      </c>
      <c r="K156" s="331">
        <v>1</v>
      </c>
      <c r="L156" s="337"/>
      <c r="M156" s="236"/>
    </row>
    <row r="157" spans="1:13" ht="15.65" customHeight="1" x14ac:dyDescent="0.25">
      <c r="A157" s="945"/>
      <c r="B157" s="947"/>
      <c r="C157" s="48"/>
      <c r="D157" s="1193"/>
      <c r="E157" s="959" t="s">
        <v>148</v>
      </c>
      <c r="F157" s="1011"/>
      <c r="G157" s="1012"/>
      <c r="H157" s="1009"/>
      <c r="I157" s="1043"/>
      <c r="J157" s="949"/>
      <c r="K157" s="298"/>
      <c r="L157" s="305"/>
      <c r="M157" s="86"/>
    </row>
    <row r="158" spans="1:13" ht="27" customHeight="1" x14ac:dyDescent="0.25">
      <c r="A158" s="945"/>
      <c r="B158" s="947"/>
      <c r="C158" s="47"/>
      <c r="D158" s="1232"/>
      <c r="E158" s="960" t="s">
        <v>40</v>
      </c>
      <c r="F158" s="1013"/>
      <c r="G158" s="1046"/>
      <c r="H158" s="1047"/>
      <c r="I158" s="1048"/>
      <c r="J158" s="411" t="s">
        <v>200</v>
      </c>
      <c r="K158" s="301"/>
      <c r="L158" s="309">
        <v>100</v>
      </c>
      <c r="M158" s="243"/>
    </row>
    <row r="159" spans="1:13" ht="15" customHeight="1" thickBot="1" x14ac:dyDescent="0.3">
      <c r="A159" s="17"/>
      <c r="B159" s="64"/>
      <c r="C159" s="29"/>
      <c r="D159" s="494"/>
      <c r="E159" s="498"/>
      <c r="F159" s="138" t="s">
        <v>4</v>
      </c>
      <c r="G159" s="459">
        <f>+G16+G17+G18+G19+G20+G21+G22+G23+G24+G25+G26+G27</f>
        <v>29304.7</v>
      </c>
      <c r="H159" s="1002">
        <f>+H16+H17+H18+H19+H20+H21+H22+H23+H24+H25+H26+H27</f>
        <v>19769.900000000001</v>
      </c>
      <c r="I159" s="460">
        <f>+I16+I17+I18+I19+I20+I21+I22+I23+I24+I25+I26+I27</f>
        <v>15108.7</v>
      </c>
      <c r="J159" s="422"/>
      <c r="K159" s="359"/>
      <c r="L159" s="362"/>
      <c r="M159" s="181"/>
    </row>
    <row r="160" spans="1:13" ht="15" customHeight="1" thickBot="1" x14ac:dyDescent="0.3">
      <c r="A160" s="19" t="s">
        <v>3</v>
      </c>
      <c r="B160" s="37" t="s">
        <v>3</v>
      </c>
      <c r="C160" s="1245" t="s">
        <v>6</v>
      </c>
      <c r="D160" s="1246"/>
      <c r="E160" s="1246"/>
      <c r="F160" s="1247"/>
      <c r="G160" s="461">
        <f t="shared" ref="G160:I160" si="5">G159</f>
        <v>29304.7</v>
      </c>
      <c r="H160" s="127">
        <f t="shared" si="5"/>
        <v>19769.900000000001</v>
      </c>
      <c r="I160" s="457">
        <f t="shared" si="5"/>
        <v>15108.7</v>
      </c>
      <c r="J160" s="1248"/>
      <c r="K160" s="1249"/>
      <c r="L160" s="1249"/>
      <c r="M160" s="1250"/>
    </row>
    <row r="161" spans="1:18" ht="15" customHeight="1" thickBot="1" x14ac:dyDescent="0.3">
      <c r="A161" s="19" t="s">
        <v>3</v>
      </c>
      <c r="B161" s="37" t="s">
        <v>5</v>
      </c>
      <c r="C161" s="1251" t="s">
        <v>27</v>
      </c>
      <c r="D161" s="1252"/>
      <c r="E161" s="1252"/>
      <c r="F161" s="1252"/>
      <c r="G161" s="1252"/>
      <c r="H161" s="1252"/>
      <c r="I161" s="1252"/>
      <c r="J161" s="1252"/>
      <c r="K161" s="1252"/>
      <c r="L161" s="1252"/>
      <c r="M161" s="1253"/>
    </row>
    <row r="162" spans="1:18" ht="15.65" customHeight="1" x14ac:dyDescent="0.25">
      <c r="A162" s="75" t="s">
        <v>3</v>
      </c>
      <c r="B162" s="36" t="s">
        <v>5</v>
      </c>
      <c r="C162" s="46" t="s">
        <v>3</v>
      </c>
      <c r="D162" s="1333" t="s">
        <v>45</v>
      </c>
      <c r="E162" s="1090"/>
      <c r="F162" s="76" t="s">
        <v>21</v>
      </c>
      <c r="G162" s="1095">
        <v>5487.6</v>
      </c>
      <c r="H162" s="858">
        <v>9857.5</v>
      </c>
      <c r="I162" s="908">
        <v>7578.4</v>
      </c>
      <c r="J162" s="1091"/>
      <c r="K162" s="1088"/>
      <c r="L162" s="1089"/>
      <c r="M162" s="1092"/>
      <c r="N162" s="13"/>
      <c r="O162" s="1001" t="s">
        <v>21</v>
      </c>
      <c r="P162" s="1141">
        <f>+G167+G172+G173+G176+G178+G180+G182+G184+G191+G197+G201</f>
        <v>5487.6</v>
      </c>
      <c r="Q162" s="1141">
        <f t="shared" ref="Q162:R162" si="6">+H167+H172+H173+H176+H178+H180+H182+H184+H191+H197+H201</f>
        <v>9857.5</v>
      </c>
      <c r="R162" s="1141">
        <f t="shared" si="6"/>
        <v>7578.4</v>
      </c>
    </row>
    <row r="163" spans="1:18" ht="15.65" customHeight="1" x14ac:dyDescent="0.25">
      <c r="A163" s="945"/>
      <c r="B163" s="956"/>
      <c r="C163" s="957"/>
      <c r="D163" s="1334"/>
      <c r="E163" s="990"/>
      <c r="F163" s="16" t="s">
        <v>55</v>
      </c>
      <c r="G163" s="294">
        <v>74.900000000000006</v>
      </c>
      <c r="H163" s="162">
        <v>555.79999999999995</v>
      </c>
      <c r="I163" s="23">
        <v>554.5</v>
      </c>
      <c r="J163" s="973"/>
      <c r="K163" s="1087"/>
      <c r="L163" s="975"/>
      <c r="M163" s="1093"/>
      <c r="N163" s="13"/>
      <c r="O163" s="1001" t="s">
        <v>55</v>
      </c>
      <c r="P163" s="1141">
        <f>+G169+G188+G190+G193</f>
        <v>74.900000000000006</v>
      </c>
      <c r="Q163" s="1141">
        <f>+H169+H188+H190+H193</f>
        <v>555.79999999999995</v>
      </c>
      <c r="R163" s="1141">
        <f t="shared" ref="R163" si="7">+I169+I188+I190+I193</f>
        <v>554.5</v>
      </c>
    </row>
    <row r="164" spans="1:18" ht="15.65" customHeight="1" x14ac:dyDescent="0.25">
      <c r="A164" s="945"/>
      <c r="B164" s="956"/>
      <c r="C164" s="957"/>
      <c r="D164" s="979"/>
      <c r="E164" s="966"/>
      <c r="F164" s="16" t="s">
        <v>48</v>
      </c>
      <c r="G164" s="294">
        <v>3485</v>
      </c>
      <c r="H164" s="124"/>
      <c r="I164" s="23"/>
      <c r="J164" s="973"/>
      <c r="K164" s="1087"/>
      <c r="L164" s="975"/>
      <c r="M164" s="1094"/>
      <c r="N164" s="13"/>
      <c r="O164" s="1001" t="s">
        <v>48</v>
      </c>
      <c r="P164" s="1141">
        <f>+G168+G177</f>
        <v>3485</v>
      </c>
      <c r="Q164" s="1141">
        <f t="shared" ref="Q164:R164" si="8">+H168+H177</f>
        <v>0</v>
      </c>
      <c r="R164" s="1141">
        <f t="shared" si="8"/>
        <v>0</v>
      </c>
    </row>
    <row r="165" spans="1:18" ht="15.65" customHeight="1" x14ac:dyDescent="0.25">
      <c r="A165" s="945"/>
      <c r="B165" s="956"/>
      <c r="C165" s="957"/>
      <c r="D165" s="979"/>
      <c r="E165" s="966"/>
      <c r="F165" s="16" t="s">
        <v>57</v>
      </c>
      <c r="G165" s="294">
        <v>62</v>
      </c>
      <c r="H165" s="124"/>
      <c r="I165" s="23"/>
      <c r="J165" s="973"/>
      <c r="K165" s="1087"/>
      <c r="L165" s="975"/>
      <c r="M165" s="1094"/>
      <c r="N165" s="13"/>
      <c r="O165" s="1001" t="s">
        <v>57</v>
      </c>
      <c r="P165" s="1141">
        <f>+G189+G194</f>
        <v>62</v>
      </c>
      <c r="Q165" s="1141">
        <f t="shared" ref="Q165:R165" si="9">+H189+H194</f>
        <v>0</v>
      </c>
      <c r="R165" s="1141">
        <f t="shared" si="9"/>
        <v>0</v>
      </c>
    </row>
    <row r="166" spans="1:18" ht="15.65" customHeight="1" x14ac:dyDescent="0.25">
      <c r="A166" s="945"/>
      <c r="B166" s="956"/>
      <c r="C166" s="957"/>
      <c r="D166" s="979"/>
      <c r="E166" s="987"/>
      <c r="F166" s="16" t="s">
        <v>37</v>
      </c>
      <c r="G166" s="936">
        <v>525</v>
      </c>
      <c r="H166" s="109">
        <v>2975</v>
      </c>
      <c r="I166" s="23"/>
      <c r="J166" s="443"/>
      <c r="K166" s="1087"/>
      <c r="L166" s="329"/>
      <c r="M166" s="653"/>
      <c r="N166" s="13"/>
      <c r="O166" s="1001" t="s">
        <v>37</v>
      </c>
      <c r="P166" s="1141">
        <f>+G198+G202</f>
        <v>525</v>
      </c>
      <c r="Q166" s="1141">
        <f t="shared" ref="Q166:R166" si="10">+H198+H202</f>
        <v>2975</v>
      </c>
      <c r="R166" s="1141">
        <f t="shared" si="10"/>
        <v>0</v>
      </c>
    </row>
    <row r="167" spans="1:18" ht="18" customHeight="1" x14ac:dyDescent="0.25">
      <c r="A167" s="945"/>
      <c r="B167" s="956"/>
      <c r="C167" s="957"/>
      <c r="D167" s="1085" t="s">
        <v>42</v>
      </c>
      <c r="E167" s="966" t="s">
        <v>148</v>
      </c>
      <c r="F167" s="1026" t="s">
        <v>436</v>
      </c>
      <c r="G167" s="1004">
        <v>2050</v>
      </c>
      <c r="H167" s="1096">
        <v>5124.8999999999996</v>
      </c>
      <c r="I167" s="1097">
        <v>5393</v>
      </c>
      <c r="J167" s="431" t="s">
        <v>35</v>
      </c>
      <c r="K167" s="1086">
        <v>3.2</v>
      </c>
      <c r="L167" s="766">
        <v>3.2</v>
      </c>
      <c r="M167" s="764">
        <v>3.2</v>
      </c>
      <c r="O167" s="1001"/>
      <c r="P167" s="1141">
        <f>+P162+P163+P164+P165+P166</f>
        <v>9634.5</v>
      </c>
      <c r="Q167" s="1141">
        <f t="shared" ref="Q167:R167" si="11">+Q162+Q163+Q164+Q165+Q166</f>
        <v>13388.3</v>
      </c>
      <c r="R167" s="1141">
        <f t="shared" si="11"/>
        <v>8132.9</v>
      </c>
    </row>
    <row r="168" spans="1:18" ht="15.65" customHeight="1" x14ac:dyDescent="0.25">
      <c r="A168" s="945"/>
      <c r="B168" s="956"/>
      <c r="C168" s="957"/>
      <c r="D168" s="1254" t="s">
        <v>181</v>
      </c>
      <c r="E168" s="959" t="s">
        <v>131</v>
      </c>
      <c r="F168" s="1011" t="s">
        <v>437</v>
      </c>
      <c r="G168" s="1008">
        <v>3000</v>
      </c>
      <c r="H168" s="1009"/>
      <c r="I168" s="1010"/>
      <c r="J168" s="1255" t="s">
        <v>283</v>
      </c>
      <c r="K168" s="1257">
        <v>2</v>
      </c>
      <c r="L168" s="1265">
        <v>2</v>
      </c>
      <c r="M168" s="1240">
        <v>2</v>
      </c>
      <c r="O168" s="1001"/>
      <c r="P168" s="1141">
        <f>+P167-G206</f>
        <v>0</v>
      </c>
      <c r="Q168" s="1141">
        <f t="shared" ref="Q168:R168" si="12">+Q167-H206</f>
        <v>0</v>
      </c>
      <c r="R168" s="1141">
        <f t="shared" si="12"/>
        <v>0</v>
      </c>
    </row>
    <row r="169" spans="1:18" ht="15.65" customHeight="1" x14ac:dyDescent="0.25">
      <c r="A169" s="945"/>
      <c r="B169" s="956"/>
      <c r="C169" s="957"/>
      <c r="D169" s="1254"/>
      <c r="E169" s="959" t="s">
        <v>279</v>
      </c>
      <c r="F169" s="1011" t="s">
        <v>448</v>
      </c>
      <c r="G169" s="1008"/>
      <c r="H169" s="1009"/>
      <c r="I169" s="1010"/>
      <c r="J169" s="1256"/>
      <c r="K169" s="1258"/>
      <c r="L169" s="1266"/>
      <c r="M169" s="1241"/>
    </row>
    <row r="170" spans="1:18" ht="16" customHeight="1" x14ac:dyDescent="0.25">
      <c r="A170" s="945"/>
      <c r="B170" s="956"/>
      <c r="C170" s="957"/>
      <c r="D170" s="94" t="s">
        <v>182</v>
      </c>
      <c r="E170" s="959"/>
      <c r="F170" s="1023"/>
      <c r="G170" s="1098"/>
      <c r="H170" s="1098"/>
      <c r="I170" s="1035"/>
      <c r="J170" s="423" t="s">
        <v>284</v>
      </c>
      <c r="K170" s="762">
        <v>2</v>
      </c>
      <c r="L170" s="763">
        <v>2</v>
      </c>
      <c r="M170" s="761">
        <v>2</v>
      </c>
    </row>
    <row r="171" spans="1:18" ht="27.65" customHeight="1" x14ac:dyDescent="0.25">
      <c r="A171" s="945"/>
      <c r="B171" s="956"/>
      <c r="C171" s="957"/>
      <c r="D171" s="41" t="s">
        <v>183</v>
      </c>
      <c r="E171" s="959"/>
      <c r="F171" s="1011"/>
      <c r="G171" s="1012"/>
      <c r="H171" s="1009"/>
      <c r="I171" s="1010"/>
      <c r="J171" s="431" t="s">
        <v>77</v>
      </c>
      <c r="K171" s="765">
        <v>23</v>
      </c>
      <c r="L171" s="766">
        <v>23</v>
      </c>
      <c r="M171" s="764">
        <v>23</v>
      </c>
    </row>
    <row r="172" spans="1:18" ht="27.65" customHeight="1" x14ac:dyDescent="0.25">
      <c r="A172" s="945"/>
      <c r="B172" s="956"/>
      <c r="C172" s="957"/>
      <c r="D172" s="962" t="s">
        <v>184</v>
      </c>
      <c r="E172" s="959"/>
      <c r="F172" s="1011" t="s">
        <v>436</v>
      </c>
      <c r="G172" s="1099">
        <v>959.8</v>
      </c>
      <c r="H172" s="1033">
        <v>959.8</v>
      </c>
      <c r="I172" s="1034">
        <v>959.8</v>
      </c>
      <c r="J172" s="929" t="s">
        <v>419</v>
      </c>
      <c r="K172" s="935">
        <v>8</v>
      </c>
      <c r="L172" s="162">
        <v>8</v>
      </c>
      <c r="M172" s="15">
        <v>8</v>
      </c>
    </row>
    <row r="173" spans="1:18" ht="15.75" customHeight="1" x14ac:dyDescent="0.25">
      <c r="A173" s="945"/>
      <c r="B173" s="956"/>
      <c r="C173" s="957"/>
      <c r="D173" s="1242" t="s">
        <v>185</v>
      </c>
      <c r="E173" s="959"/>
      <c r="F173" s="1011" t="s">
        <v>436</v>
      </c>
      <c r="G173" s="1008"/>
      <c r="H173" s="1012">
        <v>22.1</v>
      </c>
      <c r="I173" s="1010">
        <v>22.1</v>
      </c>
      <c r="J173" s="1222" t="s">
        <v>115</v>
      </c>
      <c r="K173" s="789"/>
      <c r="L173" s="586">
        <v>1</v>
      </c>
      <c r="M173" s="587">
        <v>1</v>
      </c>
    </row>
    <row r="174" spans="1:18" ht="26.25" customHeight="1" x14ac:dyDescent="0.25">
      <c r="A174" s="945"/>
      <c r="B174" s="956"/>
      <c r="C174" s="957"/>
      <c r="D174" s="1233"/>
      <c r="E174" s="960"/>
      <c r="F174" s="1011"/>
      <c r="G174" s="1100"/>
      <c r="H174" s="1100"/>
      <c r="I174" s="1101"/>
      <c r="J174" s="1223"/>
      <c r="K174" s="301"/>
      <c r="L174" s="309"/>
      <c r="M174" s="87"/>
    </row>
    <row r="175" spans="1:18" ht="14.25" customHeight="1" x14ac:dyDescent="0.25">
      <c r="A175" s="945"/>
      <c r="B175" s="956"/>
      <c r="C175" s="957"/>
      <c r="D175" s="102" t="s">
        <v>83</v>
      </c>
      <c r="E175" s="966" t="s">
        <v>279</v>
      </c>
      <c r="F175" s="1026"/>
      <c r="G175" s="1102"/>
      <c r="H175" s="1102"/>
      <c r="I175" s="1103"/>
      <c r="J175" s="931"/>
      <c r="K175" s="367"/>
      <c r="L175" s="370"/>
      <c r="M175" s="245"/>
    </row>
    <row r="176" spans="1:18" ht="16.5" customHeight="1" x14ac:dyDescent="0.25">
      <c r="A176" s="945"/>
      <c r="B176" s="956"/>
      <c r="C176" s="957"/>
      <c r="D176" s="1243" t="s">
        <v>171</v>
      </c>
      <c r="E176" s="966" t="s">
        <v>148</v>
      </c>
      <c r="F176" s="1011" t="s">
        <v>436</v>
      </c>
      <c r="G176" s="1008">
        <v>1115</v>
      </c>
      <c r="H176" s="1009"/>
      <c r="I176" s="1010"/>
      <c r="J176" s="953" t="s">
        <v>82</v>
      </c>
      <c r="K176" s="298">
        <v>58</v>
      </c>
      <c r="L176" s="305"/>
      <c r="M176" s="644"/>
    </row>
    <row r="177" spans="1:14" ht="26.15" customHeight="1" x14ac:dyDescent="0.25">
      <c r="A177" s="945"/>
      <c r="B177" s="956"/>
      <c r="C177" s="957"/>
      <c r="D177" s="1244"/>
      <c r="E177" s="966"/>
      <c r="F177" s="1011" t="s">
        <v>437</v>
      </c>
      <c r="G177" s="1008">
        <v>485</v>
      </c>
      <c r="H177" s="1009"/>
      <c r="I177" s="1010"/>
      <c r="J177" s="968"/>
      <c r="K177" s="358"/>
      <c r="L177" s="361"/>
      <c r="M177" s="86"/>
    </row>
    <row r="178" spans="1:14" ht="27" customHeight="1" x14ac:dyDescent="0.25">
      <c r="A178" s="945"/>
      <c r="B178" s="956"/>
      <c r="C178" s="957"/>
      <c r="D178" s="1259" t="s">
        <v>84</v>
      </c>
      <c r="E178" s="966"/>
      <c r="F178" s="1011" t="s">
        <v>436</v>
      </c>
      <c r="G178" s="1008">
        <v>411.1</v>
      </c>
      <c r="H178" s="1009">
        <v>411.1</v>
      </c>
      <c r="I178" s="1043">
        <v>411.1</v>
      </c>
      <c r="J178" s="953" t="s">
        <v>420</v>
      </c>
      <c r="K178" s="368">
        <v>18</v>
      </c>
      <c r="L178" s="371">
        <v>18</v>
      </c>
      <c r="M178" s="1142">
        <v>18</v>
      </c>
    </row>
    <row r="179" spans="1:14" ht="14.25" customHeight="1" x14ac:dyDescent="0.25">
      <c r="A179" s="945"/>
      <c r="B179" s="956"/>
      <c r="C179" s="957"/>
      <c r="D179" s="1260"/>
      <c r="E179" s="966"/>
      <c r="F179" s="1011"/>
      <c r="G179" s="1012"/>
      <c r="H179" s="1009"/>
      <c r="I179" s="1043"/>
      <c r="J179" s="428"/>
      <c r="K179" s="358"/>
      <c r="L179" s="361"/>
      <c r="M179" s="246"/>
    </row>
    <row r="180" spans="1:14" ht="16.5" customHeight="1" x14ac:dyDescent="0.25">
      <c r="A180" s="945"/>
      <c r="B180" s="956"/>
      <c r="C180" s="957"/>
      <c r="D180" s="1261" t="s">
        <v>172</v>
      </c>
      <c r="E180" s="966" t="s">
        <v>131</v>
      </c>
      <c r="F180" s="1011" t="s">
        <v>436</v>
      </c>
      <c r="G180" s="1008">
        <f>222.4-122.4</f>
        <v>100</v>
      </c>
      <c r="H180" s="1012">
        <v>564.1</v>
      </c>
      <c r="I180" s="1010">
        <v>577.4</v>
      </c>
      <c r="J180" s="1222" t="s">
        <v>421</v>
      </c>
      <c r="K180" s="298">
        <v>22</v>
      </c>
      <c r="L180" s="381">
        <f>22+6</f>
        <v>28</v>
      </c>
      <c r="M180" s="91">
        <v>28</v>
      </c>
    </row>
    <row r="181" spans="1:14" ht="23.15" customHeight="1" x14ac:dyDescent="0.25">
      <c r="A181" s="945"/>
      <c r="B181" s="956"/>
      <c r="C181" s="957"/>
      <c r="D181" s="1262"/>
      <c r="F181" s="1013"/>
      <c r="G181" s="1045"/>
      <c r="H181" s="1045"/>
      <c r="I181" s="1064"/>
      <c r="J181" s="1223"/>
      <c r="K181" s="301"/>
      <c r="L181" s="309"/>
      <c r="M181" s="87"/>
    </row>
    <row r="182" spans="1:14" ht="16" customHeight="1" x14ac:dyDescent="0.25">
      <c r="A182" s="1230"/>
      <c r="B182" s="1216"/>
      <c r="C182" s="1231"/>
      <c r="D182" s="1192" t="s">
        <v>36</v>
      </c>
      <c r="E182" s="1263" t="s">
        <v>279</v>
      </c>
      <c r="F182" s="1011" t="s">
        <v>436</v>
      </c>
      <c r="G182" s="1012">
        <v>59.5</v>
      </c>
      <c r="H182" s="1012">
        <v>62</v>
      </c>
      <c r="I182" s="1043">
        <v>65</v>
      </c>
      <c r="J182" s="1268" t="s">
        <v>44</v>
      </c>
      <c r="K182" s="1270">
        <v>7</v>
      </c>
      <c r="L182" s="1272">
        <v>7</v>
      </c>
      <c r="M182" s="1274">
        <v>7</v>
      </c>
    </row>
    <row r="183" spans="1:14" ht="11.5" customHeight="1" x14ac:dyDescent="0.25">
      <c r="A183" s="1230"/>
      <c r="B183" s="1216"/>
      <c r="C183" s="1231"/>
      <c r="D183" s="1232"/>
      <c r="E183" s="1264"/>
      <c r="F183" s="1013"/>
      <c r="G183" s="1045"/>
      <c r="H183" s="1045"/>
      <c r="I183" s="1064"/>
      <c r="J183" s="1269"/>
      <c r="K183" s="1271"/>
      <c r="L183" s="1273"/>
      <c r="M183" s="1275"/>
    </row>
    <row r="184" spans="1:14" ht="15.65" customHeight="1" x14ac:dyDescent="0.25">
      <c r="A184" s="1230"/>
      <c r="B184" s="1276"/>
      <c r="C184" s="1231"/>
      <c r="D184" s="1277" t="s">
        <v>113</v>
      </c>
      <c r="E184" s="1263" t="s">
        <v>279</v>
      </c>
      <c r="F184" s="1026" t="s">
        <v>436</v>
      </c>
      <c r="G184" s="1054">
        <f>8+42+87</f>
        <v>137</v>
      </c>
      <c r="H184" s="1005">
        <v>141</v>
      </c>
      <c r="I184" s="1027">
        <v>150</v>
      </c>
      <c r="J184" s="931" t="s">
        <v>86</v>
      </c>
      <c r="K184" s="591">
        <v>3</v>
      </c>
      <c r="L184" s="592">
        <v>3</v>
      </c>
      <c r="M184" s="593">
        <v>3</v>
      </c>
    </row>
    <row r="185" spans="1:14" ht="15" customHeight="1" x14ac:dyDescent="0.25">
      <c r="A185" s="1230"/>
      <c r="B185" s="1276"/>
      <c r="C185" s="1231"/>
      <c r="D185" s="1239"/>
      <c r="E185" s="1264"/>
      <c r="F185" s="1011"/>
      <c r="G185" s="1012"/>
      <c r="H185" s="1009"/>
      <c r="I185" s="1043"/>
      <c r="J185" s="423" t="s">
        <v>175</v>
      </c>
      <c r="K185" s="594">
        <v>1</v>
      </c>
      <c r="L185" s="595">
        <v>1</v>
      </c>
      <c r="M185" s="596">
        <v>1</v>
      </c>
    </row>
    <row r="186" spans="1:14" ht="25.5" customHeight="1" x14ac:dyDescent="0.25">
      <c r="A186" s="945"/>
      <c r="B186" s="956"/>
      <c r="C186" s="957"/>
      <c r="D186" s="955"/>
      <c r="E186" s="1264"/>
      <c r="F186" s="1011"/>
      <c r="G186" s="1012"/>
      <c r="H186" s="1012"/>
      <c r="I186" s="1043"/>
      <c r="J186" s="933" t="s">
        <v>422</v>
      </c>
      <c r="K186" s="585">
        <v>1</v>
      </c>
      <c r="L186" s="586">
        <v>1</v>
      </c>
      <c r="M186" s="587">
        <v>1</v>
      </c>
    </row>
    <row r="187" spans="1:14" ht="15.65" customHeight="1" x14ac:dyDescent="0.25">
      <c r="A187" s="945"/>
      <c r="B187" s="956"/>
      <c r="C187" s="957"/>
      <c r="D187" s="955"/>
      <c r="E187" s="1267"/>
      <c r="F187" s="1013"/>
      <c r="G187" s="1045"/>
      <c r="H187" s="1045"/>
      <c r="I187" s="1064"/>
      <c r="J187" s="425" t="s">
        <v>176</v>
      </c>
      <c r="K187" s="597">
        <v>1</v>
      </c>
      <c r="L187" s="598">
        <v>1</v>
      </c>
      <c r="M187" s="599">
        <v>1</v>
      </c>
    </row>
    <row r="188" spans="1:14" ht="15.65" customHeight="1" x14ac:dyDescent="0.25">
      <c r="A188" s="950"/>
      <c r="B188" s="79"/>
      <c r="C188" s="948"/>
      <c r="D188" s="1192" t="s">
        <v>73</v>
      </c>
      <c r="E188" s="958" t="s">
        <v>98</v>
      </c>
      <c r="F188" s="1026" t="s">
        <v>448</v>
      </c>
      <c r="G188" s="1054">
        <v>24.5</v>
      </c>
      <c r="H188" s="1054">
        <v>24.5</v>
      </c>
      <c r="I188" s="1006">
        <v>24.5</v>
      </c>
      <c r="J188" s="931" t="s">
        <v>423</v>
      </c>
      <c r="K188" s="300">
        <v>5</v>
      </c>
      <c r="L188" s="308">
        <v>4</v>
      </c>
      <c r="M188" s="235">
        <v>4</v>
      </c>
    </row>
    <row r="189" spans="1:14" ht="15.65" customHeight="1" x14ac:dyDescent="0.25">
      <c r="A189" s="967"/>
      <c r="B189" s="956"/>
      <c r="C189" s="48"/>
      <c r="D189" s="1193"/>
      <c r="E189" s="959" t="s">
        <v>279</v>
      </c>
      <c r="F189" s="1011" t="s">
        <v>445</v>
      </c>
      <c r="G189" s="1008">
        <v>4.3</v>
      </c>
      <c r="H189" s="1009"/>
      <c r="I189" s="1010"/>
      <c r="J189" s="404"/>
      <c r="K189" s="504"/>
      <c r="L189" s="555"/>
      <c r="M189" s="603"/>
    </row>
    <row r="190" spans="1:14" ht="15.65" customHeight="1" x14ac:dyDescent="0.25">
      <c r="A190" s="967"/>
      <c r="B190" s="956"/>
      <c r="C190" s="48"/>
      <c r="D190" s="943"/>
      <c r="E190" s="959"/>
      <c r="F190" s="1013" t="s">
        <v>448</v>
      </c>
      <c r="G190" s="1014">
        <v>50.4</v>
      </c>
      <c r="H190" s="1015">
        <v>30</v>
      </c>
      <c r="I190" s="1016">
        <v>30</v>
      </c>
      <c r="J190" s="418" t="s">
        <v>268</v>
      </c>
      <c r="K190" s="499">
        <v>7</v>
      </c>
      <c r="L190" s="373">
        <v>4</v>
      </c>
      <c r="M190" s="602">
        <v>4</v>
      </c>
    </row>
    <row r="191" spans="1:14" ht="16" customHeight="1" x14ac:dyDescent="0.25">
      <c r="A191" s="950"/>
      <c r="B191" s="79"/>
      <c r="C191" s="134"/>
      <c r="D191" s="1186" t="s">
        <v>105</v>
      </c>
      <c r="E191" s="958" t="s">
        <v>279</v>
      </c>
      <c r="F191" s="1025" t="s">
        <v>436</v>
      </c>
      <c r="G191" s="1071"/>
      <c r="H191" s="1017">
        <v>360</v>
      </c>
      <c r="I191" s="1043"/>
      <c r="J191" s="419" t="s">
        <v>308</v>
      </c>
      <c r="K191" s="988"/>
      <c r="L191" s="781">
        <v>100</v>
      </c>
      <c r="M191" s="548"/>
    </row>
    <row r="192" spans="1:14" ht="16" customHeight="1" x14ac:dyDescent="0.25">
      <c r="A192" s="44"/>
      <c r="B192" s="79"/>
      <c r="C192" s="546"/>
      <c r="D192" s="1187"/>
      <c r="E192" s="987" t="s">
        <v>148</v>
      </c>
      <c r="F192" s="1105"/>
      <c r="G192" s="1073"/>
      <c r="H192" s="1106"/>
      <c r="I192" s="1063"/>
      <c r="J192" s="168"/>
      <c r="K192" s="229"/>
      <c r="L192" s="304"/>
      <c r="M192" s="547"/>
      <c r="N192" s="869"/>
    </row>
    <row r="193" spans="1:15" ht="15" customHeight="1" x14ac:dyDescent="0.25">
      <c r="A193" s="945"/>
      <c r="B193" s="956"/>
      <c r="C193" s="50"/>
      <c r="D193" s="1186" t="s">
        <v>193</v>
      </c>
      <c r="E193" s="752" t="s">
        <v>223</v>
      </c>
      <c r="F193" s="1026" t="s">
        <v>448</v>
      </c>
      <c r="G193" s="1004"/>
      <c r="H193" s="1005">
        <v>501.3</v>
      </c>
      <c r="I193" s="1006">
        <v>500</v>
      </c>
      <c r="J193" s="419" t="s">
        <v>39</v>
      </c>
      <c r="K193" s="365">
        <v>1</v>
      </c>
      <c r="L193" s="372"/>
      <c r="M193" s="502"/>
    </row>
    <row r="194" spans="1:15" ht="15" customHeight="1" x14ac:dyDescent="0.25">
      <c r="A194" s="945"/>
      <c r="B194" s="956"/>
      <c r="C194" s="50"/>
      <c r="D194" s="1187"/>
      <c r="E194" s="752" t="s">
        <v>279</v>
      </c>
      <c r="F194" s="1011" t="s">
        <v>445</v>
      </c>
      <c r="G194" s="1146">
        <v>57.7</v>
      </c>
      <c r="H194" s="1009"/>
      <c r="I194" s="1010"/>
      <c r="J194" s="454" t="s">
        <v>308</v>
      </c>
      <c r="K194" s="600"/>
      <c r="L194" s="710">
        <v>50</v>
      </c>
      <c r="M194" s="712">
        <v>100</v>
      </c>
    </row>
    <row r="195" spans="1:15" ht="15" customHeight="1" x14ac:dyDescent="0.25">
      <c r="A195" s="945"/>
      <c r="B195" s="956"/>
      <c r="C195" s="50"/>
      <c r="D195" s="1187"/>
      <c r="E195" s="752" t="s">
        <v>40</v>
      </c>
      <c r="F195" s="1011"/>
      <c r="G195" s="1008"/>
      <c r="H195" s="1012"/>
      <c r="I195" s="1043"/>
      <c r="J195" s="404"/>
      <c r="K195" s="504"/>
      <c r="L195" s="507"/>
      <c r="M195" s="709"/>
    </row>
    <row r="196" spans="1:15" ht="15" customHeight="1" x14ac:dyDescent="0.25">
      <c r="A196" s="945"/>
      <c r="B196" s="956"/>
      <c r="C196" s="50"/>
      <c r="D196" s="1221"/>
      <c r="E196" s="752" t="s">
        <v>148</v>
      </c>
      <c r="F196" s="1072"/>
      <c r="G196" s="1001"/>
      <c r="H196" s="1015"/>
      <c r="I196" s="1064"/>
      <c r="J196" s="168"/>
      <c r="K196" s="1"/>
      <c r="L196" s="604"/>
      <c r="M196" s="547"/>
    </row>
    <row r="197" spans="1:15" ht="15" customHeight="1" x14ac:dyDescent="0.25">
      <c r="A197" s="945"/>
      <c r="B197" s="956"/>
      <c r="C197" s="957"/>
      <c r="D197" s="1282" t="s">
        <v>306</v>
      </c>
      <c r="E197" s="808" t="s">
        <v>223</v>
      </c>
      <c r="F197" s="1075" t="s">
        <v>436</v>
      </c>
      <c r="G197" s="1004">
        <f>2250-1687.5</f>
        <v>562.5</v>
      </c>
      <c r="H197" s="1009">
        <v>1687.5</v>
      </c>
      <c r="I197" s="1006"/>
      <c r="J197" s="788" t="s">
        <v>321</v>
      </c>
      <c r="K197" s="311">
        <v>100</v>
      </c>
      <c r="L197" s="372">
        <v>100</v>
      </c>
      <c r="M197" s="505"/>
    </row>
    <row r="198" spans="1:15" ht="15" customHeight="1" x14ac:dyDescent="0.25">
      <c r="A198" s="945"/>
      <c r="B198" s="956"/>
      <c r="C198" s="957"/>
      <c r="D198" s="1283"/>
      <c r="E198" s="990" t="s">
        <v>224</v>
      </c>
      <c r="F198" s="1011" t="s">
        <v>449</v>
      </c>
      <c r="G198" s="1008"/>
      <c r="H198" s="1009"/>
      <c r="I198" s="1043"/>
      <c r="J198" s="404"/>
      <c r="K198" s="504"/>
      <c r="L198" s="507"/>
      <c r="M198" s="505"/>
    </row>
    <row r="199" spans="1:15" ht="15" customHeight="1" x14ac:dyDescent="0.25">
      <c r="A199" s="945"/>
      <c r="B199" s="956"/>
      <c r="C199" s="957"/>
      <c r="D199" s="1283"/>
      <c r="E199" s="959" t="s">
        <v>277</v>
      </c>
      <c r="F199" s="1011"/>
      <c r="G199" s="1043"/>
      <c r="H199" s="1009"/>
      <c r="I199" s="1043"/>
      <c r="J199" s="404"/>
      <c r="K199" s="504"/>
      <c r="L199" s="507"/>
      <c r="M199" s="505"/>
    </row>
    <row r="200" spans="1:15" ht="15" customHeight="1" x14ac:dyDescent="0.25">
      <c r="A200" s="945"/>
      <c r="B200" s="956"/>
      <c r="C200" s="957"/>
      <c r="D200" s="1283"/>
      <c r="E200" s="959" t="s">
        <v>148</v>
      </c>
      <c r="F200" s="1011"/>
      <c r="G200" s="1043"/>
      <c r="H200" s="1009"/>
      <c r="I200" s="1043"/>
      <c r="J200" s="404"/>
      <c r="K200" s="504"/>
      <c r="L200" s="507"/>
      <c r="M200" s="505"/>
    </row>
    <row r="201" spans="1:15" ht="15" customHeight="1" x14ac:dyDescent="0.25">
      <c r="A201" s="945"/>
      <c r="B201" s="956"/>
      <c r="C201" s="50"/>
      <c r="D201" s="1186" t="s">
        <v>458</v>
      </c>
      <c r="E201" s="808" t="s">
        <v>223</v>
      </c>
      <c r="F201" s="1026" t="s">
        <v>436</v>
      </c>
      <c r="G201" s="1004">
        <v>92.7</v>
      </c>
      <c r="H201" s="1005">
        <v>525</v>
      </c>
      <c r="I201" s="1006"/>
      <c r="J201" s="419" t="s">
        <v>269</v>
      </c>
      <c r="K201" s="365"/>
      <c r="L201" s="372">
        <v>6</v>
      </c>
      <c r="M201" s="991"/>
    </row>
    <row r="202" spans="1:15" ht="14.15" customHeight="1" x14ac:dyDescent="0.25">
      <c r="A202" s="945"/>
      <c r="B202" s="956"/>
      <c r="C202" s="50"/>
      <c r="D202" s="1187"/>
      <c r="E202" s="959" t="s">
        <v>148</v>
      </c>
      <c r="F202" s="1011" t="s">
        <v>449</v>
      </c>
      <c r="G202" s="1008">
        <v>525</v>
      </c>
      <c r="H202" s="1009">
        <v>2975</v>
      </c>
      <c r="I202" s="1010"/>
      <c r="J202" s="404"/>
      <c r="K202" s="504"/>
      <c r="L202" s="507"/>
      <c r="M202" s="505"/>
      <c r="N202" s="13"/>
      <c r="O202" s="13"/>
    </row>
    <row r="203" spans="1:15" ht="12.65" customHeight="1" x14ac:dyDescent="0.25">
      <c r="A203" s="945"/>
      <c r="B203" s="956"/>
      <c r="C203" s="50"/>
      <c r="D203" s="1187"/>
      <c r="E203" s="959" t="s">
        <v>40</v>
      </c>
      <c r="F203" s="1011"/>
      <c r="G203" s="1043"/>
      <c r="H203" s="1009"/>
      <c r="I203" s="1043"/>
      <c r="J203" s="404"/>
      <c r="K203" s="504"/>
      <c r="L203" s="507"/>
      <c r="M203" s="505"/>
    </row>
    <row r="204" spans="1:15" ht="11.5" customHeight="1" x14ac:dyDescent="0.25">
      <c r="A204" s="945"/>
      <c r="B204" s="956"/>
      <c r="C204" s="50"/>
      <c r="D204" s="1187"/>
      <c r="E204" s="959" t="s">
        <v>277</v>
      </c>
      <c r="F204" s="1011"/>
      <c r="G204" s="1043"/>
      <c r="H204" s="1009"/>
      <c r="I204" s="1043"/>
      <c r="J204" s="404"/>
      <c r="K204" s="504"/>
      <c r="L204" s="507"/>
      <c r="M204" s="505"/>
    </row>
    <row r="205" spans="1:15" ht="15" customHeight="1" x14ac:dyDescent="0.25">
      <c r="A205" s="945"/>
      <c r="B205" s="956"/>
      <c r="C205" s="50"/>
      <c r="D205" s="1187"/>
      <c r="E205" s="959" t="s">
        <v>224</v>
      </c>
      <c r="F205" s="1011"/>
      <c r="G205" s="1043"/>
      <c r="H205" s="1009"/>
      <c r="I205" s="1043"/>
      <c r="J205" s="404"/>
      <c r="K205" s="504"/>
      <c r="L205" s="507"/>
      <c r="M205" s="505"/>
    </row>
    <row r="206" spans="1:15" ht="15" customHeight="1" thickBot="1" x14ac:dyDescent="0.3">
      <c r="A206" s="63"/>
      <c r="B206" s="35"/>
      <c r="C206" s="989"/>
      <c r="D206" s="819"/>
      <c r="E206" s="817"/>
      <c r="F206" s="138" t="s">
        <v>4</v>
      </c>
      <c r="G206" s="986">
        <f>+G162+G163+G164+G165+G166</f>
        <v>9634.5</v>
      </c>
      <c r="H206" s="986">
        <f t="shared" ref="H206:I206" si="13">+H162+H163+H164+H165+H166</f>
        <v>13388.3</v>
      </c>
      <c r="I206" s="986">
        <f t="shared" si="13"/>
        <v>8132.9</v>
      </c>
      <c r="J206" s="821"/>
      <c r="K206" s="823"/>
      <c r="L206" s="824"/>
      <c r="M206" s="822"/>
    </row>
    <row r="207" spans="1:15" ht="15" customHeight="1" thickBot="1" x14ac:dyDescent="0.3">
      <c r="A207" s="21" t="s">
        <v>3</v>
      </c>
      <c r="B207" s="37" t="s">
        <v>5</v>
      </c>
      <c r="C207" s="1245" t="s">
        <v>6</v>
      </c>
      <c r="D207" s="1246"/>
      <c r="E207" s="1246"/>
      <c r="F207" s="1247"/>
      <c r="G207" s="127">
        <f t="shared" ref="G207:I207" si="14">G206</f>
        <v>9634.5</v>
      </c>
      <c r="H207" s="37">
        <f t="shared" si="14"/>
        <v>13388.3</v>
      </c>
      <c r="I207" s="457">
        <f t="shared" si="14"/>
        <v>8132.9</v>
      </c>
      <c r="J207" s="1248"/>
      <c r="K207" s="1249"/>
      <c r="L207" s="1249"/>
      <c r="M207" s="1250"/>
    </row>
    <row r="208" spans="1:15" ht="15" customHeight="1" thickBot="1" x14ac:dyDescent="0.3">
      <c r="A208" s="19" t="s">
        <v>3</v>
      </c>
      <c r="B208" s="37" t="s">
        <v>24</v>
      </c>
      <c r="C208" s="1278" t="s">
        <v>70</v>
      </c>
      <c r="D208" s="1279"/>
      <c r="E208" s="1279"/>
      <c r="F208" s="1279"/>
      <c r="G208" s="1279"/>
      <c r="H208" s="1279"/>
      <c r="I208" s="1279"/>
      <c r="J208" s="1279"/>
      <c r="K208" s="1279"/>
      <c r="L208" s="1279"/>
      <c r="M208" s="1280"/>
    </row>
    <row r="209" spans="1:18" ht="15.65" customHeight="1" x14ac:dyDescent="0.25">
      <c r="A209" s="75" t="s">
        <v>3</v>
      </c>
      <c r="B209" s="36" t="s">
        <v>24</v>
      </c>
      <c r="C209" s="46" t="s">
        <v>3</v>
      </c>
      <c r="D209" s="1333" t="s">
        <v>68</v>
      </c>
      <c r="E209" s="946" t="s">
        <v>98</v>
      </c>
      <c r="F209" s="913" t="s">
        <v>21</v>
      </c>
      <c r="G209" s="1095">
        <v>773.5</v>
      </c>
      <c r="H209" s="858">
        <v>778.2</v>
      </c>
      <c r="I209" s="908">
        <v>783.3</v>
      </c>
      <c r="J209" s="1107"/>
      <c r="K209" s="1095"/>
      <c r="L209" s="858"/>
      <c r="M209" s="254"/>
      <c r="O209" s="1001" t="s">
        <v>21</v>
      </c>
      <c r="P209" s="1141" t="e">
        <f>+G214+G215+#REF!+G216+G217+G226+G230+G232</f>
        <v>#REF!</v>
      </c>
      <c r="Q209" s="1141" t="e">
        <f>+H214+H215+#REF!+H216+H217+H226+H230+H232</f>
        <v>#REF!</v>
      </c>
      <c r="R209" s="1141" t="e">
        <f>+I214+I215+#REF!+I216+I217+I226+I230+I232</f>
        <v>#REF!</v>
      </c>
    </row>
    <row r="210" spans="1:18" ht="15.65" customHeight="1" x14ac:dyDescent="0.25">
      <c r="A210" s="945"/>
      <c r="B210" s="956"/>
      <c r="C210" s="957"/>
      <c r="D210" s="1334"/>
      <c r="E210" s="946"/>
      <c r="F210" s="16" t="s">
        <v>55</v>
      </c>
      <c r="G210" s="294">
        <v>768.9</v>
      </c>
      <c r="H210" s="162">
        <v>882</v>
      </c>
      <c r="I210" s="23">
        <v>982</v>
      </c>
      <c r="J210" s="949"/>
      <c r="K210" s="294"/>
      <c r="L210" s="162"/>
      <c r="M210" s="445"/>
      <c r="O210" s="1001" t="s">
        <v>55</v>
      </c>
      <c r="P210" s="1141">
        <f>+G213+G223+G228+G234+G235+G224</f>
        <v>768.9</v>
      </c>
      <c r="Q210" s="1141">
        <f>+H213+H223+H228+H234+H235+H224</f>
        <v>882</v>
      </c>
      <c r="R210" s="1141">
        <f>+I213+I223+I228+I234+I235+I224</f>
        <v>982</v>
      </c>
    </row>
    <row r="211" spans="1:18" ht="15.65" customHeight="1" x14ac:dyDescent="0.25">
      <c r="A211" s="945"/>
      <c r="B211" s="956"/>
      <c r="C211" s="957"/>
      <c r="D211" s="1334"/>
      <c r="E211" s="946"/>
      <c r="F211" s="16" t="s">
        <v>64</v>
      </c>
      <c r="G211" s="294">
        <v>309.7</v>
      </c>
      <c r="H211" s="23">
        <v>904</v>
      </c>
      <c r="I211" s="445">
        <v>670</v>
      </c>
      <c r="J211" s="949"/>
      <c r="K211" s="124"/>
      <c r="L211" s="162"/>
      <c r="M211" s="445"/>
      <c r="O211" s="1001" t="s">
        <v>64</v>
      </c>
      <c r="P211" s="1141" t="e">
        <f>+#REF!+G218+G219+G220+G221+G222</f>
        <v>#REF!</v>
      </c>
      <c r="Q211" s="1141" t="e">
        <f>+#REF!+H218+H219+H220+H221+H222</f>
        <v>#REF!</v>
      </c>
      <c r="R211" s="1141" t="e">
        <f>+#REF!+I218+I219+I220+I221+I222</f>
        <v>#REF!</v>
      </c>
    </row>
    <row r="212" spans="1:18" ht="15.65" customHeight="1" x14ac:dyDescent="0.25">
      <c r="A212" s="945"/>
      <c r="B212" s="956"/>
      <c r="C212" s="957"/>
      <c r="D212" s="1335"/>
      <c r="E212" s="946"/>
      <c r="F212" s="77" t="s">
        <v>57</v>
      </c>
      <c r="G212" s="294">
        <v>97.7</v>
      </c>
      <c r="H212" s="23"/>
      <c r="I212" s="242"/>
      <c r="J212" s="932"/>
      <c r="K212" s="124"/>
      <c r="L212" s="162"/>
      <c r="M212" s="242"/>
      <c r="O212" s="1001" t="s">
        <v>57</v>
      </c>
      <c r="P212" s="1141">
        <f>+G229</f>
        <v>97.7</v>
      </c>
      <c r="Q212" s="1141">
        <f t="shared" ref="Q212:R212" si="15">+H229</f>
        <v>0</v>
      </c>
      <c r="R212" s="1141">
        <f t="shared" si="15"/>
        <v>0</v>
      </c>
    </row>
    <row r="213" spans="1:18" ht="25.5" customHeight="1" x14ac:dyDescent="0.25">
      <c r="A213" s="945"/>
      <c r="B213" s="956"/>
      <c r="C213" s="957"/>
      <c r="D213" s="1186" t="s">
        <v>66</v>
      </c>
      <c r="E213" s="958" t="s">
        <v>148</v>
      </c>
      <c r="F213" s="1026" t="s">
        <v>448</v>
      </c>
      <c r="G213" s="1004">
        <v>39.299999999999997</v>
      </c>
      <c r="H213" s="1005"/>
      <c r="I213" s="1006"/>
      <c r="J213" s="404" t="s">
        <v>71</v>
      </c>
      <c r="K213" s="137">
        <v>16.100000000000001</v>
      </c>
      <c r="L213" s="137">
        <v>16.8</v>
      </c>
      <c r="M213" s="112">
        <v>17.600000000000001</v>
      </c>
      <c r="O213" s="1001"/>
      <c r="P213" s="1141" t="e">
        <f>+P209+P210+P211+P212</f>
        <v>#REF!</v>
      </c>
      <c r="Q213" s="1141" t="e">
        <f t="shared" ref="Q213:R213" si="16">+Q209+Q210+Q211+Q212</f>
        <v>#REF!</v>
      </c>
      <c r="R213" s="1141" t="e">
        <f t="shared" si="16"/>
        <v>#REF!</v>
      </c>
    </row>
    <row r="214" spans="1:18" ht="15.65" customHeight="1" x14ac:dyDescent="0.25">
      <c r="A214" s="945"/>
      <c r="B214" s="956"/>
      <c r="C214" s="957"/>
      <c r="D214" s="1187"/>
      <c r="E214" s="959" t="s">
        <v>279</v>
      </c>
      <c r="F214" s="1011" t="s">
        <v>436</v>
      </c>
      <c r="G214" s="1008">
        <v>15.7</v>
      </c>
      <c r="H214" s="1009">
        <v>55</v>
      </c>
      <c r="I214" s="1010">
        <v>55</v>
      </c>
      <c r="J214" s="1222" t="s">
        <v>285</v>
      </c>
      <c r="K214" s="332">
        <v>2</v>
      </c>
      <c r="L214" s="338">
        <v>2</v>
      </c>
      <c r="M214" s="244">
        <v>2</v>
      </c>
      <c r="O214" s="1001"/>
      <c r="P214" s="1141" t="e">
        <f>+P213-G236</f>
        <v>#REF!</v>
      </c>
      <c r="Q214" s="1141" t="e">
        <f>+Q213-H236</f>
        <v>#REF!</v>
      </c>
      <c r="R214" s="1141" t="e">
        <f>+R213-I236</f>
        <v>#REF!</v>
      </c>
    </row>
    <row r="215" spans="1:18" ht="7.5" customHeight="1" x14ac:dyDescent="0.25">
      <c r="A215" s="945"/>
      <c r="B215" s="956"/>
      <c r="C215" s="957"/>
      <c r="D215" s="1187"/>
      <c r="E215" s="151"/>
      <c r="F215" s="1011" t="s">
        <v>436</v>
      </c>
      <c r="G215" s="1008">
        <v>19.8</v>
      </c>
      <c r="H215" s="1009">
        <v>22</v>
      </c>
      <c r="I215" s="1010">
        <v>22</v>
      </c>
      <c r="J215" s="1284"/>
      <c r="L215" s="361"/>
      <c r="M215" s="981"/>
    </row>
    <row r="216" spans="1:18" ht="16.5" customHeight="1" x14ac:dyDescent="0.25">
      <c r="A216" s="945"/>
      <c r="B216" s="956"/>
      <c r="C216" s="957"/>
      <c r="D216" s="943"/>
      <c r="E216" s="151"/>
      <c r="F216" s="1011" t="s">
        <v>436</v>
      </c>
      <c r="G216" s="1008">
        <v>70</v>
      </c>
      <c r="H216" s="1009"/>
      <c r="I216" s="1010"/>
      <c r="J216" s="417" t="s">
        <v>32</v>
      </c>
      <c r="K216" s="595">
        <v>95</v>
      </c>
      <c r="L216" s="306">
        <v>97</v>
      </c>
      <c r="M216" s="237">
        <v>102</v>
      </c>
    </row>
    <row r="217" spans="1:18" ht="27.65" customHeight="1" x14ac:dyDescent="0.25">
      <c r="A217" s="945"/>
      <c r="B217" s="956"/>
      <c r="C217" s="957"/>
      <c r="D217" s="943"/>
      <c r="E217" s="151"/>
      <c r="F217" s="1023" t="s">
        <v>436</v>
      </c>
      <c r="G217" s="1099">
        <f>128.4-86.2+0.6</f>
        <v>42.8</v>
      </c>
      <c r="H217" s="1108">
        <v>42.8</v>
      </c>
      <c r="I217" s="1109"/>
      <c r="J217" s="417" t="s">
        <v>166</v>
      </c>
      <c r="K217" s="306">
        <v>4</v>
      </c>
      <c r="L217" s="306">
        <v>4</v>
      </c>
      <c r="M217" s="180"/>
    </row>
    <row r="218" spans="1:18" ht="32.15" customHeight="1" x14ac:dyDescent="0.25">
      <c r="A218" s="945"/>
      <c r="B218" s="956"/>
      <c r="C218" s="957"/>
      <c r="D218" s="943"/>
      <c r="E218" s="96"/>
      <c r="F218" s="1011" t="s">
        <v>443</v>
      </c>
      <c r="G218" s="1008">
        <v>9</v>
      </c>
      <c r="H218" s="1009"/>
      <c r="I218" s="1010"/>
      <c r="J218" s="417" t="s">
        <v>424</v>
      </c>
      <c r="K218" s="332">
        <v>1</v>
      </c>
      <c r="L218" s="338"/>
      <c r="M218" s="108"/>
    </row>
    <row r="219" spans="1:18" ht="30.65" customHeight="1" x14ac:dyDescent="0.25">
      <c r="A219" s="945"/>
      <c r="B219" s="956"/>
      <c r="C219" s="957"/>
      <c r="D219" s="943"/>
      <c r="E219" s="96"/>
      <c r="F219" s="1011" t="s">
        <v>443</v>
      </c>
      <c r="G219" s="1008"/>
      <c r="H219" s="1009">
        <v>200</v>
      </c>
      <c r="I219" s="1010"/>
      <c r="J219" s="417" t="s">
        <v>425</v>
      </c>
      <c r="K219" s="585"/>
      <c r="L219" s="586">
        <v>100</v>
      </c>
      <c r="M219" s="108"/>
    </row>
    <row r="220" spans="1:18" ht="17.149999999999999" customHeight="1" x14ac:dyDescent="0.25">
      <c r="A220" s="945"/>
      <c r="B220" s="956"/>
      <c r="C220" s="957"/>
      <c r="D220" s="943"/>
      <c r="E220" s="96"/>
      <c r="F220" s="1011" t="s">
        <v>443</v>
      </c>
      <c r="G220" s="1008">
        <v>75</v>
      </c>
      <c r="H220" s="1009">
        <v>70</v>
      </c>
      <c r="I220" s="1010">
        <v>70</v>
      </c>
      <c r="J220" s="404" t="s">
        <v>39</v>
      </c>
      <c r="K220" s="585">
        <v>8</v>
      </c>
      <c r="L220" s="586">
        <v>8</v>
      </c>
      <c r="M220" s="587">
        <v>8</v>
      </c>
    </row>
    <row r="221" spans="1:18" ht="18" customHeight="1" x14ac:dyDescent="0.25">
      <c r="A221" s="945"/>
      <c r="B221" s="956"/>
      <c r="C221" s="957"/>
      <c r="D221" s="942"/>
      <c r="E221" s="753"/>
      <c r="F221" s="1013" t="s">
        <v>443</v>
      </c>
      <c r="G221" s="1014">
        <v>25.7</v>
      </c>
      <c r="H221" s="1015">
        <v>434</v>
      </c>
      <c r="I221" s="1016">
        <v>400</v>
      </c>
      <c r="J221" s="418" t="s">
        <v>122</v>
      </c>
      <c r="K221" s="597">
        <v>1</v>
      </c>
      <c r="L221" s="598">
        <v>8</v>
      </c>
      <c r="M221" s="239">
        <v>8</v>
      </c>
    </row>
    <row r="222" spans="1:18" ht="15" customHeight="1" x14ac:dyDescent="0.25">
      <c r="A222" s="945"/>
      <c r="B222" s="956"/>
      <c r="C222" s="957"/>
      <c r="D222" s="941" t="s">
        <v>51</v>
      </c>
      <c r="E222" s="959" t="s">
        <v>279</v>
      </c>
      <c r="F222" s="1011" t="s">
        <v>443</v>
      </c>
      <c r="G222" s="1004">
        <v>100</v>
      </c>
      <c r="H222" s="1009">
        <v>100</v>
      </c>
      <c r="I222" s="1006">
        <v>100</v>
      </c>
      <c r="J222" s="404" t="s">
        <v>58</v>
      </c>
      <c r="K222" s="507">
        <v>0.8</v>
      </c>
      <c r="L222" s="372">
        <v>0.8</v>
      </c>
      <c r="M222" s="505">
        <v>0.8</v>
      </c>
    </row>
    <row r="223" spans="1:18" ht="15" customHeight="1" x14ac:dyDescent="0.25">
      <c r="A223" s="945"/>
      <c r="B223" s="956"/>
      <c r="C223" s="957"/>
      <c r="D223" s="941"/>
      <c r="E223" s="960" t="s">
        <v>148</v>
      </c>
      <c r="F223" s="1013" t="s">
        <v>448</v>
      </c>
      <c r="G223" s="1014">
        <v>18</v>
      </c>
      <c r="H223" s="1015">
        <v>18</v>
      </c>
      <c r="I223" s="1016">
        <v>18</v>
      </c>
      <c r="J223" s="404"/>
      <c r="K223" s="305"/>
      <c r="L223" s="305"/>
      <c r="M223" s="86"/>
    </row>
    <row r="224" spans="1:18" ht="15.65" customHeight="1" x14ac:dyDescent="0.25">
      <c r="A224" s="945"/>
      <c r="B224" s="956"/>
      <c r="C224" s="957"/>
      <c r="D224" s="1281" t="s">
        <v>72</v>
      </c>
      <c r="E224" s="958" t="s">
        <v>279</v>
      </c>
      <c r="F224" s="1026" t="s">
        <v>448</v>
      </c>
      <c r="G224" s="1004">
        <v>8</v>
      </c>
      <c r="H224" s="1005">
        <v>8</v>
      </c>
      <c r="I224" s="1055">
        <v>8</v>
      </c>
      <c r="J224" s="1213" t="s">
        <v>188</v>
      </c>
      <c r="K224" s="300">
        <v>14</v>
      </c>
      <c r="L224" s="308">
        <v>14</v>
      </c>
      <c r="M224" s="85">
        <v>14</v>
      </c>
    </row>
    <row r="225" spans="1:18" ht="15.65" customHeight="1" x14ac:dyDescent="0.25">
      <c r="A225" s="967"/>
      <c r="B225" s="956"/>
      <c r="C225" s="50"/>
      <c r="D225" s="1262"/>
      <c r="E225" s="960" t="s">
        <v>315</v>
      </c>
      <c r="F225" s="1013"/>
      <c r="G225" s="1012"/>
      <c r="H225" s="1015"/>
      <c r="I225" s="1016"/>
      <c r="J225" s="1223"/>
      <c r="K225" s="742"/>
      <c r="L225" s="309"/>
      <c r="M225" s="243"/>
    </row>
    <row r="226" spans="1:18" ht="15.65" customHeight="1" x14ac:dyDescent="0.25">
      <c r="A226" s="967"/>
      <c r="B226" s="956"/>
      <c r="C226" s="48"/>
      <c r="D226" s="1186" t="s">
        <v>81</v>
      </c>
      <c r="E226" s="959" t="s">
        <v>279</v>
      </c>
      <c r="F226" s="1011" t="s">
        <v>436</v>
      </c>
      <c r="G226" s="1004">
        <v>75</v>
      </c>
      <c r="H226" s="1005">
        <v>75</v>
      </c>
      <c r="I226" s="1006">
        <v>75</v>
      </c>
      <c r="J226" s="419" t="s">
        <v>189</v>
      </c>
      <c r="K226" s="323">
        <v>10</v>
      </c>
      <c r="L226" s="314">
        <v>10</v>
      </c>
      <c r="M226" s="234">
        <v>10</v>
      </c>
    </row>
    <row r="227" spans="1:18" ht="15.65" customHeight="1" x14ac:dyDescent="0.25">
      <c r="A227" s="967"/>
      <c r="B227" s="956"/>
      <c r="C227" s="48"/>
      <c r="D227" s="1221"/>
      <c r="E227" s="960" t="s">
        <v>315</v>
      </c>
      <c r="F227" s="1011"/>
      <c r="G227" s="1012"/>
      <c r="H227" s="1009"/>
      <c r="I227" s="1043"/>
      <c r="J227" s="404"/>
      <c r="K227" s="325"/>
      <c r="L227" s="646"/>
      <c r="M227" s="715"/>
    </row>
    <row r="228" spans="1:18" ht="15.65" customHeight="1" x14ac:dyDescent="0.25">
      <c r="A228" s="945"/>
      <c r="B228" s="956"/>
      <c r="C228" s="957"/>
      <c r="D228" s="1192" t="s">
        <v>67</v>
      </c>
      <c r="E228" s="958" t="s">
        <v>279</v>
      </c>
      <c r="F228" s="1026" t="s">
        <v>448</v>
      </c>
      <c r="G228" s="1054">
        <f>727.4-79</f>
        <v>648.4</v>
      </c>
      <c r="H228" s="1005">
        <v>800</v>
      </c>
      <c r="I228" s="1027">
        <v>900</v>
      </c>
      <c r="J228" s="419" t="s">
        <v>76</v>
      </c>
      <c r="K228" s="767">
        <v>173</v>
      </c>
      <c r="L228" s="314">
        <v>173</v>
      </c>
      <c r="M228" s="234">
        <v>173</v>
      </c>
    </row>
    <row r="229" spans="1:18" ht="15.65" customHeight="1" x14ac:dyDescent="0.25">
      <c r="A229" s="967"/>
      <c r="B229" s="956"/>
      <c r="C229" s="50"/>
      <c r="D229" s="1233"/>
      <c r="E229" s="960" t="s">
        <v>148</v>
      </c>
      <c r="F229" s="1013" t="s">
        <v>445</v>
      </c>
      <c r="G229" s="1045">
        <f>106.4-8.7</f>
        <v>97.7</v>
      </c>
      <c r="H229" s="1015"/>
      <c r="I229" s="1064"/>
      <c r="J229" s="411"/>
      <c r="K229" s="508"/>
      <c r="L229" s="508"/>
      <c r="M229" s="233"/>
    </row>
    <row r="230" spans="1:18" ht="15.65" customHeight="1" x14ac:dyDescent="0.25">
      <c r="A230" s="1230"/>
      <c r="B230" s="1216"/>
      <c r="C230" s="1294"/>
      <c r="D230" s="1277" t="s">
        <v>333</v>
      </c>
      <c r="E230" s="754" t="s">
        <v>98</v>
      </c>
      <c r="F230" s="1011" t="s">
        <v>436</v>
      </c>
      <c r="G230" s="1012">
        <v>140.69999999999999</v>
      </c>
      <c r="H230" s="1009">
        <v>146.1</v>
      </c>
      <c r="I230" s="1043">
        <v>194</v>
      </c>
      <c r="J230" s="404" t="s">
        <v>54</v>
      </c>
      <c r="K230" s="314">
        <v>18</v>
      </c>
      <c r="L230" s="314">
        <v>18</v>
      </c>
      <c r="M230" s="91">
        <v>18</v>
      </c>
    </row>
    <row r="231" spans="1:18" ht="15.65" customHeight="1" x14ac:dyDescent="0.25">
      <c r="A231" s="1230"/>
      <c r="B231" s="1216"/>
      <c r="C231" s="1294"/>
      <c r="D231" s="1239"/>
      <c r="E231" s="959" t="s">
        <v>224</v>
      </c>
      <c r="F231" s="1011"/>
      <c r="G231" s="1012"/>
      <c r="H231" s="1009"/>
      <c r="I231" s="1010"/>
      <c r="J231" s="417" t="s">
        <v>59</v>
      </c>
      <c r="K231" s="332">
        <v>7</v>
      </c>
      <c r="L231" s="306">
        <v>7</v>
      </c>
      <c r="M231" s="237">
        <v>7</v>
      </c>
    </row>
    <row r="232" spans="1:18" ht="17.25" customHeight="1" x14ac:dyDescent="0.25">
      <c r="A232" s="1230"/>
      <c r="B232" s="1216"/>
      <c r="C232" s="1294"/>
      <c r="D232" s="1239"/>
      <c r="E232" s="130" t="s">
        <v>148</v>
      </c>
      <c r="F232" s="1290" t="s">
        <v>436</v>
      </c>
      <c r="G232" s="1292">
        <f>30-18</f>
        <v>12</v>
      </c>
      <c r="H232" s="1009"/>
      <c r="I232" s="1043"/>
      <c r="J232" s="1222" t="s">
        <v>286</v>
      </c>
      <c r="K232" s="332">
        <v>2</v>
      </c>
      <c r="L232" s="484"/>
      <c r="M232" s="244"/>
    </row>
    <row r="233" spans="1:18" ht="16.5" customHeight="1" x14ac:dyDescent="0.25">
      <c r="A233" s="1230"/>
      <c r="B233" s="1216"/>
      <c r="C233" s="1294"/>
      <c r="D233" s="1295"/>
      <c r="E233" s="959" t="s">
        <v>279</v>
      </c>
      <c r="F233" s="1291"/>
      <c r="G233" s="1293"/>
      <c r="H233" s="1110"/>
      <c r="I233" s="1111"/>
      <c r="J233" s="1223"/>
      <c r="K233" s="228"/>
      <c r="L233" s="141"/>
      <c r="M233" s="547"/>
    </row>
    <row r="234" spans="1:18" ht="16" customHeight="1" x14ac:dyDescent="0.25">
      <c r="A234" s="967"/>
      <c r="B234" s="956"/>
      <c r="C234" s="47"/>
      <c r="D234" s="135" t="s">
        <v>194</v>
      </c>
      <c r="E234" s="751" t="s">
        <v>279</v>
      </c>
      <c r="F234" s="1112" t="s">
        <v>448</v>
      </c>
      <c r="G234" s="1113">
        <v>35.200000000000003</v>
      </c>
      <c r="H234" s="1015">
        <v>36</v>
      </c>
      <c r="I234" s="1064">
        <v>36</v>
      </c>
      <c r="J234" s="412" t="s">
        <v>195</v>
      </c>
      <c r="K234" s="629">
        <v>9</v>
      </c>
      <c r="L234" s="382">
        <v>9</v>
      </c>
      <c r="M234" s="252">
        <v>9</v>
      </c>
    </row>
    <row r="235" spans="1:18" ht="41.5" customHeight="1" x14ac:dyDescent="0.25">
      <c r="A235" s="967"/>
      <c r="B235" s="947"/>
      <c r="C235" s="220"/>
      <c r="D235" s="135" t="s">
        <v>270</v>
      </c>
      <c r="E235" s="958" t="s">
        <v>279</v>
      </c>
      <c r="F235" s="1013" t="s">
        <v>448</v>
      </c>
      <c r="G235" s="1113">
        <v>20</v>
      </c>
      <c r="H235" s="1114">
        <v>20</v>
      </c>
      <c r="I235" s="1115">
        <v>20</v>
      </c>
      <c r="J235" s="412" t="s">
        <v>287</v>
      </c>
      <c r="K235" s="605">
        <v>3</v>
      </c>
      <c r="L235" s="606">
        <v>3</v>
      </c>
      <c r="M235" s="607">
        <v>3</v>
      </c>
    </row>
    <row r="236" spans="1:18" ht="15" customHeight="1" thickBot="1" x14ac:dyDescent="0.3">
      <c r="A236" s="17"/>
      <c r="B236" s="64"/>
      <c r="C236" s="49"/>
      <c r="D236" s="992"/>
      <c r="E236" s="177"/>
      <c r="F236" s="27" t="s">
        <v>4</v>
      </c>
      <c r="G236" s="459">
        <f>+G209+G210+G211+G212</f>
        <v>1949.8</v>
      </c>
      <c r="H236" s="123">
        <f>+H209+H210+H211+H212</f>
        <v>2564.1999999999998</v>
      </c>
      <c r="I236" s="986">
        <f>+I209+I210+I211+I212</f>
        <v>2435.3000000000002</v>
      </c>
      <c r="J236" s="413"/>
      <c r="K236" s="379"/>
      <c r="L236" s="383"/>
      <c r="M236" s="253"/>
    </row>
    <row r="237" spans="1:18" ht="15" customHeight="1" x14ac:dyDescent="0.25">
      <c r="A237" s="80" t="s">
        <v>3</v>
      </c>
      <c r="B237" s="74" t="s">
        <v>24</v>
      </c>
      <c r="C237" s="54" t="s">
        <v>5</v>
      </c>
      <c r="D237" s="172" t="s">
        <v>135</v>
      </c>
      <c r="E237" s="173"/>
      <c r="F237" s="76" t="s">
        <v>21</v>
      </c>
      <c r="G237" s="1095">
        <v>290.2</v>
      </c>
      <c r="H237" s="858">
        <v>315.89999999999998</v>
      </c>
      <c r="I237" s="908">
        <v>398.6</v>
      </c>
      <c r="J237" s="1122"/>
      <c r="K237" s="394"/>
      <c r="L237" s="858"/>
      <c r="M237" s="254"/>
      <c r="O237" s="1001" t="s">
        <v>21</v>
      </c>
      <c r="P237" s="1141">
        <f>+G260+G270+G273+G275+G278+G281</f>
        <v>290.2</v>
      </c>
      <c r="Q237" s="1141">
        <f t="shared" ref="Q237:R237" si="17">+H260+H270+H273+H275+H278+H281</f>
        <v>315.89999999999998</v>
      </c>
      <c r="R237" s="1141">
        <f t="shared" si="17"/>
        <v>398.6</v>
      </c>
    </row>
    <row r="238" spans="1:18" ht="15" customHeight="1" x14ac:dyDescent="0.25">
      <c r="A238" s="950"/>
      <c r="B238" s="951"/>
      <c r="C238" s="948"/>
      <c r="D238" s="980"/>
      <c r="E238" s="1119"/>
      <c r="F238" s="16" t="s">
        <v>328</v>
      </c>
      <c r="G238" s="294">
        <v>67.2</v>
      </c>
      <c r="H238" s="162"/>
      <c r="I238" s="15"/>
      <c r="J238" s="1121"/>
      <c r="K238" s="23"/>
      <c r="L238" s="162"/>
      <c r="M238" s="15"/>
      <c r="O238" s="1001" t="s">
        <v>328</v>
      </c>
      <c r="P238" s="1141">
        <f>+G250</f>
        <v>67.2</v>
      </c>
      <c r="Q238" s="1141">
        <f t="shared" ref="Q238:R238" si="18">+H250</f>
        <v>0</v>
      </c>
      <c r="R238" s="1141">
        <f t="shared" si="18"/>
        <v>0</v>
      </c>
    </row>
    <row r="239" spans="1:18" ht="15" customHeight="1" x14ac:dyDescent="0.25">
      <c r="A239" s="950"/>
      <c r="B239" s="951"/>
      <c r="C239" s="948"/>
      <c r="D239" s="980"/>
      <c r="E239" s="1119"/>
      <c r="F239" s="16" t="s">
        <v>55</v>
      </c>
      <c r="G239" s="124">
        <v>1480.2</v>
      </c>
      <c r="H239" s="162">
        <v>911.2</v>
      </c>
      <c r="I239" s="15">
        <v>828.5</v>
      </c>
      <c r="J239" s="1121"/>
      <c r="K239" s="23"/>
      <c r="L239" s="162"/>
      <c r="M239" s="15"/>
      <c r="O239" s="1001" t="s">
        <v>55</v>
      </c>
      <c r="P239" s="1141">
        <f>+G247+G249+G253+G266+G279+G280</f>
        <v>1480.2</v>
      </c>
      <c r="Q239" s="1141">
        <f t="shared" ref="Q239:R239" si="19">+H247+H249+H253+H266+H279+H280</f>
        <v>911.2</v>
      </c>
      <c r="R239" s="1141">
        <f t="shared" si="19"/>
        <v>828.5</v>
      </c>
    </row>
    <row r="240" spans="1:18" ht="15" customHeight="1" x14ac:dyDescent="0.25">
      <c r="A240" s="950"/>
      <c r="B240" s="951"/>
      <c r="C240" s="948"/>
      <c r="D240" s="980"/>
      <c r="E240" s="1119"/>
      <c r="F240" s="16" t="s">
        <v>64</v>
      </c>
      <c r="G240" s="124">
        <v>1200</v>
      </c>
      <c r="H240" s="1123"/>
      <c r="I240" s="1120"/>
      <c r="J240" s="1121"/>
      <c r="K240" s="23"/>
      <c r="L240" s="162"/>
      <c r="M240" s="15"/>
      <c r="O240" s="1001" t="s">
        <v>64</v>
      </c>
      <c r="P240" s="1141">
        <f>+G252</f>
        <v>1200</v>
      </c>
      <c r="Q240" s="1001">
        <f t="shared" ref="Q240:R240" si="20">+H252</f>
        <v>0</v>
      </c>
      <c r="R240" s="1001">
        <f t="shared" si="20"/>
        <v>0</v>
      </c>
    </row>
    <row r="241" spans="1:19" ht="15" customHeight="1" x14ac:dyDescent="0.25">
      <c r="A241" s="950"/>
      <c r="B241" s="951"/>
      <c r="C241" s="948"/>
      <c r="D241" s="980"/>
      <c r="E241" s="1119"/>
      <c r="F241" s="16" t="s">
        <v>150</v>
      </c>
      <c r="G241" s="124">
        <v>13.2</v>
      </c>
      <c r="H241" s="1123"/>
      <c r="I241" s="1120"/>
      <c r="J241" s="1121"/>
      <c r="K241" s="23"/>
      <c r="L241" s="162"/>
      <c r="M241" s="15"/>
      <c r="O241" s="1001" t="s">
        <v>150</v>
      </c>
      <c r="P241" s="1141">
        <f>+G261</f>
        <v>13.2</v>
      </c>
      <c r="Q241" s="1141">
        <f t="shared" ref="Q241:R241" si="21">+H261</f>
        <v>0</v>
      </c>
      <c r="R241" s="1141">
        <f t="shared" si="21"/>
        <v>0</v>
      </c>
    </row>
    <row r="242" spans="1:19" ht="15" customHeight="1" x14ac:dyDescent="0.25">
      <c r="A242" s="950"/>
      <c r="B242" s="951"/>
      <c r="C242" s="948"/>
      <c r="D242" s="980"/>
      <c r="E242" s="1119"/>
      <c r="F242" s="16" t="s">
        <v>48</v>
      </c>
      <c r="G242" s="124">
        <v>37.5</v>
      </c>
      <c r="H242" s="1123"/>
      <c r="I242" s="1120"/>
      <c r="J242" s="1121"/>
      <c r="K242" s="23"/>
      <c r="L242" s="162"/>
      <c r="M242" s="15"/>
      <c r="O242" s="1001" t="s">
        <v>48</v>
      </c>
      <c r="P242" s="1141">
        <f>+G254+G274</f>
        <v>37.5</v>
      </c>
      <c r="Q242" s="1141">
        <f t="shared" ref="Q242:R242" si="22">+H254+H274</f>
        <v>0</v>
      </c>
      <c r="R242" s="1141">
        <f t="shared" si="22"/>
        <v>0</v>
      </c>
    </row>
    <row r="243" spans="1:19" ht="15" customHeight="1" x14ac:dyDescent="0.25">
      <c r="A243" s="950"/>
      <c r="B243" s="951"/>
      <c r="C243" s="948"/>
      <c r="D243" s="980"/>
      <c r="E243" s="1119"/>
      <c r="F243" s="16" t="s">
        <v>57</v>
      </c>
      <c r="G243" s="124">
        <v>266.60000000000002</v>
      </c>
      <c r="H243" s="1123"/>
      <c r="I243" s="1120"/>
      <c r="J243" s="1121"/>
      <c r="K243" s="23"/>
      <c r="L243" s="162"/>
      <c r="M243" s="15"/>
      <c r="O243" s="1001" t="s">
        <v>57</v>
      </c>
      <c r="P243" s="1141">
        <f>229.9+36.7</f>
        <v>266.60000000000002</v>
      </c>
      <c r="Q243" s="1141">
        <f t="shared" ref="Q243:R243" si="23">+H248+H267</f>
        <v>0</v>
      </c>
      <c r="R243" s="1141">
        <f t="shared" si="23"/>
        <v>0</v>
      </c>
    </row>
    <row r="244" spans="1:19" ht="15" customHeight="1" x14ac:dyDescent="0.25">
      <c r="A244" s="950"/>
      <c r="B244" s="951"/>
      <c r="C244" s="948"/>
      <c r="D244" s="980"/>
      <c r="E244" s="1119"/>
      <c r="F244" s="16" t="s">
        <v>234</v>
      </c>
      <c r="G244" s="124">
        <v>182.6</v>
      </c>
      <c r="H244" s="1123"/>
      <c r="I244" s="1120"/>
      <c r="J244" s="1121"/>
      <c r="K244" s="23"/>
      <c r="L244" s="162"/>
      <c r="M244" s="15"/>
      <c r="O244" s="1001" t="s">
        <v>234</v>
      </c>
      <c r="P244" s="1141">
        <f>+G251</f>
        <v>182.6</v>
      </c>
      <c r="Q244" s="1141">
        <f t="shared" ref="Q244:R244" si="24">+H251</f>
        <v>0</v>
      </c>
      <c r="R244" s="1141">
        <f t="shared" si="24"/>
        <v>0</v>
      </c>
    </row>
    <row r="245" spans="1:19" ht="15" customHeight="1" x14ac:dyDescent="0.25">
      <c r="A245" s="950"/>
      <c r="B245" s="951"/>
      <c r="C245" s="948"/>
      <c r="D245" s="980"/>
      <c r="E245" s="1119"/>
      <c r="F245" s="16" t="s">
        <v>37</v>
      </c>
      <c r="G245" s="124">
        <v>78.599999999999994</v>
      </c>
      <c r="H245" s="1124"/>
      <c r="I245" s="1120"/>
      <c r="J245" s="1121"/>
      <c r="K245" s="23"/>
      <c r="L245" s="162"/>
      <c r="M245" s="15"/>
      <c r="O245" s="1001" t="s">
        <v>37</v>
      </c>
      <c r="P245" s="1141">
        <f>+G263+G255</f>
        <v>78.599999999999994</v>
      </c>
      <c r="Q245" s="1141">
        <f t="shared" ref="Q245:R245" si="25">+H263+H255</f>
        <v>0</v>
      </c>
      <c r="R245" s="1141">
        <f t="shared" si="25"/>
        <v>0</v>
      </c>
    </row>
    <row r="246" spans="1:19" ht="15.65" customHeight="1" x14ac:dyDescent="0.25">
      <c r="A246" s="950"/>
      <c r="B246" s="951"/>
      <c r="C246" s="948"/>
      <c r="D246" s="1116" t="s">
        <v>202</v>
      </c>
      <c r="E246" s="129" t="s">
        <v>131</v>
      </c>
      <c r="F246" s="76"/>
      <c r="G246" s="113"/>
      <c r="H246" s="113"/>
      <c r="I246" s="310"/>
      <c r="J246" s="1117"/>
      <c r="K246" s="389"/>
      <c r="L246" s="398"/>
      <c r="M246" s="258"/>
      <c r="O246" s="1001"/>
      <c r="P246" s="1141">
        <f>+P245+P243+P242+P241+P240+P239+P238+P237+P244</f>
        <v>3616.1</v>
      </c>
      <c r="Q246" s="1141">
        <f t="shared" ref="Q246:R246" si="26">+Q245+Q243+Q242+Q241+Q240+Q239+Q238+Q237+Q244</f>
        <v>1227.0999999999999</v>
      </c>
      <c r="R246" s="1141">
        <f t="shared" si="26"/>
        <v>1227.0999999999999</v>
      </c>
    </row>
    <row r="247" spans="1:19" ht="14.5" customHeight="1" x14ac:dyDescent="0.25">
      <c r="A247" s="950"/>
      <c r="B247" s="951"/>
      <c r="C247" s="948"/>
      <c r="D247" s="1285" t="s">
        <v>203</v>
      </c>
      <c r="E247" s="130" t="s">
        <v>40</v>
      </c>
      <c r="F247" s="1068" t="s">
        <v>448</v>
      </c>
      <c r="G247" s="1125">
        <v>928</v>
      </c>
      <c r="H247" s="1017"/>
      <c r="I247" s="1104"/>
      <c r="J247" s="1218" t="s">
        <v>307</v>
      </c>
      <c r="K247" s="688">
        <v>100</v>
      </c>
      <c r="L247" s="1118"/>
      <c r="M247" s="996"/>
      <c r="O247" s="1001"/>
      <c r="P247" s="1141">
        <f>+P246-G282</f>
        <v>0</v>
      </c>
      <c r="Q247" s="1141">
        <f t="shared" ref="Q247:R247" si="27">+Q246-H282</f>
        <v>0</v>
      </c>
      <c r="R247" s="1141">
        <f t="shared" si="27"/>
        <v>0</v>
      </c>
    </row>
    <row r="248" spans="1:19" ht="14.5" customHeight="1" x14ac:dyDescent="0.25">
      <c r="A248" s="950"/>
      <c r="B248" s="951"/>
      <c r="C248" s="948"/>
      <c r="D248" s="1286"/>
      <c r="E248" s="959" t="s">
        <v>148</v>
      </c>
      <c r="F248" s="1011" t="s">
        <v>445</v>
      </c>
      <c r="G248" s="1032">
        <v>229.9</v>
      </c>
      <c r="H248" s="1009"/>
      <c r="I248" s="1010"/>
      <c r="J248" s="1218"/>
      <c r="K248" s="391"/>
      <c r="L248" s="146"/>
      <c r="M248" s="257"/>
    </row>
    <row r="249" spans="1:19" ht="44.5" customHeight="1" x14ac:dyDescent="0.25">
      <c r="A249" s="950"/>
      <c r="B249" s="951"/>
      <c r="C249" s="948"/>
      <c r="D249" s="488" t="s">
        <v>205</v>
      </c>
      <c r="E249" s="130" t="s">
        <v>279</v>
      </c>
      <c r="F249" s="1126" t="s">
        <v>448</v>
      </c>
      <c r="G249" s="1127">
        <v>133.1</v>
      </c>
      <c r="H249" s="1128">
        <v>133.1</v>
      </c>
      <c r="I249" s="1129">
        <v>133.1</v>
      </c>
      <c r="J249" s="407" t="s">
        <v>207</v>
      </c>
      <c r="K249" s="332">
        <v>12</v>
      </c>
      <c r="L249" s="338">
        <v>12</v>
      </c>
      <c r="M249" s="108">
        <v>12</v>
      </c>
      <c r="P249" s="13"/>
    </row>
    <row r="250" spans="1:19" ht="15.65" customHeight="1" x14ac:dyDescent="0.25">
      <c r="A250" s="950"/>
      <c r="B250" s="951"/>
      <c r="C250" s="948"/>
      <c r="D250" s="1287" t="s">
        <v>204</v>
      </c>
      <c r="E250" s="130"/>
      <c r="F250" s="1011" t="s">
        <v>440</v>
      </c>
      <c r="G250" s="1032">
        <v>67.2</v>
      </c>
      <c r="H250" s="1009"/>
      <c r="I250" s="1010"/>
      <c r="J250" s="1289" t="s">
        <v>307</v>
      </c>
      <c r="K250" s="332">
        <v>100</v>
      </c>
      <c r="L250" s="338"/>
      <c r="M250" s="244"/>
    </row>
    <row r="251" spans="1:19" ht="15.65" customHeight="1" x14ac:dyDescent="0.25">
      <c r="A251" s="950"/>
      <c r="B251" s="951"/>
      <c r="C251" s="948"/>
      <c r="D251" s="1288"/>
      <c r="E251" s="130"/>
      <c r="F251" s="1011" t="s">
        <v>446</v>
      </c>
      <c r="G251" s="1032">
        <v>182.6</v>
      </c>
      <c r="H251" s="1009"/>
      <c r="I251" s="1010"/>
      <c r="J251" s="1289"/>
      <c r="K251" s="298"/>
      <c r="L251" s="305"/>
      <c r="M251" s="86"/>
    </row>
    <row r="252" spans="1:19" ht="15.65" customHeight="1" x14ac:dyDescent="0.25">
      <c r="A252" s="950"/>
      <c r="B252" s="951"/>
      <c r="C252" s="948"/>
      <c r="D252" s="147"/>
      <c r="E252" s="130"/>
      <c r="F252" s="1011" t="s">
        <v>443</v>
      </c>
      <c r="G252" s="1032">
        <v>1200</v>
      </c>
      <c r="H252" s="1009"/>
      <c r="I252" s="1010"/>
      <c r="J252" s="1289"/>
      <c r="K252" s="298"/>
      <c r="L252" s="305"/>
      <c r="M252" s="86"/>
      <c r="P252" s="13"/>
      <c r="Q252" s="13"/>
      <c r="R252" s="13"/>
    </row>
    <row r="253" spans="1:19" ht="15.65" customHeight="1" x14ac:dyDescent="0.25">
      <c r="A253" s="950"/>
      <c r="B253" s="951"/>
      <c r="C253" s="948"/>
      <c r="D253" s="147"/>
      <c r="E253" s="130"/>
      <c r="F253" s="1013" t="s">
        <v>448</v>
      </c>
      <c r="G253" s="1130">
        <v>196</v>
      </c>
      <c r="H253" s="1015"/>
      <c r="I253" s="1024"/>
      <c r="J253" s="1289"/>
      <c r="K253" s="298"/>
      <c r="L253" s="305"/>
      <c r="M253" s="86"/>
      <c r="P253" s="13"/>
      <c r="Q253" s="13"/>
      <c r="R253" s="13"/>
    </row>
    <row r="254" spans="1:19" ht="15" customHeight="1" x14ac:dyDescent="0.25">
      <c r="A254" s="1296"/>
      <c r="B254" s="1297"/>
      <c r="C254" s="1294"/>
      <c r="D254" s="1192" t="s">
        <v>91</v>
      </c>
      <c r="E254" s="153" t="s">
        <v>305</v>
      </c>
      <c r="F254" s="1026" t="s">
        <v>437</v>
      </c>
      <c r="G254" s="1029">
        <v>5.3</v>
      </c>
      <c r="H254" s="1005"/>
      <c r="I254" s="1006"/>
      <c r="J254" s="952" t="s">
        <v>201</v>
      </c>
      <c r="K254" s="300">
        <v>1</v>
      </c>
      <c r="L254" s="308"/>
      <c r="M254" s="85"/>
      <c r="Q254" s="13"/>
      <c r="R254" s="13"/>
      <c r="S254" s="13"/>
    </row>
    <row r="255" spans="1:19" ht="15" customHeight="1" x14ac:dyDescent="0.25">
      <c r="A255" s="1296"/>
      <c r="B255" s="1297"/>
      <c r="C255" s="1294"/>
      <c r="D255" s="1193"/>
      <c r="E255" s="749" t="s">
        <v>304</v>
      </c>
      <c r="F255" s="1011" t="s">
        <v>449</v>
      </c>
      <c r="G255" s="1131">
        <v>46.5</v>
      </c>
      <c r="H255" s="1009"/>
      <c r="I255" s="1010"/>
      <c r="J255" s="405"/>
      <c r="K255" s="298"/>
      <c r="L255" s="305"/>
      <c r="M255" s="86"/>
    </row>
    <row r="256" spans="1:19" ht="15" customHeight="1" x14ac:dyDescent="0.25">
      <c r="A256" s="1296"/>
      <c r="B256" s="1297"/>
      <c r="C256" s="1294"/>
      <c r="D256" s="1193"/>
      <c r="E256" s="755" t="s">
        <v>40</v>
      </c>
      <c r="F256" s="1132"/>
      <c r="G256" s="1133"/>
      <c r="H256" s="1009"/>
      <c r="I256" s="1010"/>
      <c r="J256" s="405"/>
      <c r="K256" s="298"/>
      <c r="L256" s="305"/>
      <c r="M256" s="86"/>
      <c r="P256" s="13"/>
    </row>
    <row r="257" spans="1:16" ht="15" customHeight="1" x14ac:dyDescent="0.25">
      <c r="A257" s="1296"/>
      <c r="B257" s="1297"/>
      <c r="C257" s="1294"/>
      <c r="D257" s="1193"/>
      <c r="E257" s="749" t="s">
        <v>451</v>
      </c>
      <c r="F257" s="1011"/>
      <c r="G257" s="1032"/>
      <c r="H257" s="1009"/>
      <c r="I257" s="1010"/>
      <c r="J257" s="405"/>
      <c r="K257" s="298"/>
      <c r="L257" s="305"/>
      <c r="M257" s="86"/>
    </row>
    <row r="258" spans="1:16" ht="14.15" customHeight="1" x14ac:dyDescent="0.25">
      <c r="A258" s="1296"/>
      <c r="B258" s="1297"/>
      <c r="C258" s="1294"/>
      <c r="D258" s="1193"/>
      <c r="E258" s="749" t="s">
        <v>118</v>
      </c>
      <c r="F258" s="1042"/>
      <c r="G258" s="1133"/>
      <c r="H258" s="1009"/>
      <c r="I258" s="1010"/>
      <c r="J258" s="165"/>
      <c r="K258" s="250"/>
      <c r="L258" s="307"/>
      <c r="M258" s="225"/>
    </row>
    <row r="259" spans="1:16" ht="15" customHeight="1" x14ac:dyDescent="0.25">
      <c r="A259" s="1296"/>
      <c r="B259" s="1297"/>
      <c r="C259" s="1294"/>
      <c r="D259" s="1232"/>
      <c r="E259" s="756" t="s">
        <v>279</v>
      </c>
      <c r="F259" s="1044"/>
      <c r="G259" s="1134"/>
      <c r="H259" s="1062"/>
      <c r="I259" s="1035"/>
      <c r="J259" s="409"/>
      <c r="K259" s="301"/>
      <c r="L259" s="309"/>
      <c r="M259" s="87"/>
      <c r="P259" s="13"/>
    </row>
    <row r="260" spans="1:16" ht="14.25" customHeight="1" x14ac:dyDescent="0.25">
      <c r="A260" s="1230"/>
      <c r="B260" s="1216"/>
      <c r="C260" s="1294"/>
      <c r="D260" s="1192" t="s">
        <v>116</v>
      </c>
      <c r="E260" s="153" t="s">
        <v>304</v>
      </c>
      <c r="F260" s="1026" t="s">
        <v>436</v>
      </c>
      <c r="G260" s="1029">
        <v>1.1000000000000001</v>
      </c>
      <c r="H260" s="1005"/>
      <c r="I260" s="1006"/>
      <c r="J260" s="952" t="s">
        <v>197</v>
      </c>
      <c r="K260" s="365">
        <v>1</v>
      </c>
      <c r="L260" s="103"/>
      <c r="M260" s="281"/>
    </row>
    <row r="261" spans="1:16" ht="14.25" customHeight="1" x14ac:dyDescent="0.25">
      <c r="A261" s="1230"/>
      <c r="B261" s="1216"/>
      <c r="C261" s="1294"/>
      <c r="D261" s="1193"/>
      <c r="E261" s="749" t="s">
        <v>279</v>
      </c>
      <c r="F261" s="1011" t="s">
        <v>450</v>
      </c>
      <c r="G261" s="1135">
        <v>13.2</v>
      </c>
      <c r="H261" s="1012"/>
      <c r="I261" s="1010"/>
      <c r="J261" s="405"/>
      <c r="K261" s="302"/>
      <c r="L261" s="105"/>
      <c r="M261" s="107"/>
    </row>
    <row r="262" spans="1:16" ht="13.5" customHeight="1" x14ac:dyDescent="0.25">
      <c r="A262" s="1230"/>
      <c r="B262" s="1216"/>
      <c r="C262" s="1294"/>
      <c r="D262" s="1193"/>
      <c r="E262" s="960" t="s">
        <v>452</v>
      </c>
      <c r="F262" s="1013"/>
      <c r="G262" s="1130"/>
      <c r="H262" s="1015"/>
      <c r="I262" s="1016"/>
      <c r="J262" s="409"/>
      <c r="K262" s="393"/>
      <c r="L262" s="401"/>
      <c r="M262" s="122"/>
    </row>
    <row r="263" spans="1:16" ht="14.25" customHeight="1" x14ac:dyDescent="0.25">
      <c r="A263" s="1230"/>
      <c r="B263" s="1216"/>
      <c r="C263" s="1294"/>
      <c r="D263" s="1192" t="s">
        <v>187</v>
      </c>
      <c r="E263" s="958" t="s">
        <v>452</v>
      </c>
      <c r="F263" s="1011" t="s">
        <v>449</v>
      </c>
      <c r="G263" s="1135">
        <v>32.1</v>
      </c>
      <c r="H263" s="1012"/>
      <c r="I263" s="1043"/>
      <c r="J263" s="405" t="s">
        <v>117</v>
      </c>
      <c r="K263" s="378">
        <v>1</v>
      </c>
      <c r="L263" s="381"/>
      <c r="M263" s="91"/>
    </row>
    <row r="264" spans="1:16" ht="13.5" customHeight="1" x14ac:dyDescent="0.25">
      <c r="A264" s="1230"/>
      <c r="B264" s="1216"/>
      <c r="C264" s="1294"/>
      <c r="D264" s="1193"/>
      <c r="E264" s="959" t="s">
        <v>98</v>
      </c>
      <c r="F264" s="1011"/>
      <c r="G264" s="1135"/>
      <c r="H264" s="1012"/>
      <c r="I264" s="1043"/>
      <c r="J264" s="405"/>
      <c r="K264" s="298"/>
      <c r="L264" s="305"/>
      <c r="M264" s="86"/>
    </row>
    <row r="265" spans="1:16" ht="14.25" customHeight="1" x14ac:dyDescent="0.25">
      <c r="A265" s="1230"/>
      <c r="B265" s="1216"/>
      <c r="C265" s="1294"/>
      <c r="D265" s="1232"/>
      <c r="E265" s="966" t="s">
        <v>279</v>
      </c>
      <c r="F265" s="1013"/>
      <c r="G265" s="1136"/>
      <c r="H265" s="1045"/>
      <c r="I265" s="1064"/>
      <c r="J265" s="409"/>
      <c r="K265" s="301"/>
      <c r="L265" s="309"/>
      <c r="M265" s="87"/>
    </row>
    <row r="266" spans="1:16" ht="29.5" customHeight="1" x14ac:dyDescent="0.25">
      <c r="A266" s="1230"/>
      <c r="B266" s="1216"/>
      <c r="C266" s="1294"/>
      <c r="D266" s="1192" t="s">
        <v>95</v>
      </c>
      <c r="E266" s="958" t="s">
        <v>148</v>
      </c>
      <c r="F266" s="1026" t="s">
        <v>448</v>
      </c>
      <c r="G266" s="1137">
        <v>156</v>
      </c>
      <c r="H266" s="1005">
        <f>+G266</f>
        <v>156</v>
      </c>
      <c r="I266" s="1027">
        <f>+H266</f>
        <v>156</v>
      </c>
      <c r="J266" s="403" t="s">
        <v>97</v>
      </c>
      <c r="K266" s="331">
        <v>16</v>
      </c>
      <c r="L266" s="337">
        <v>16</v>
      </c>
      <c r="M266" s="88">
        <v>16</v>
      </c>
    </row>
    <row r="267" spans="1:16" ht="27.65" customHeight="1" x14ac:dyDescent="0.25">
      <c r="A267" s="1230"/>
      <c r="B267" s="1216"/>
      <c r="C267" s="1294"/>
      <c r="D267" s="1193"/>
      <c r="E267" s="966" t="s">
        <v>118</v>
      </c>
      <c r="F267" s="1011" t="s">
        <v>445</v>
      </c>
      <c r="G267" s="1032">
        <v>36.700000000000003</v>
      </c>
      <c r="H267" s="1009"/>
      <c r="I267" s="1010"/>
      <c r="J267" s="405" t="s">
        <v>164</v>
      </c>
      <c r="K267" s="298">
        <v>5</v>
      </c>
      <c r="L267" s="305">
        <v>5</v>
      </c>
      <c r="M267" s="86">
        <v>5</v>
      </c>
    </row>
    <row r="268" spans="1:16" ht="15.65" customHeight="1" x14ac:dyDescent="0.25">
      <c r="A268" s="1230"/>
      <c r="B268" s="1216"/>
      <c r="C268" s="1294"/>
      <c r="D268" s="1193"/>
      <c r="E268" s="966" t="s">
        <v>279</v>
      </c>
      <c r="F268" s="1011"/>
      <c r="G268" s="1032"/>
      <c r="H268" s="1009"/>
      <c r="I268" s="1010"/>
      <c r="J268" s="779" t="s">
        <v>196</v>
      </c>
      <c r="K268" s="332">
        <v>5</v>
      </c>
      <c r="L268" s="338"/>
      <c r="M268" s="244"/>
    </row>
    <row r="269" spans="1:16" ht="15.65" customHeight="1" x14ac:dyDescent="0.25">
      <c r="A269" s="1230"/>
      <c r="B269" s="1216"/>
      <c r="C269" s="1294"/>
      <c r="D269" s="1232"/>
      <c r="E269" s="987" t="s">
        <v>224</v>
      </c>
      <c r="F269" s="1018"/>
      <c r="G269" s="1138"/>
      <c r="H269" s="1015"/>
      <c r="I269" s="1064"/>
      <c r="J269" s="168"/>
      <c r="K269" s="228"/>
      <c r="L269" s="604"/>
      <c r="M269" s="547"/>
      <c r="N269" s="869"/>
    </row>
    <row r="270" spans="1:16" ht="15.65" customHeight="1" x14ac:dyDescent="0.25">
      <c r="A270" s="1230"/>
      <c r="B270" s="1216"/>
      <c r="C270" s="1294"/>
      <c r="D270" s="1192" t="s">
        <v>288</v>
      </c>
      <c r="E270" s="965" t="s">
        <v>148</v>
      </c>
      <c r="F270" s="1026" t="s">
        <v>436</v>
      </c>
      <c r="G270" s="1137">
        <v>2.7</v>
      </c>
      <c r="H270" s="1005">
        <v>3.4</v>
      </c>
      <c r="I270" s="1027">
        <v>3.4</v>
      </c>
      <c r="J270" s="1213" t="s">
        <v>289</v>
      </c>
      <c r="K270" s="300">
        <v>4</v>
      </c>
      <c r="L270" s="308">
        <v>5</v>
      </c>
      <c r="M270" s="85">
        <v>5</v>
      </c>
    </row>
    <row r="271" spans="1:16" ht="15.65" customHeight="1" x14ac:dyDescent="0.25">
      <c r="A271" s="1230"/>
      <c r="B271" s="1216"/>
      <c r="C271" s="1294"/>
      <c r="D271" s="1193"/>
      <c r="E271" s="966" t="s">
        <v>279</v>
      </c>
      <c r="F271" s="1011"/>
      <c r="G271" s="1135"/>
      <c r="H271" s="1009"/>
      <c r="I271" s="1043"/>
      <c r="J271" s="1214"/>
      <c r="K271" s="298"/>
      <c r="L271" s="305"/>
      <c r="M271" s="86"/>
    </row>
    <row r="272" spans="1:16" ht="15.65" customHeight="1" x14ac:dyDescent="0.25">
      <c r="A272" s="1230"/>
      <c r="B272" s="1216"/>
      <c r="C272" s="1294"/>
      <c r="D272" s="1232"/>
      <c r="E272" s="757" t="s">
        <v>118</v>
      </c>
      <c r="F272" s="1013"/>
      <c r="G272" s="1136"/>
      <c r="H272" s="1015"/>
      <c r="I272" s="1064"/>
      <c r="J272" s="1223"/>
      <c r="K272" s="301"/>
      <c r="L272" s="309"/>
      <c r="M272" s="87"/>
    </row>
    <row r="273" spans="1:37" ht="25.5" customHeight="1" x14ac:dyDescent="0.25">
      <c r="A273" s="967"/>
      <c r="B273" s="947"/>
      <c r="C273" s="269"/>
      <c r="D273" s="1192" t="s">
        <v>239</v>
      </c>
      <c r="E273" s="56" t="s">
        <v>316</v>
      </c>
      <c r="F273" s="1026" t="s">
        <v>436</v>
      </c>
      <c r="G273" s="1135">
        <v>200</v>
      </c>
      <c r="H273" s="1009"/>
      <c r="I273" s="1043"/>
      <c r="J273" s="403" t="s">
        <v>240</v>
      </c>
      <c r="K273" s="298">
        <v>1</v>
      </c>
      <c r="L273" s="305"/>
      <c r="M273" s="86"/>
    </row>
    <row r="274" spans="1:37" ht="16" customHeight="1" x14ac:dyDescent="0.25">
      <c r="A274" s="967"/>
      <c r="B274" s="947"/>
      <c r="C274" s="269"/>
      <c r="D274" s="1193"/>
      <c r="E274" s="142" t="s">
        <v>279</v>
      </c>
      <c r="F274" s="1011" t="s">
        <v>437</v>
      </c>
      <c r="G274" s="1032">
        <v>32.200000000000003</v>
      </c>
      <c r="H274" s="1009"/>
      <c r="I274" s="1010"/>
      <c r="J274" s="404" t="s">
        <v>426</v>
      </c>
      <c r="K274" s="332">
        <v>1</v>
      </c>
      <c r="L274" s="338"/>
      <c r="M274" s="237"/>
    </row>
    <row r="275" spans="1:37" ht="16" customHeight="1" x14ac:dyDescent="0.25">
      <c r="A275" s="967"/>
      <c r="B275" s="947"/>
      <c r="C275" s="269"/>
      <c r="D275" s="1193"/>
      <c r="E275" s="142" t="s">
        <v>148</v>
      </c>
      <c r="F275" s="1011" t="s">
        <v>436</v>
      </c>
      <c r="G275" s="1032">
        <v>66.400000000000006</v>
      </c>
      <c r="H275" s="1009"/>
      <c r="I275" s="1010"/>
      <c r="J275" s="417" t="s">
        <v>310</v>
      </c>
      <c r="K275" s="299">
        <v>5</v>
      </c>
      <c r="L275" s="306"/>
      <c r="M275" s="86"/>
    </row>
    <row r="276" spans="1:37" ht="16" customHeight="1" x14ac:dyDescent="0.25">
      <c r="A276" s="967"/>
      <c r="B276" s="947"/>
      <c r="C276" s="269"/>
      <c r="D276" s="1193"/>
      <c r="E276" s="990"/>
      <c r="F276" s="1139"/>
      <c r="G276" s="1140"/>
      <c r="H276" s="1009"/>
      <c r="I276" s="1010"/>
      <c r="J276" s="404" t="s">
        <v>311</v>
      </c>
      <c r="K276" s="511">
        <v>5</v>
      </c>
      <c r="L276" s="306"/>
      <c r="M276" s="244"/>
    </row>
    <row r="277" spans="1:37" ht="16" customHeight="1" x14ac:dyDescent="0.25">
      <c r="A277" s="967"/>
      <c r="B277" s="947"/>
      <c r="C277" s="269"/>
      <c r="D277" s="1193"/>
      <c r="E277" s="142"/>
      <c r="F277" s="1011"/>
      <c r="G277" s="1032"/>
      <c r="H277" s="1009"/>
      <c r="I277" s="1010"/>
      <c r="J277" s="417" t="s">
        <v>312</v>
      </c>
      <c r="K277" s="511">
        <v>2</v>
      </c>
      <c r="L277" s="514"/>
      <c r="M277" s="244"/>
    </row>
    <row r="278" spans="1:37" ht="31.4" customHeight="1" x14ac:dyDescent="0.25">
      <c r="A278" s="967"/>
      <c r="B278" s="947"/>
      <c r="C278" s="269"/>
      <c r="D278" s="1193"/>
      <c r="E278" s="142"/>
      <c r="F278" s="1013" t="s">
        <v>436</v>
      </c>
      <c r="G278" s="1130">
        <v>20</v>
      </c>
      <c r="H278" s="1015">
        <v>54.6</v>
      </c>
      <c r="I278" s="1016">
        <v>54.6</v>
      </c>
      <c r="J278" s="933" t="s">
        <v>271</v>
      </c>
      <c r="K278" s="301">
        <v>1</v>
      </c>
      <c r="L278" s="339">
        <v>1</v>
      </c>
      <c r="M278" s="244">
        <v>1</v>
      </c>
    </row>
    <row r="279" spans="1:37" ht="14.5" customHeight="1" x14ac:dyDescent="0.25">
      <c r="A279" s="967"/>
      <c r="B279" s="947"/>
      <c r="C279" s="269"/>
      <c r="D279" s="1186" t="s">
        <v>429</v>
      </c>
      <c r="E279" s="958" t="s">
        <v>277</v>
      </c>
      <c r="F279" s="1026" t="s">
        <v>448</v>
      </c>
      <c r="G279" s="1135">
        <v>67.099999999999994</v>
      </c>
      <c r="H279" s="1005"/>
      <c r="I279" s="1006"/>
      <c r="J279" s="419" t="s">
        <v>39</v>
      </c>
      <c r="K279" s="609">
        <v>1</v>
      </c>
      <c r="L279" s="610"/>
      <c r="M279" s="611"/>
    </row>
    <row r="280" spans="1:37" ht="16" customHeight="1" x14ac:dyDescent="0.25">
      <c r="A280" s="967"/>
      <c r="B280" s="947"/>
      <c r="C280" s="269"/>
      <c r="D280" s="1187"/>
      <c r="E280" s="959" t="s">
        <v>40</v>
      </c>
      <c r="F280" s="1011" t="s">
        <v>448</v>
      </c>
      <c r="G280" s="1032"/>
      <c r="H280" s="1009">
        <v>622.1</v>
      </c>
      <c r="I280" s="1010">
        <v>539.4</v>
      </c>
      <c r="J280" s="454" t="s">
        <v>307</v>
      </c>
      <c r="K280" s="612"/>
      <c r="L280" s="614">
        <v>50</v>
      </c>
      <c r="M280" s="615">
        <v>100</v>
      </c>
    </row>
    <row r="281" spans="1:37" ht="16" customHeight="1" x14ac:dyDescent="0.25">
      <c r="A281" s="967"/>
      <c r="B281" s="947"/>
      <c r="C281" s="269"/>
      <c r="D281" s="1187"/>
      <c r="E281" s="130" t="s">
        <v>148</v>
      </c>
      <c r="F281" s="1013" t="s">
        <v>436</v>
      </c>
      <c r="G281" s="1130"/>
      <c r="H281" s="1015">
        <v>257.89999999999998</v>
      </c>
      <c r="I281" s="1016">
        <v>340.6</v>
      </c>
      <c r="J281" s="949"/>
      <c r="K281" s="298"/>
      <c r="L281" s="305"/>
      <c r="M281" s="644"/>
    </row>
    <row r="282" spans="1:37" ht="15" customHeight="1" thickBot="1" x14ac:dyDescent="0.3">
      <c r="A282" s="17"/>
      <c r="B282" s="64"/>
      <c r="C282" s="49"/>
      <c r="D282" s="828"/>
      <c r="E282" s="825"/>
      <c r="F282" s="138" t="s">
        <v>4</v>
      </c>
      <c r="G282" s="463">
        <f>+G237+G238+G239+G240+G241+G242+G243+G244+G245</f>
        <v>3616.1</v>
      </c>
      <c r="H282" s="123">
        <f>+H237+H238+H239+H240+H241+H242+H243+H244+H245</f>
        <v>1227.0999999999999</v>
      </c>
      <c r="I282" s="460">
        <f>+I237+I238+I239+I240+I241+I242+I243+I244+I245</f>
        <v>1227.0999999999999</v>
      </c>
      <c r="J282" s="413"/>
      <c r="K282" s="512"/>
      <c r="L282" s="402"/>
      <c r="M282" s="830"/>
    </row>
    <row r="283" spans="1:37" ht="15" customHeight="1" thickBot="1" x14ac:dyDescent="0.3">
      <c r="A283" s="21" t="s">
        <v>3</v>
      </c>
      <c r="B283" s="20" t="s">
        <v>24</v>
      </c>
      <c r="C283" s="1246" t="s">
        <v>6</v>
      </c>
      <c r="D283" s="1246"/>
      <c r="E283" s="1246"/>
      <c r="F283" s="1247"/>
      <c r="G283" s="468">
        <f>G282+G236</f>
        <v>5565.9</v>
      </c>
      <c r="H283" s="64">
        <f>H282+H236</f>
        <v>3791.3</v>
      </c>
      <c r="I283" s="467">
        <f>I282+I236</f>
        <v>3662.4</v>
      </c>
      <c r="J283" s="1248"/>
      <c r="K283" s="1249"/>
      <c r="L283" s="1249"/>
      <c r="M283" s="1250"/>
    </row>
    <row r="284" spans="1:37" ht="15" customHeight="1" thickBot="1" x14ac:dyDescent="0.3">
      <c r="A284" s="21" t="s">
        <v>3</v>
      </c>
      <c r="B284" s="1311" t="s">
        <v>7</v>
      </c>
      <c r="C284" s="1312"/>
      <c r="D284" s="1312"/>
      <c r="E284" s="1312"/>
      <c r="F284" s="1313"/>
      <c r="G284" s="19">
        <f>G283+G207+G160</f>
        <v>44505.1</v>
      </c>
      <c r="H284" s="386">
        <f>H283+H207+H160</f>
        <v>36949.5</v>
      </c>
      <c r="I284" s="384">
        <f>I283+I207+I160</f>
        <v>26904</v>
      </c>
      <c r="J284" s="1314"/>
      <c r="K284" s="1315"/>
      <c r="L284" s="1315"/>
      <c r="M284" s="1316"/>
    </row>
    <row r="285" spans="1:37" ht="15" customHeight="1" thickBot="1" x14ac:dyDescent="0.3">
      <c r="A285" s="24" t="s">
        <v>30</v>
      </c>
      <c r="B285" s="1317" t="s">
        <v>46</v>
      </c>
      <c r="C285" s="1318"/>
      <c r="D285" s="1318"/>
      <c r="E285" s="1318"/>
      <c r="F285" s="1319"/>
      <c r="G285" s="24">
        <f t="shared" ref="G285:I285" si="28">SUM(G284)</f>
        <v>44505.1</v>
      </c>
      <c r="H285" s="387">
        <f t="shared" si="28"/>
        <v>36949.5</v>
      </c>
      <c r="I285" s="385">
        <f t="shared" si="28"/>
        <v>26904</v>
      </c>
      <c r="J285" s="1320"/>
      <c r="K285" s="1321"/>
      <c r="L285" s="1321"/>
      <c r="M285" s="1322"/>
    </row>
    <row r="286" spans="1:37" s="5" customFormat="1" ht="17.25" customHeight="1" x14ac:dyDescent="0.25">
      <c r="A286" s="1301" t="s">
        <v>456</v>
      </c>
      <c r="B286" s="1301"/>
      <c r="C286" s="1301"/>
      <c r="D286" s="1301"/>
      <c r="E286" s="1301"/>
      <c r="F286" s="1301"/>
      <c r="G286" s="1301"/>
      <c r="H286" s="1301"/>
      <c r="I286" s="1301"/>
      <c r="J286" s="130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9" customHeight="1" x14ac:dyDescent="0.25">
      <c r="A287" s="136"/>
      <c r="B287" s="136"/>
      <c r="C287" s="136"/>
      <c r="D287" s="136"/>
      <c r="E287" s="136"/>
      <c r="F287" s="136"/>
      <c r="G287" s="25"/>
      <c r="H287" s="25"/>
      <c r="I287" s="25"/>
      <c r="J287" s="25"/>
      <c r="K287" s="25"/>
      <c r="L287" s="25"/>
      <c r="M287" s="25"/>
    </row>
    <row r="288" spans="1:37" s="5" customFormat="1" ht="15" customHeight="1" thickBot="1" x14ac:dyDescent="0.3">
      <c r="A288" s="1323" t="s">
        <v>10</v>
      </c>
      <c r="B288" s="1323"/>
      <c r="C288" s="1323"/>
      <c r="D288" s="1323"/>
      <c r="E288" s="1323"/>
      <c r="F288" s="1323"/>
      <c r="G288" s="1323"/>
      <c r="H288" s="1323"/>
      <c r="I288" s="1323"/>
      <c r="J288" s="25"/>
      <c r="K288" s="25"/>
      <c r="L288" s="25"/>
      <c r="M288" s="25"/>
      <c r="N288" s="1"/>
      <c r="O288" s="1"/>
      <c r="P288" s="1"/>
      <c r="Q288" s="1"/>
      <c r="R288" s="1"/>
      <c r="S288" s="1"/>
      <c r="T288" s="1"/>
      <c r="U288" s="1"/>
      <c r="V288" s="1"/>
      <c r="W288" s="1"/>
      <c r="X288" s="1"/>
      <c r="Y288" s="1"/>
      <c r="Z288" s="1"/>
      <c r="AA288" s="1"/>
      <c r="AB288" s="1"/>
      <c r="AC288" s="1"/>
      <c r="AD288" s="1"/>
      <c r="AE288" s="1"/>
      <c r="AF288" s="1"/>
    </row>
    <row r="289" spans="1:13" ht="81" customHeight="1" thickBot="1" x14ac:dyDescent="0.3">
      <c r="A289" s="1302" t="s">
        <v>8</v>
      </c>
      <c r="B289" s="1303"/>
      <c r="C289" s="1303"/>
      <c r="D289" s="1303"/>
      <c r="E289" s="1303"/>
      <c r="F289" s="1304"/>
      <c r="G289" s="472" t="s">
        <v>248</v>
      </c>
      <c r="H289" s="473" t="s">
        <v>414</v>
      </c>
      <c r="I289" s="474" t="s">
        <v>250</v>
      </c>
      <c r="J289" s="10"/>
      <c r="K289" s="10"/>
      <c r="L289" s="10"/>
      <c r="M289" s="10"/>
    </row>
    <row r="290" spans="1:13" ht="14.25" customHeight="1" x14ac:dyDescent="0.25">
      <c r="A290" s="1305" t="s">
        <v>457</v>
      </c>
      <c r="B290" s="1306"/>
      <c r="C290" s="1306"/>
      <c r="D290" s="1306"/>
      <c r="E290" s="1306"/>
      <c r="F290" s="1307"/>
      <c r="G290" s="58">
        <f>G291+G301+G302+G303+G300</f>
        <v>39863.800000000003</v>
      </c>
      <c r="H290" s="58">
        <f>H291+H301+H302+H303+H300</f>
        <v>27747.5</v>
      </c>
      <c r="I290" s="58">
        <f>I291+I301+I302+I303+I300</f>
        <v>25354.6</v>
      </c>
      <c r="J290" s="10"/>
      <c r="K290" s="10"/>
      <c r="L290" s="10"/>
      <c r="M290" s="10"/>
    </row>
    <row r="291" spans="1:13" ht="16.5" customHeight="1" x14ac:dyDescent="0.25">
      <c r="A291" s="1308" t="s">
        <v>60</v>
      </c>
      <c r="B291" s="1309"/>
      <c r="C291" s="1309"/>
      <c r="D291" s="1309"/>
      <c r="E291" s="1309"/>
      <c r="F291" s="1310"/>
      <c r="G291" s="57">
        <f>SUM(G292:G299)</f>
        <v>34377.699999999997</v>
      </c>
      <c r="H291" s="57">
        <f>SUM(H292:H299)</f>
        <v>27747.5</v>
      </c>
      <c r="I291" s="57">
        <f>SUM(I292:I299)</f>
        <v>25354.6</v>
      </c>
      <c r="J291" s="10"/>
      <c r="K291" s="10"/>
      <c r="L291" s="10"/>
      <c r="M291" s="10"/>
    </row>
    <row r="292" spans="1:13" ht="14.25" customHeight="1" x14ac:dyDescent="0.25">
      <c r="A292" s="1354" t="s">
        <v>16</v>
      </c>
      <c r="B292" s="1355"/>
      <c r="C292" s="1355"/>
      <c r="D292" s="1355"/>
      <c r="E292" s="1355"/>
      <c r="F292" s="1356"/>
      <c r="G292" s="77">
        <f>SUMIF(F16:F285,"SB",G16:G285)</f>
        <v>9888.4</v>
      </c>
      <c r="H292" s="77">
        <f>SUMIF(F16:F285,"SB",H16:H285)</f>
        <v>15719.9</v>
      </c>
      <c r="I292" s="77">
        <f>SUMIF(F16:F285,"SB",I16:I285)</f>
        <v>14059</v>
      </c>
      <c r="J292" s="13"/>
      <c r="K292" s="10"/>
      <c r="L292" s="10"/>
      <c r="M292" s="10"/>
    </row>
    <row r="293" spans="1:13" ht="14.25" customHeight="1" x14ac:dyDescent="0.25">
      <c r="A293" s="1298" t="s">
        <v>329</v>
      </c>
      <c r="B293" s="1299"/>
      <c r="C293" s="1299"/>
      <c r="D293" s="1299"/>
      <c r="E293" s="1299"/>
      <c r="F293" s="1300"/>
      <c r="G293" s="77">
        <f>SUMIF(F16:F285,"SB(ŽP)",G16:G285)</f>
        <v>837.2</v>
      </c>
      <c r="H293" s="77">
        <f>SUMIF(F16:F285,"SB(ŽP)",H16:H285)</f>
        <v>207.5</v>
      </c>
      <c r="I293" s="77">
        <f>SUMIF(F16:F285,"SB(ŽP)",I16:I285)</f>
        <v>881.3</v>
      </c>
      <c r="J293" s="13"/>
      <c r="K293" s="10"/>
      <c r="L293" s="10"/>
      <c r="M293" s="10"/>
    </row>
    <row r="294" spans="1:13" ht="14.25" customHeight="1" x14ac:dyDescent="0.25">
      <c r="A294" s="1324" t="s">
        <v>56</v>
      </c>
      <c r="B294" s="1325"/>
      <c r="C294" s="1325"/>
      <c r="D294" s="1325"/>
      <c r="E294" s="1325"/>
      <c r="F294" s="1326"/>
      <c r="G294" s="77">
        <f>SUMIF(F16:F285,"SB(VR)",G16:G285)</f>
        <v>2324</v>
      </c>
      <c r="H294" s="77">
        <f>SUMIF(F16:F285,"SB(VR)",H16:H285)</f>
        <v>2349</v>
      </c>
      <c r="I294" s="77">
        <f>SUMIF(F16:F285,"SB(VR)",I16:I285)</f>
        <v>2365</v>
      </c>
      <c r="J294" s="10"/>
      <c r="K294" s="10"/>
      <c r="L294" s="10"/>
      <c r="M294" s="10"/>
    </row>
    <row r="295" spans="1:13" ht="14.25" customHeight="1" x14ac:dyDescent="0.25">
      <c r="A295" s="1298" t="s">
        <v>215</v>
      </c>
      <c r="B295" s="1299"/>
      <c r="C295" s="1299"/>
      <c r="D295" s="1299"/>
      <c r="E295" s="1299"/>
      <c r="F295" s="1300"/>
      <c r="G295" s="77">
        <f>SUMIF(F16:F285,"SB(SPI)",G16:G285)</f>
        <v>0</v>
      </c>
      <c r="H295" s="77">
        <f>SUMIF(F16:F285,"SB(SPI)",H16:H285)</f>
        <v>0</v>
      </c>
      <c r="I295" s="77">
        <f>SUMIF(F16:F285,"SB(SPI)",I16:I285)</f>
        <v>0</v>
      </c>
      <c r="J295" s="10"/>
      <c r="K295" s="10"/>
      <c r="L295" s="10"/>
      <c r="M295" s="10"/>
    </row>
    <row r="296" spans="1:13" ht="27.65" customHeight="1" x14ac:dyDescent="0.25">
      <c r="A296" s="1346" t="s">
        <v>417</v>
      </c>
      <c r="B296" s="1347"/>
      <c r="C296" s="1347"/>
      <c r="D296" s="1347"/>
      <c r="E296" s="1347"/>
      <c r="F296" s="1348"/>
      <c r="G296" s="934">
        <f>SUMIF(F16:F285,"SB(ES)",G16:G285)</f>
        <v>1050.5999999999999</v>
      </c>
      <c r="H296" s="934">
        <f>SUMIF(F16:F285,"SB(ES)",H16:H285)</f>
        <v>430.2</v>
      </c>
      <c r="I296" s="934">
        <f>SUMIF(F16:F285,"SB(ES)",I16:I285)</f>
        <v>0</v>
      </c>
      <c r="J296" s="10"/>
      <c r="K296" s="10"/>
      <c r="L296" s="10"/>
      <c r="M296" s="10"/>
    </row>
    <row r="297" spans="1:13" ht="14.25" customHeight="1" x14ac:dyDescent="0.25">
      <c r="A297" s="1346" t="s">
        <v>101</v>
      </c>
      <c r="B297" s="1347"/>
      <c r="C297" s="1347"/>
      <c r="D297" s="1347"/>
      <c r="E297" s="1347"/>
      <c r="F297" s="1348"/>
      <c r="G297" s="934">
        <f>SUMIF(F16:F285,"SB(VB)",G16:G285)</f>
        <v>14208</v>
      </c>
      <c r="H297" s="934">
        <f>SUMIF(F16:F285,"SB(VB)",H16:H285)</f>
        <v>2983.6</v>
      </c>
      <c r="I297" s="934">
        <f>SUMIF(F16:F285,"SB(VB)",I16:I285)</f>
        <v>0</v>
      </c>
      <c r="J297" s="10"/>
      <c r="K297" s="10"/>
      <c r="L297" s="10"/>
      <c r="M297" s="10"/>
    </row>
    <row r="298" spans="1:13" ht="28" customHeight="1" x14ac:dyDescent="0.25">
      <c r="A298" s="1298" t="s">
        <v>418</v>
      </c>
      <c r="B298" s="1299"/>
      <c r="C298" s="1299"/>
      <c r="D298" s="1299"/>
      <c r="E298" s="1299"/>
      <c r="F298" s="1300"/>
      <c r="G298" s="934">
        <f>SUMIF(F16:F285,"SB(KPP)",G16:G285)</f>
        <v>6056.3</v>
      </c>
      <c r="H298" s="934">
        <f>SUMIF(F16:F285,"SB(KPP)",H16:H285)</f>
        <v>6057.3</v>
      </c>
      <c r="I298" s="934">
        <f>SUMIF(F16:F285,"SB(KPP)",I16:I285)</f>
        <v>8049.3</v>
      </c>
      <c r="J298" s="10"/>
      <c r="K298" s="10"/>
      <c r="L298" s="10"/>
      <c r="M298" s="10"/>
    </row>
    <row r="299" spans="1:13" ht="27" customHeight="1" x14ac:dyDescent="0.25">
      <c r="A299" s="1298" t="s">
        <v>151</v>
      </c>
      <c r="B299" s="1299"/>
      <c r="C299" s="1299"/>
      <c r="D299" s="1299"/>
      <c r="E299" s="1299"/>
      <c r="F299" s="1300"/>
      <c r="G299" s="934">
        <f>SUMIF(F16:F285,"SB(ESA)",G16:G285)</f>
        <v>13.2</v>
      </c>
      <c r="H299" s="934">
        <f>SUMIF(F16:F285,"SB(ESA)",H16:H285)</f>
        <v>0</v>
      </c>
      <c r="I299" s="934">
        <f>SUMIF(F16:F285,"SB(ESA)",I16:I285)</f>
        <v>0</v>
      </c>
      <c r="J299" s="10"/>
      <c r="K299" s="10"/>
      <c r="L299" s="10"/>
      <c r="M299" s="10"/>
    </row>
    <row r="300" spans="1:13" ht="15.75" customHeight="1" x14ac:dyDescent="0.25">
      <c r="A300" s="1339" t="s">
        <v>211</v>
      </c>
      <c r="B300" s="1352"/>
      <c r="C300" s="1352"/>
      <c r="D300" s="1352"/>
      <c r="E300" s="1352"/>
      <c r="F300" s="1353"/>
      <c r="G300" s="38">
        <f>SUMIF(F16:F285,"SB(ESL)",G16:G285)</f>
        <v>80.8</v>
      </c>
      <c r="H300" s="38">
        <f>SUMIF(F16:F285,"SB(ESL)",H16:H285)</f>
        <v>0</v>
      </c>
      <c r="I300" s="38">
        <f>SUMIF(F16:F285,"SB(ESL)",I16:I285)</f>
        <v>0</v>
      </c>
      <c r="J300" s="10"/>
      <c r="K300" s="10"/>
      <c r="L300" s="10"/>
      <c r="M300" s="10"/>
    </row>
    <row r="301" spans="1:13" ht="14.25" customHeight="1" x14ac:dyDescent="0.25">
      <c r="A301" s="1336" t="s">
        <v>62</v>
      </c>
      <c r="B301" s="1337"/>
      <c r="C301" s="1337"/>
      <c r="D301" s="1337"/>
      <c r="E301" s="1337"/>
      <c r="F301" s="1338"/>
      <c r="G301" s="38">
        <f>SUMIF(F16:F285,"SB(VRL)",G16:G285)</f>
        <v>644.9</v>
      </c>
      <c r="H301" s="38">
        <f>SUMIF(F16:F285,"SB(VRL)",H16:H285)</f>
        <v>0</v>
      </c>
      <c r="I301" s="38">
        <f>SUMIF(F16:F285,"SB(VRL)",I16:I285)</f>
        <v>0</v>
      </c>
      <c r="J301" s="10"/>
      <c r="K301" s="10"/>
      <c r="L301" s="10"/>
      <c r="M301" s="10"/>
    </row>
    <row r="302" spans="1:13" ht="14.25" customHeight="1" x14ac:dyDescent="0.25">
      <c r="A302" s="1339" t="s">
        <v>63</v>
      </c>
      <c r="B302" s="1337"/>
      <c r="C302" s="1337"/>
      <c r="D302" s="1337"/>
      <c r="E302" s="1337"/>
      <c r="F302" s="1338"/>
      <c r="G302" s="38">
        <f>SUMIF(F16:F285,"SB(ŽPL)",G16:G285)</f>
        <v>1016</v>
      </c>
      <c r="H302" s="38">
        <f>SUMIF(F16:F285,"SB(ŽPL)",H16:H285)</f>
        <v>0</v>
      </c>
      <c r="I302" s="38">
        <f>SUMIF(F16:F285,"SB(ŽPL)",I16:I285)</f>
        <v>0</v>
      </c>
      <c r="J302" s="10"/>
      <c r="K302" s="10"/>
      <c r="L302" s="10"/>
      <c r="M302" s="10"/>
    </row>
    <row r="303" spans="1:13" ht="14.25" customHeight="1" x14ac:dyDescent="0.25">
      <c r="A303" s="1340" t="s">
        <v>85</v>
      </c>
      <c r="B303" s="1341"/>
      <c r="C303" s="1341"/>
      <c r="D303" s="1341"/>
      <c r="E303" s="1341"/>
      <c r="F303" s="1342"/>
      <c r="G303" s="38">
        <f>SUMIF(F16:F285,"SB(L)",G16:G285)</f>
        <v>3744.4</v>
      </c>
      <c r="H303" s="38">
        <f>SUMIF(F16:F285,"SB(L)",H16:H285)</f>
        <v>0</v>
      </c>
      <c r="I303" s="38">
        <f>SUMIF(F16:F285,"SB(L)",I16:I285)</f>
        <v>0</v>
      </c>
      <c r="J303" s="10"/>
      <c r="K303" s="10"/>
      <c r="L303" s="10"/>
      <c r="M303" s="10"/>
    </row>
    <row r="304" spans="1:13" ht="14.25" customHeight="1" x14ac:dyDescent="0.25">
      <c r="A304" s="1343" t="s">
        <v>12</v>
      </c>
      <c r="B304" s="1344"/>
      <c r="C304" s="1344"/>
      <c r="D304" s="1344"/>
      <c r="E304" s="1344"/>
      <c r="F304" s="1345"/>
      <c r="G304" s="39">
        <f t="shared" ref="G304:I304" si="29">G306+G307+G308+G305</f>
        <v>4641.3</v>
      </c>
      <c r="H304" s="39">
        <f t="shared" si="29"/>
        <v>9202</v>
      </c>
      <c r="I304" s="39">
        <f t="shared" si="29"/>
        <v>1549.4</v>
      </c>
      <c r="J304" s="10"/>
      <c r="K304" s="10"/>
      <c r="L304" s="10"/>
      <c r="M304" s="10"/>
    </row>
    <row r="305" spans="1:13" ht="14.25" customHeight="1" x14ac:dyDescent="0.25">
      <c r="A305" s="1346" t="s">
        <v>17</v>
      </c>
      <c r="B305" s="1347"/>
      <c r="C305" s="1347"/>
      <c r="D305" s="1347"/>
      <c r="E305" s="1347"/>
      <c r="F305" s="1348"/>
      <c r="G305" s="934">
        <f>SUMIF(F16:F285,"ES",G16:G285)</f>
        <v>603.6</v>
      </c>
      <c r="H305" s="934">
        <f>SUMIF(F16:F285,"ES",H16:H285)</f>
        <v>2975</v>
      </c>
      <c r="I305" s="934">
        <f>SUMIF(F16:F285,"ES",I16:I285)</f>
        <v>0</v>
      </c>
      <c r="J305" s="10"/>
      <c r="K305" s="10"/>
      <c r="L305" s="10"/>
      <c r="M305" s="10"/>
    </row>
    <row r="306" spans="1:13" ht="14.25" customHeight="1" x14ac:dyDescent="0.25">
      <c r="A306" s="1349" t="s">
        <v>18</v>
      </c>
      <c r="B306" s="1350"/>
      <c r="C306" s="1350"/>
      <c r="D306" s="1350"/>
      <c r="E306" s="1350"/>
      <c r="F306" s="1351"/>
      <c r="G306" s="934">
        <f>SUMIF(F16:F285,"KVJUD",G16:G285)</f>
        <v>1800</v>
      </c>
      <c r="H306" s="934">
        <f>SUMIF(F16:F285,"KVJUD",H16:H285)</f>
        <v>1800</v>
      </c>
      <c r="I306" s="934">
        <f>SUMIF(F16:F285,"KVJUD",I16:I285)</f>
        <v>1500</v>
      </c>
      <c r="J306" s="13"/>
      <c r="K306" s="13"/>
      <c r="L306" s="13"/>
      <c r="M306" s="13"/>
    </row>
    <row r="307" spans="1:13" ht="14.25" customHeight="1" x14ac:dyDescent="0.25">
      <c r="A307" s="1324" t="s">
        <v>19</v>
      </c>
      <c r="B307" s="1325"/>
      <c r="C307" s="1325"/>
      <c r="D307" s="1325"/>
      <c r="E307" s="1325"/>
      <c r="F307" s="1326"/>
      <c r="G307" s="934">
        <f>SUMIF(F16:F285,"LRVB",G16:G285)</f>
        <v>1597.1</v>
      </c>
      <c r="H307" s="934">
        <f>SUMIF(F16:F285,"LRVB",H16:H285)</f>
        <v>4427</v>
      </c>
      <c r="I307" s="934">
        <f>SUMIF(F16:F285,"LRVB",I16:I285)</f>
        <v>0</v>
      </c>
      <c r="J307" s="13"/>
      <c r="K307" s="13"/>
      <c r="L307" s="13"/>
      <c r="M307" s="13"/>
    </row>
    <row r="308" spans="1:13" ht="14.25" customHeight="1" x14ac:dyDescent="0.25">
      <c r="A308" s="1327" t="s">
        <v>20</v>
      </c>
      <c r="B308" s="1328"/>
      <c r="C308" s="1328"/>
      <c r="D308" s="1328"/>
      <c r="E308" s="1328"/>
      <c r="F308" s="1329"/>
      <c r="G308" s="934">
        <f>SUMIF(F16:F285,"Kt",G16:G285)</f>
        <v>640.6</v>
      </c>
      <c r="H308" s="934">
        <f>SUMIF(F16:F285,"Kt",H16:H285)</f>
        <v>0</v>
      </c>
      <c r="I308" s="934">
        <f>SUMIF(F16:F285,"Kt",I16:I285)</f>
        <v>49.4</v>
      </c>
      <c r="J308" s="13"/>
      <c r="K308" s="13"/>
      <c r="L308" s="13"/>
      <c r="M308" s="13"/>
    </row>
    <row r="309" spans="1:13" ht="14.25" customHeight="1" thickBot="1" x14ac:dyDescent="0.3">
      <c r="A309" s="1330" t="s">
        <v>13</v>
      </c>
      <c r="B309" s="1331"/>
      <c r="C309" s="1331"/>
      <c r="D309" s="1331"/>
      <c r="E309" s="1331"/>
      <c r="F309" s="1332"/>
      <c r="G309" s="40">
        <f>SUM(G290,G304)</f>
        <v>44505.1</v>
      </c>
      <c r="H309" s="40">
        <f>SUM(H290,H304)</f>
        <v>36949.5</v>
      </c>
      <c r="I309" s="40">
        <f>SUM(I290,I304)</f>
        <v>26904</v>
      </c>
      <c r="J309" s="13"/>
      <c r="K309" s="13"/>
      <c r="L309" s="13"/>
      <c r="M309" s="13"/>
    </row>
    <row r="310" spans="1:13" x14ac:dyDescent="0.25">
      <c r="F310" s="185"/>
      <c r="G310" s="186"/>
      <c r="H310" s="186"/>
      <c r="I310" s="186"/>
      <c r="J310" s="4"/>
    </row>
    <row r="311" spans="1:13" x14ac:dyDescent="0.25">
      <c r="G311" s="10"/>
      <c r="H311" s="10"/>
      <c r="I311" s="10"/>
    </row>
    <row r="312" spans="1:13" x14ac:dyDescent="0.25">
      <c r="G312" s="10"/>
      <c r="H312" s="10"/>
      <c r="I312" s="10"/>
    </row>
    <row r="313" spans="1:13" x14ac:dyDescent="0.25">
      <c r="F313" s="187"/>
      <c r="G313" s="10"/>
      <c r="H313" s="10"/>
      <c r="I313" s="10"/>
    </row>
    <row r="314" spans="1:13" x14ac:dyDescent="0.25">
      <c r="J314" s="10"/>
    </row>
    <row r="315" spans="1:13" x14ac:dyDescent="0.25">
      <c r="G315" s="10"/>
      <c r="H315" s="10"/>
      <c r="I315" s="10"/>
    </row>
    <row r="316" spans="1:13" x14ac:dyDescent="0.25">
      <c r="G316" s="10"/>
      <c r="H316" s="10"/>
      <c r="I316" s="10"/>
    </row>
    <row r="317" spans="1:13" s="2" customFormat="1" x14ac:dyDescent="0.25">
      <c r="E317" s="97"/>
      <c r="F317" s="3"/>
      <c r="J317" s="10"/>
    </row>
    <row r="318" spans="1:13" x14ac:dyDescent="0.25">
      <c r="A318" s="1"/>
      <c r="B318" s="1"/>
      <c r="C318" s="1"/>
      <c r="G318" s="10"/>
      <c r="H318" s="10"/>
      <c r="I318" s="10"/>
      <c r="K318" s="1"/>
      <c r="L318" s="1"/>
      <c r="M318" s="1"/>
    </row>
    <row r="320" spans="1:13" s="2" customFormat="1" x14ac:dyDescent="0.25">
      <c r="E320" s="97"/>
      <c r="F320" s="3"/>
      <c r="J320" s="10"/>
    </row>
    <row r="323" spans="5:10" s="2" customFormat="1" x14ac:dyDescent="0.25">
      <c r="E323" s="97"/>
      <c r="F323" s="3"/>
      <c r="J323" s="10"/>
    </row>
  </sheetData>
  <mergeCells count="193">
    <mergeCell ref="A307:F307"/>
    <mergeCell ref="A308:F308"/>
    <mergeCell ref="A309:F309"/>
    <mergeCell ref="J30:J33"/>
    <mergeCell ref="J2:M2"/>
    <mergeCell ref="D162:D163"/>
    <mergeCell ref="D209:D212"/>
    <mergeCell ref="A301:F301"/>
    <mergeCell ref="A302:F302"/>
    <mergeCell ref="A303:F303"/>
    <mergeCell ref="A304:F304"/>
    <mergeCell ref="A305:F305"/>
    <mergeCell ref="A306:F306"/>
    <mergeCell ref="A296:F296"/>
    <mergeCell ref="A297:F297"/>
    <mergeCell ref="A298:F298"/>
    <mergeCell ref="A299:F299"/>
    <mergeCell ref="A300:F300"/>
    <mergeCell ref="A292:F292"/>
    <mergeCell ref="A293:F293"/>
    <mergeCell ref="A294:F294"/>
    <mergeCell ref="A295:F295"/>
    <mergeCell ref="A286:J286"/>
    <mergeCell ref="A289:F289"/>
    <mergeCell ref="A290:F290"/>
    <mergeCell ref="A291:F291"/>
    <mergeCell ref="C283:F283"/>
    <mergeCell ref="J283:M283"/>
    <mergeCell ref="B284:F284"/>
    <mergeCell ref="J284:M284"/>
    <mergeCell ref="B285:F285"/>
    <mergeCell ref="J285:M285"/>
    <mergeCell ref="A288:I288"/>
    <mergeCell ref="J270:J272"/>
    <mergeCell ref="D273:D278"/>
    <mergeCell ref="D279:D281"/>
    <mergeCell ref="A270:A272"/>
    <mergeCell ref="B270:B272"/>
    <mergeCell ref="C270:C272"/>
    <mergeCell ref="D270:D272"/>
    <mergeCell ref="A266:A269"/>
    <mergeCell ref="B266:B269"/>
    <mergeCell ref="C266:C269"/>
    <mergeCell ref="D266:D269"/>
    <mergeCell ref="A263:A265"/>
    <mergeCell ref="B263:B265"/>
    <mergeCell ref="C263:C265"/>
    <mergeCell ref="D263:D265"/>
    <mergeCell ref="A260:A262"/>
    <mergeCell ref="B260:B262"/>
    <mergeCell ref="C260:C262"/>
    <mergeCell ref="D260:D262"/>
    <mergeCell ref="A254:A259"/>
    <mergeCell ref="B254:B259"/>
    <mergeCell ref="C254:C259"/>
    <mergeCell ref="D254:D259"/>
    <mergeCell ref="D247:D248"/>
    <mergeCell ref="J247:J248"/>
    <mergeCell ref="D250:D251"/>
    <mergeCell ref="J250:J253"/>
    <mergeCell ref="F232:F233"/>
    <mergeCell ref="G232:G233"/>
    <mergeCell ref="J232:J233"/>
    <mergeCell ref="D228:D229"/>
    <mergeCell ref="A230:A233"/>
    <mergeCell ref="B230:B233"/>
    <mergeCell ref="C230:C233"/>
    <mergeCell ref="D230:D233"/>
    <mergeCell ref="C208:M208"/>
    <mergeCell ref="D213:D215"/>
    <mergeCell ref="D224:D225"/>
    <mergeCell ref="J224:J225"/>
    <mergeCell ref="D226:D227"/>
    <mergeCell ref="D197:D200"/>
    <mergeCell ref="D201:D205"/>
    <mergeCell ref="C207:F207"/>
    <mergeCell ref="J207:M207"/>
    <mergeCell ref="J214:J215"/>
    <mergeCell ref="D191:D192"/>
    <mergeCell ref="D193:D196"/>
    <mergeCell ref="E184:E187"/>
    <mergeCell ref="D188:D189"/>
    <mergeCell ref="J182:J183"/>
    <mergeCell ref="K182:K183"/>
    <mergeCell ref="L182:L183"/>
    <mergeCell ref="M182:M183"/>
    <mergeCell ref="A184:A185"/>
    <mergeCell ref="B184:B185"/>
    <mergeCell ref="C184:C185"/>
    <mergeCell ref="D184:D185"/>
    <mergeCell ref="D178:D179"/>
    <mergeCell ref="D180:D181"/>
    <mergeCell ref="J180:J181"/>
    <mergeCell ref="A182:A183"/>
    <mergeCell ref="B182:B183"/>
    <mergeCell ref="C182:C183"/>
    <mergeCell ref="D182:D183"/>
    <mergeCell ref="E182:E183"/>
    <mergeCell ref="L168:L169"/>
    <mergeCell ref="M168:M169"/>
    <mergeCell ref="D173:D174"/>
    <mergeCell ref="J173:J174"/>
    <mergeCell ref="D176:D177"/>
    <mergeCell ref="D156:D158"/>
    <mergeCell ref="C160:F160"/>
    <mergeCell ref="J160:M160"/>
    <mergeCell ref="C161:M161"/>
    <mergeCell ref="D168:D169"/>
    <mergeCell ref="J168:J169"/>
    <mergeCell ref="K168:K169"/>
    <mergeCell ref="D146:D148"/>
    <mergeCell ref="D149:D151"/>
    <mergeCell ref="D153:D154"/>
    <mergeCell ref="D139:D140"/>
    <mergeCell ref="D141:D143"/>
    <mergeCell ref="D144:D145"/>
    <mergeCell ref="D133:D135"/>
    <mergeCell ref="D136:D138"/>
    <mergeCell ref="D121:D122"/>
    <mergeCell ref="D123:D125"/>
    <mergeCell ref="D126:D128"/>
    <mergeCell ref="J114:J115"/>
    <mergeCell ref="D116:D117"/>
    <mergeCell ref="J116:J117"/>
    <mergeCell ref="D119:D120"/>
    <mergeCell ref="J119:J120"/>
    <mergeCell ref="A111:A113"/>
    <mergeCell ref="B111:B113"/>
    <mergeCell ref="C111:C113"/>
    <mergeCell ref="D111:D113"/>
    <mergeCell ref="D114:D115"/>
    <mergeCell ref="J83:J85"/>
    <mergeCell ref="D105:D107"/>
    <mergeCell ref="A108:A110"/>
    <mergeCell ref="B108:B110"/>
    <mergeCell ref="C108:C110"/>
    <mergeCell ref="D108:D110"/>
    <mergeCell ref="J108:J110"/>
    <mergeCell ref="D74:D77"/>
    <mergeCell ref="D78:D80"/>
    <mergeCell ref="D81:D82"/>
    <mergeCell ref="D83:D85"/>
    <mergeCell ref="D68:D70"/>
    <mergeCell ref="D71:D73"/>
    <mergeCell ref="J72:J73"/>
    <mergeCell ref="D54:D56"/>
    <mergeCell ref="D57:D59"/>
    <mergeCell ref="J58:J59"/>
    <mergeCell ref="D60:D61"/>
    <mergeCell ref="D64:D67"/>
    <mergeCell ref="K49:K50"/>
    <mergeCell ref="L52:L53"/>
    <mergeCell ref="M52:M53"/>
    <mergeCell ref="J46:J48"/>
    <mergeCell ref="A49:A53"/>
    <mergeCell ref="B49:B53"/>
    <mergeCell ref="D49:D51"/>
    <mergeCell ref="J49:J50"/>
    <mergeCell ref="A46:A48"/>
    <mergeCell ref="B46:B48"/>
    <mergeCell ref="C46:C53"/>
    <mergeCell ref="D46:D48"/>
    <mergeCell ref="A12:M12"/>
    <mergeCell ref="E9:E11"/>
    <mergeCell ref="F9:F11"/>
    <mergeCell ref="G9:G11"/>
    <mergeCell ref="H9:H11"/>
    <mergeCell ref="K39:K40"/>
    <mergeCell ref="L39:L40"/>
    <mergeCell ref="M39:M40"/>
    <mergeCell ref="D41:D45"/>
    <mergeCell ref="J41:J45"/>
    <mergeCell ref="C34:C45"/>
    <mergeCell ref="D34:D40"/>
    <mergeCell ref="J39:J40"/>
    <mergeCell ref="A13:M13"/>
    <mergeCell ref="B14:M14"/>
    <mergeCell ref="C15:M15"/>
    <mergeCell ref="D16:D17"/>
    <mergeCell ref="D28:D33"/>
    <mergeCell ref="J1:M1"/>
    <mergeCell ref="A4:M4"/>
    <mergeCell ref="A5:M5"/>
    <mergeCell ref="A6:M6"/>
    <mergeCell ref="L8:M8"/>
    <mergeCell ref="A9:A11"/>
    <mergeCell ref="B9:B11"/>
    <mergeCell ref="C9:C11"/>
    <mergeCell ref="D9:D11"/>
    <mergeCell ref="I9:I11"/>
    <mergeCell ref="J9:M9"/>
    <mergeCell ref="J10:J11"/>
    <mergeCell ref="K10:M10"/>
  </mergeCells>
  <printOptions horizontalCentered="1"/>
  <pageMargins left="0.78740157480314965" right="0.39370078740157483" top="0.39370078740157483" bottom="0.39370078740157483" header="0.31496062992125984" footer="0.31496062992125984"/>
  <pageSetup paperSize="9" scale="62" fitToHeight="0" orientation="portrait" r:id="rId1"/>
  <headerFooter alignWithMargins="0"/>
  <rowBreaks count="4" manualBreakCount="4">
    <brk id="70" max="12" man="1"/>
    <brk id="128" max="12" man="1"/>
    <brk id="190" max="12" man="1"/>
    <brk id="249" max="12" man="1"/>
  </rowBreaks>
  <ignoredErrors>
    <ignoredError sqref="P239:R23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58"/>
  <sheetViews>
    <sheetView topLeftCell="A217" zoomScaleNormal="100" zoomScaleSheetLayoutView="100" workbookViewId="0">
      <selection activeCell="G236" sqref="G236"/>
    </sheetView>
  </sheetViews>
  <sheetFormatPr defaultColWidth="9.1796875" defaultRowHeight="13" x14ac:dyDescent="0.25"/>
  <cols>
    <col min="1" max="3" width="2.81640625" style="2" customWidth="1"/>
    <col min="4" max="4" width="3.1796875" style="71" customWidth="1"/>
    <col min="5" max="5" width="39.54296875" style="2" customWidth="1"/>
    <col min="6" max="6" width="4.453125" style="97" customWidth="1"/>
    <col min="7" max="7" width="13.453125" style="8" customWidth="1"/>
    <col min="8" max="8" width="8.81640625" style="3" customWidth="1"/>
    <col min="9" max="12" width="9.54296875" style="2" customWidth="1"/>
    <col min="13" max="13" width="37.453125" style="2" customWidth="1"/>
    <col min="14" max="17" width="6.453125" style="2" customWidth="1"/>
    <col min="18" max="16384" width="9.1796875" style="1"/>
  </cols>
  <sheetData>
    <row r="1" spans="1:17" ht="15.5" x14ac:dyDescent="0.25">
      <c r="D1" s="2"/>
      <c r="F1" s="171"/>
      <c r="G1" s="84"/>
      <c r="M1" s="1394" t="s">
        <v>431</v>
      </c>
      <c r="N1" s="1394"/>
      <c r="O1" s="1394"/>
      <c r="P1" s="1394"/>
      <c r="Q1" s="1394"/>
    </row>
    <row r="2" spans="1:17" ht="15" customHeight="1" x14ac:dyDescent="0.25">
      <c r="D2" s="2"/>
      <c r="F2" s="95"/>
      <c r="G2" s="84"/>
      <c r="I2" s="3"/>
      <c r="J2" s="3"/>
      <c r="K2" s="3"/>
      <c r="L2" s="3"/>
      <c r="M2" s="152"/>
      <c r="N2" s="152"/>
      <c r="O2" s="152"/>
      <c r="P2" s="152"/>
      <c r="Q2" s="152"/>
    </row>
    <row r="3" spans="1:17" s="2" customFormat="1" ht="15" customHeight="1" x14ac:dyDescent="0.25">
      <c r="A3" s="1148" t="s">
        <v>251</v>
      </c>
      <c r="B3" s="1148"/>
      <c r="C3" s="1148"/>
      <c r="D3" s="1148"/>
      <c r="E3" s="1148"/>
      <c r="F3" s="1148"/>
      <c r="G3" s="1148"/>
      <c r="H3" s="1148"/>
      <c r="I3" s="1148"/>
      <c r="J3" s="1148"/>
      <c r="K3" s="1148"/>
      <c r="L3" s="1148"/>
      <c r="M3" s="1148"/>
      <c r="N3" s="1148"/>
      <c r="O3" s="1148"/>
      <c r="P3" s="1148"/>
      <c r="Q3" s="1148"/>
    </row>
    <row r="4" spans="1:17" ht="15" customHeight="1" x14ac:dyDescent="0.25">
      <c r="A4" s="1149" t="s">
        <v>25</v>
      </c>
      <c r="B4" s="1149"/>
      <c r="C4" s="1149"/>
      <c r="D4" s="1149"/>
      <c r="E4" s="1149"/>
      <c r="F4" s="1149"/>
      <c r="G4" s="1149"/>
      <c r="H4" s="1149"/>
      <c r="I4" s="1149"/>
      <c r="J4" s="1149"/>
      <c r="K4" s="1149"/>
      <c r="L4" s="1149"/>
      <c r="M4" s="1149"/>
      <c r="N4" s="1149"/>
      <c r="O4" s="1149"/>
      <c r="P4" s="1149"/>
      <c r="Q4" s="1149"/>
    </row>
    <row r="5" spans="1:17" ht="15" customHeight="1" x14ac:dyDescent="0.25">
      <c r="A5" s="1150" t="s">
        <v>14</v>
      </c>
      <c r="B5" s="1150"/>
      <c r="C5" s="1150"/>
      <c r="D5" s="1150"/>
      <c r="E5" s="1150"/>
      <c r="F5" s="1150"/>
      <c r="G5" s="1150"/>
      <c r="H5" s="1150"/>
      <c r="I5" s="1150"/>
      <c r="J5" s="1150"/>
      <c r="K5" s="1150"/>
      <c r="L5" s="1150"/>
      <c r="M5" s="1150"/>
      <c r="N5" s="1150"/>
      <c r="O5" s="1150"/>
      <c r="P5" s="1150"/>
      <c r="Q5" s="1150"/>
    </row>
    <row r="6" spans="1:17" ht="15" customHeight="1" x14ac:dyDescent="0.3">
      <c r="A6" s="1"/>
      <c r="B6" s="1"/>
      <c r="C6" s="1"/>
      <c r="D6" s="271"/>
      <c r="E6" s="1"/>
      <c r="F6" s="272"/>
      <c r="G6" s="273"/>
      <c r="H6" s="270"/>
      <c r="I6" s="1"/>
      <c r="J6" s="1"/>
      <c r="K6" s="1"/>
      <c r="L6" s="1"/>
      <c r="M6" s="1"/>
      <c r="N6" s="1"/>
      <c r="O6" s="1"/>
      <c r="P6" s="811"/>
      <c r="Q6" s="811"/>
    </row>
    <row r="7" spans="1:17" ht="15" customHeight="1" thickBot="1" x14ac:dyDescent="0.35">
      <c r="A7" s="1"/>
      <c r="B7" s="1"/>
      <c r="C7" s="1"/>
      <c r="D7" s="271"/>
      <c r="E7" s="1"/>
      <c r="F7" s="272"/>
      <c r="G7" s="273"/>
      <c r="H7" s="270"/>
      <c r="I7" s="1"/>
      <c r="J7" s="1"/>
      <c r="K7" s="1"/>
      <c r="L7" s="287"/>
      <c r="M7" s="1"/>
      <c r="N7" s="1"/>
      <c r="O7" s="1"/>
      <c r="P7" s="1151" t="s">
        <v>69</v>
      </c>
      <c r="Q7" s="1151"/>
    </row>
    <row r="8" spans="1:17" s="12" customFormat="1" ht="21" customHeight="1" thickBot="1" x14ac:dyDescent="0.3">
      <c r="A8" s="1152" t="s">
        <v>15</v>
      </c>
      <c r="B8" s="1155" t="s">
        <v>0</v>
      </c>
      <c r="C8" s="1155" t="s">
        <v>1</v>
      </c>
      <c r="D8" s="1400" t="s">
        <v>23</v>
      </c>
      <c r="E8" s="1158" t="s">
        <v>9</v>
      </c>
      <c r="F8" s="1155" t="s">
        <v>245</v>
      </c>
      <c r="G8" s="1403" t="s">
        <v>246</v>
      </c>
      <c r="H8" s="1174" t="s">
        <v>2</v>
      </c>
      <c r="I8" s="1397" t="s">
        <v>247</v>
      </c>
      <c r="J8" s="1177" t="s">
        <v>248</v>
      </c>
      <c r="K8" s="1180" t="s">
        <v>414</v>
      </c>
      <c r="L8" s="1161" t="s">
        <v>250</v>
      </c>
      <c r="M8" s="1386" t="s">
        <v>225</v>
      </c>
      <c r="N8" s="1387"/>
      <c r="O8" s="1387"/>
      <c r="P8" s="1387"/>
      <c r="Q8" s="1388"/>
    </row>
    <row r="9" spans="1:17" s="12" customFormat="1" ht="21" customHeight="1" x14ac:dyDescent="0.25">
      <c r="A9" s="1153"/>
      <c r="B9" s="1156"/>
      <c r="C9" s="1156"/>
      <c r="D9" s="1401"/>
      <c r="E9" s="1159"/>
      <c r="F9" s="1156"/>
      <c r="G9" s="1404"/>
      <c r="H9" s="1175"/>
      <c r="I9" s="1398"/>
      <c r="J9" s="1178"/>
      <c r="K9" s="1181"/>
      <c r="L9" s="1162"/>
      <c r="M9" s="1395" t="s">
        <v>9</v>
      </c>
      <c r="N9" s="1389" t="s">
        <v>241</v>
      </c>
      <c r="O9" s="1391" t="s">
        <v>233</v>
      </c>
      <c r="P9" s="1391"/>
      <c r="Q9" s="1392"/>
    </row>
    <row r="10" spans="1:17" s="12" customFormat="1" ht="88.5" customHeight="1" thickBot="1" x14ac:dyDescent="0.3">
      <c r="A10" s="1154"/>
      <c r="B10" s="1157"/>
      <c r="C10" s="1157"/>
      <c r="D10" s="1402"/>
      <c r="E10" s="1160"/>
      <c r="F10" s="1157"/>
      <c r="G10" s="1405"/>
      <c r="H10" s="1176"/>
      <c r="I10" s="1399"/>
      <c r="J10" s="1179"/>
      <c r="K10" s="1182"/>
      <c r="L10" s="1163"/>
      <c r="M10" s="1396"/>
      <c r="N10" s="1390"/>
      <c r="O10" s="288" t="s">
        <v>242</v>
      </c>
      <c r="P10" s="290" t="s">
        <v>243</v>
      </c>
      <c r="Q10" s="289" t="s">
        <v>244</v>
      </c>
    </row>
    <row r="11" spans="1:17" s="7" customFormat="1" ht="15" customHeight="1" x14ac:dyDescent="0.25">
      <c r="A11" s="1171" t="s">
        <v>49</v>
      </c>
      <c r="B11" s="1172"/>
      <c r="C11" s="1172"/>
      <c r="D11" s="1172"/>
      <c r="E11" s="1172"/>
      <c r="F11" s="1172"/>
      <c r="G11" s="1172"/>
      <c r="H11" s="1172"/>
      <c r="I11" s="1172"/>
      <c r="J11" s="1172"/>
      <c r="K11" s="1172"/>
      <c r="L11" s="1172"/>
      <c r="M11" s="1172"/>
      <c r="N11" s="1172"/>
      <c r="O11" s="1172"/>
      <c r="P11" s="1172"/>
      <c r="Q11" s="1173"/>
    </row>
    <row r="12" spans="1:17" s="7" customFormat="1" ht="15" customHeight="1" x14ac:dyDescent="0.25">
      <c r="A12" s="1195" t="s">
        <v>22</v>
      </c>
      <c r="B12" s="1196"/>
      <c r="C12" s="1196"/>
      <c r="D12" s="1196"/>
      <c r="E12" s="1196"/>
      <c r="F12" s="1196"/>
      <c r="G12" s="1196"/>
      <c r="H12" s="1196"/>
      <c r="I12" s="1196"/>
      <c r="J12" s="1196"/>
      <c r="K12" s="1196"/>
      <c r="L12" s="1196"/>
      <c r="M12" s="1196"/>
      <c r="N12" s="1196"/>
      <c r="O12" s="1197"/>
      <c r="P12" s="1197"/>
      <c r="Q12" s="1198"/>
    </row>
    <row r="13" spans="1:17" ht="15" customHeight="1" x14ac:dyDescent="0.25">
      <c r="A13" s="11" t="s">
        <v>3</v>
      </c>
      <c r="B13" s="1199" t="s">
        <v>26</v>
      </c>
      <c r="C13" s="1200"/>
      <c r="D13" s="1200"/>
      <c r="E13" s="1200"/>
      <c r="F13" s="1200"/>
      <c r="G13" s="1200"/>
      <c r="H13" s="1200"/>
      <c r="I13" s="1200"/>
      <c r="J13" s="1200"/>
      <c r="K13" s="1200"/>
      <c r="L13" s="1200"/>
      <c r="M13" s="1200"/>
      <c r="N13" s="1200"/>
      <c r="O13" s="1197"/>
      <c r="P13" s="1197"/>
      <c r="Q13" s="1198"/>
    </row>
    <row r="14" spans="1:17" ht="15" customHeight="1" x14ac:dyDescent="0.25">
      <c r="A14" s="34" t="s">
        <v>3</v>
      </c>
      <c r="B14" s="9" t="s">
        <v>3</v>
      </c>
      <c r="C14" s="1201" t="s">
        <v>141</v>
      </c>
      <c r="D14" s="1202"/>
      <c r="E14" s="1202"/>
      <c r="F14" s="1202"/>
      <c r="G14" s="1202"/>
      <c r="H14" s="1202"/>
      <c r="I14" s="1202"/>
      <c r="J14" s="1202"/>
      <c r="K14" s="1202"/>
      <c r="L14" s="1202"/>
      <c r="M14" s="1202"/>
      <c r="N14" s="1202"/>
      <c r="O14" s="1203"/>
      <c r="P14" s="1203"/>
      <c r="Q14" s="1204"/>
    </row>
    <row r="15" spans="1:17" ht="13.5" customHeight="1" x14ac:dyDescent="0.25">
      <c r="A15" s="217" t="s">
        <v>3</v>
      </c>
      <c r="B15" s="218" t="s">
        <v>3</v>
      </c>
      <c r="C15" s="215" t="s">
        <v>3</v>
      </c>
      <c r="D15" s="103"/>
      <c r="E15" s="1205" t="s">
        <v>125</v>
      </c>
      <c r="F15" s="129"/>
      <c r="G15" s="155"/>
      <c r="H15" s="59"/>
      <c r="I15" s="76"/>
      <c r="J15" s="113"/>
      <c r="K15" s="111"/>
      <c r="L15" s="114"/>
      <c r="M15" s="452"/>
      <c r="N15" s="226"/>
      <c r="O15" s="297"/>
      <c r="P15" s="303"/>
      <c r="Q15" s="226"/>
    </row>
    <row r="16" spans="1:17" ht="15.65" customHeight="1" x14ac:dyDescent="0.25">
      <c r="A16" s="217"/>
      <c r="B16" s="79"/>
      <c r="C16" s="215"/>
      <c r="D16" s="105"/>
      <c r="E16" s="1206"/>
      <c r="F16" s="744" t="s">
        <v>131</v>
      </c>
      <c r="G16" s="67"/>
      <c r="H16" s="154"/>
      <c r="I16" s="140"/>
      <c r="J16" s="291"/>
      <c r="K16" s="163"/>
      <c r="L16" s="115"/>
      <c r="M16" s="453"/>
      <c r="N16" s="227"/>
      <c r="O16" s="229"/>
      <c r="P16" s="304"/>
      <c r="Q16" s="227"/>
    </row>
    <row r="17" spans="1:17" ht="15.65" customHeight="1" x14ac:dyDescent="0.25">
      <c r="A17" s="194"/>
      <c r="B17" s="195"/>
      <c r="C17" s="196"/>
      <c r="D17" s="131" t="s">
        <v>3</v>
      </c>
      <c r="E17" s="1207" t="s">
        <v>74</v>
      </c>
      <c r="F17" s="965" t="s">
        <v>131</v>
      </c>
      <c r="G17" s="1369" t="s">
        <v>142</v>
      </c>
      <c r="H17" s="631" t="s">
        <v>21</v>
      </c>
      <c r="I17" s="435">
        <f>390.8+225-105</f>
        <v>510.8</v>
      </c>
      <c r="J17" s="455"/>
      <c r="K17" s="137"/>
      <c r="L17" s="583">
        <v>1526</v>
      </c>
      <c r="M17" s="419" t="s">
        <v>307</v>
      </c>
      <c r="N17" s="86">
        <v>37</v>
      </c>
      <c r="O17" s="298">
        <v>85</v>
      </c>
      <c r="P17" s="305">
        <v>95</v>
      </c>
      <c r="Q17" s="86">
        <v>100</v>
      </c>
    </row>
    <row r="18" spans="1:17" ht="15.65" customHeight="1" x14ac:dyDescent="0.25">
      <c r="A18" s="735"/>
      <c r="B18" s="738"/>
      <c r="C18" s="739"/>
      <c r="D18" s="740"/>
      <c r="E18" s="1208"/>
      <c r="F18" s="959" t="s">
        <v>430</v>
      </c>
      <c r="G18" s="1370"/>
      <c r="H18" s="758" t="s">
        <v>48</v>
      </c>
      <c r="I18" s="140">
        <v>16.100000000000001</v>
      </c>
      <c r="J18" s="124">
        <v>1.5</v>
      </c>
      <c r="K18" s="162"/>
      <c r="L18" s="23"/>
      <c r="M18" s="404"/>
      <c r="N18" s="86"/>
      <c r="O18" s="298"/>
      <c r="P18" s="305"/>
      <c r="Q18" s="86"/>
    </row>
    <row r="19" spans="1:17" ht="30.65" customHeight="1" x14ac:dyDescent="0.25">
      <c r="A19" s="194"/>
      <c r="B19" s="195"/>
      <c r="C19" s="196"/>
      <c r="D19" s="164"/>
      <c r="E19" s="1208"/>
      <c r="F19" s="966" t="s">
        <v>279</v>
      </c>
      <c r="G19" s="1370"/>
      <c r="H19" s="140" t="s">
        <v>226</v>
      </c>
      <c r="I19" s="140">
        <f>9038.6-2.6-17</f>
        <v>9019</v>
      </c>
      <c r="J19" s="366">
        <f>5000-1400-752.6-870.8+2539+9692.4</f>
        <v>14208</v>
      </c>
      <c r="K19" s="295">
        <v>2983.6</v>
      </c>
      <c r="L19" s="589"/>
      <c r="M19" s="407" t="s">
        <v>149</v>
      </c>
      <c r="N19" s="180">
        <v>100</v>
      </c>
      <c r="O19" s="299"/>
      <c r="P19" s="306"/>
      <c r="Q19" s="180"/>
    </row>
    <row r="20" spans="1:17" ht="15" customHeight="1" x14ac:dyDescent="0.25">
      <c r="A20" s="194"/>
      <c r="B20" s="195"/>
      <c r="C20" s="196"/>
      <c r="D20" s="164"/>
      <c r="E20" s="1208"/>
      <c r="F20" s="744" t="s">
        <v>40</v>
      </c>
      <c r="G20" s="1370" t="s">
        <v>169</v>
      </c>
      <c r="H20" s="637" t="s">
        <v>41</v>
      </c>
      <c r="I20" s="16">
        <f>1500-600</f>
        <v>900</v>
      </c>
      <c r="J20" s="350">
        <v>1800</v>
      </c>
      <c r="K20" s="121">
        <v>1800</v>
      </c>
      <c r="L20" s="589">
        <v>1500</v>
      </c>
      <c r="M20" s="1217" t="s">
        <v>313</v>
      </c>
      <c r="N20" s="86">
        <v>40</v>
      </c>
      <c r="O20" s="298">
        <v>60</v>
      </c>
      <c r="P20" s="305"/>
      <c r="Q20" s="86"/>
    </row>
    <row r="21" spans="1:17" ht="15" customHeight="1" x14ac:dyDescent="0.25">
      <c r="A21" s="194"/>
      <c r="B21" s="195"/>
      <c r="C21" s="196"/>
      <c r="D21" s="164"/>
      <c r="E21" s="1208"/>
      <c r="F21" s="693" t="s">
        <v>224</v>
      </c>
      <c r="G21" s="1370"/>
      <c r="H21" s="167" t="s">
        <v>216</v>
      </c>
      <c r="I21" s="638">
        <f>56.4+100.5</f>
        <v>156.9</v>
      </c>
      <c r="J21" s="639"/>
      <c r="K21" s="640"/>
      <c r="L21" s="641"/>
      <c r="M21" s="1218"/>
      <c r="N21" s="86"/>
      <c r="O21" s="298"/>
      <c r="P21" s="305"/>
      <c r="Q21" s="86"/>
    </row>
    <row r="22" spans="1:17" ht="15" customHeight="1" x14ac:dyDescent="0.25">
      <c r="A22" s="194"/>
      <c r="B22" s="195"/>
      <c r="C22" s="196"/>
      <c r="D22" s="164"/>
      <c r="E22" s="1208"/>
      <c r="F22" s="693" t="s">
        <v>148</v>
      </c>
      <c r="G22" s="1370"/>
      <c r="H22" s="16" t="s">
        <v>234</v>
      </c>
      <c r="I22" s="16">
        <v>5.7</v>
      </c>
      <c r="J22" s="336"/>
      <c r="K22" s="162"/>
      <c r="L22" s="633"/>
      <c r="M22" s="1218"/>
      <c r="N22" s="86"/>
      <c r="O22" s="298"/>
      <c r="P22" s="305"/>
      <c r="Q22" s="86"/>
    </row>
    <row r="23" spans="1:17" ht="15" customHeight="1" x14ac:dyDescent="0.25">
      <c r="A23" s="194"/>
      <c r="B23" s="195"/>
      <c r="C23" s="196"/>
      <c r="D23" s="164"/>
      <c r="E23" s="207" t="s">
        <v>132</v>
      </c>
      <c r="F23" s="744"/>
      <c r="G23" s="1370"/>
      <c r="H23" s="167" t="s">
        <v>64</v>
      </c>
      <c r="I23" s="167">
        <f>754.4+800+1400-100-265-1884.4-577.6+150+93.5</f>
        <v>370.9</v>
      </c>
      <c r="J23" s="336"/>
      <c r="K23" s="121"/>
      <c r="L23" s="15"/>
      <c r="M23" s="1218"/>
      <c r="N23" s="225"/>
      <c r="O23" s="250"/>
      <c r="P23" s="307"/>
      <c r="Q23" s="225"/>
    </row>
    <row r="24" spans="1:17" ht="15" customHeight="1" x14ac:dyDescent="0.25">
      <c r="A24" s="194"/>
      <c r="B24" s="195"/>
      <c r="C24" s="196"/>
      <c r="D24" s="164"/>
      <c r="E24" s="193"/>
      <c r="F24" s="151"/>
      <c r="G24" s="1370"/>
      <c r="H24" s="140" t="s">
        <v>328</v>
      </c>
      <c r="I24" s="167">
        <f>603.9-390.8+106</f>
        <v>319.10000000000002</v>
      </c>
      <c r="J24" s="124"/>
      <c r="K24" s="121"/>
      <c r="L24" s="589">
        <v>881.3</v>
      </c>
      <c r="M24" s="405"/>
      <c r="N24" s="86"/>
      <c r="O24" s="298"/>
      <c r="P24" s="305"/>
      <c r="Q24" s="86"/>
    </row>
    <row r="25" spans="1:17" ht="15" customHeight="1" x14ac:dyDescent="0.25">
      <c r="A25" s="194"/>
      <c r="B25" s="195"/>
      <c r="C25" s="196"/>
      <c r="D25" s="164"/>
      <c r="E25" s="190"/>
      <c r="F25" s="151"/>
      <c r="G25" s="101"/>
      <c r="H25" s="16" t="s">
        <v>100</v>
      </c>
      <c r="I25" s="16">
        <v>1500</v>
      </c>
      <c r="J25" s="632">
        <f>1000-1000+2000-1000+1000-600</f>
        <v>1400</v>
      </c>
      <c r="K25" s="355">
        <v>3280</v>
      </c>
      <c r="L25" s="634"/>
      <c r="M25" s="168"/>
      <c r="N25" s="224"/>
      <c r="O25" s="228"/>
      <c r="P25" s="141"/>
      <c r="Q25" s="224"/>
    </row>
    <row r="26" spans="1:17" ht="15" customHeight="1" x14ac:dyDescent="0.25">
      <c r="A26" s="1230"/>
      <c r="B26" s="1276"/>
      <c r="C26" s="1231"/>
      <c r="D26" s="1358" t="s">
        <v>5</v>
      </c>
      <c r="E26" s="1186" t="s">
        <v>107</v>
      </c>
      <c r="F26" s="745" t="s">
        <v>131</v>
      </c>
      <c r="G26" s="1369" t="s">
        <v>143</v>
      </c>
      <c r="H26" s="435" t="s">
        <v>64</v>
      </c>
      <c r="I26" s="435">
        <f>314.6-111+102.1</f>
        <v>305.7</v>
      </c>
      <c r="J26" s="113"/>
      <c r="K26" s="111"/>
      <c r="L26" s="583"/>
      <c r="M26" s="1213" t="s">
        <v>235</v>
      </c>
      <c r="N26" s="85">
        <v>100</v>
      </c>
      <c r="O26" s="300"/>
      <c r="P26" s="308"/>
      <c r="Q26" s="85"/>
    </row>
    <row r="27" spans="1:17" ht="15" customHeight="1" x14ac:dyDescent="0.25">
      <c r="A27" s="1230"/>
      <c r="B27" s="1276"/>
      <c r="C27" s="1231"/>
      <c r="D27" s="1359"/>
      <c r="E27" s="1187"/>
      <c r="F27" s="744"/>
      <c r="G27" s="1370"/>
      <c r="H27" s="16" t="s">
        <v>48</v>
      </c>
      <c r="I27" s="16">
        <v>13.5</v>
      </c>
      <c r="J27" s="350"/>
      <c r="K27" s="295"/>
      <c r="L27" s="589"/>
      <c r="M27" s="1214"/>
      <c r="N27" s="86"/>
      <c r="O27" s="298"/>
      <c r="P27" s="305"/>
      <c r="Q27" s="86"/>
    </row>
    <row r="28" spans="1:17" ht="15" customHeight="1" x14ac:dyDescent="0.25">
      <c r="A28" s="1230"/>
      <c r="B28" s="1276"/>
      <c r="C28" s="1231"/>
      <c r="D28" s="1359"/>
      <c r="E28" s="1187"/>
      <c r="F28" s="744" t="s">
        <v>40</v>
      </c>
      <c r="G28" s="1370"/>
      <c r="H28" s="18" t="s">
        <v>21</v>
      </c>
      <c r="I28" s="167">
        <f>358.5+170.2-204.9+105</f>
        <v>428.8</v>
      </c>
      <c r="J28" s="366"/>
      <c r="K28" s="162"/>
      <c r="L28" s="23"/>
      <c r="M28" s="420"/>
      <c r="N28" s="86"/>
      <c r="O28" s="298"/>
      <c r="P28" s="305"/>
      <c r="Q28" s="86"/>
    </row>
    <row r="29" spans="1:17" ht="15" customHeight="1" x14ac:dyDescent="0.25">
      <c r="A29" s="1230"/>
      <c r="B29" s="1276"/>
      <c r="C29" s="1231"/>
      <c r="D29" s="1359"/>
      <c r="E29" s="1187"/>
      <c r="F29" s="693" t="s">
        <v>224</v>
      </c>
      <c r="G29" s="1412"/>
      <c r="H29" s="167" t="s">
        <v>96</v>
      </c>
      <c r="I29" s="16">
        <v>0.1</v>
      </c>
      <c r="J29" s="124"/>
      <c r="K29" s="295"/>
      <c r="L29" s="588"/>
      <c r="M29" s="448"/>
      <c r="N29" s="86"/>
      <c r="O29" s="298"/>
      <c r="P29" s="305"/>
      <c r="Q29" s="86"/>
    </row>
    <row r="30" spans="1:17" ht="15" customHeight="1" x14ac:dyDescent="0.25">
      <c r="A30" s="1230"/>
      <c r="B30" s="1276"/>
      <c r="C30" s="1231"/>
      <c r="D30" s="1359"/>
      <c r="E30" s="1187"/>
      <c r="F30" s="268"/>
      <c r="G30" s="1412"/>
      <c r="H30" s="16" t="s">
        <v>216</v>
      </c>
      <c r="I30" s="167">
        <v>63.4</v>
      </c>
      <c r="J30" s="350"/>
      <c r="K30" s="295"/>
      <c r="L30" s="588"/>
      <c r="M30" s="448"/>
      <c r="N30" s="86"/>
      <c r="O30" s="298"/>
      <c r="P30" s="305"/>
      <c r="Q30" s="86"/>
    </row>
    <row r="31" spans="1:17" ht="15" customHeight="1" x14ac:dyDescent="0.25">
      <c r="A31" s="1230"/>
      <c r="B31" s="1276"/>
      <c r="C31" s="1231"/>
      <c r="D31" s="1359"/>
      <c r="E31" s="1187"/>
      <c r="F31" s="268"/>
      <c r="G31" s="1412"/>
      <c r="H31" s="167" t="s">
        <v>38</v>
      </c>
      <c r="I31" s="167">
        <f>244.4-170.2</f>
        <v>74.2</v>
      </c>
      <c r="J31" s="366"/>
      <c r="K31" s="295"/>
      <c r="L31" s="589"/>
      <c r="M31" s="448"/>
      <c r="N31" s="86"/>
      <c r="O31" s="298"/>
      <c r="P31" s="305"/>
      <c r="Q31" s="86"/>
    </row>
    <row r="32" spans="1:17" ht="28" customHeight="1" x14ac:dyDescent="0.25">
      <c r="A32" s="1230"/>
      <c r="B32" s="1276"/>
      <c r="C32" s="1231"/>
      <c r="D32" s="1359"/>
      <c r="E32" s="52" t="s">
        <v>178</v>
      </c>
      <c r="F32" s="160"/>
      <c r="G32" s="1412"/>
      <c r="H32" s="167"/>
      <c r="I32" s="167"/>
      <c r="J32" s="293"/>
      <c r="K32" s="295"/>
      <c r="L32" s="116"/>
      <c r="M32" s="423" t="s">
        <v>87</v>
      </c>
      <c r="N32" s="180">
        <v>100</v>
      </c>
      <c r="O32" s="299"/>
      <c r="P32" s="306"/>
      <c r="Q32" s="180"/>
    </row>
    <row r="33" spans="1:17" ht="27.75" customHeight="1" x14ac:dyDescent="0.25">
      <c r="A33" s="1230"/>
      <c r="B33" s="1276"/>
      <c r="C33" s="1231"/>
      <c r="D33" s="1360"/>
      <c r="E33" s="166" t="s">
        <v>179</v>
      </c>
      <c r="F33" s="283"/>
      <c r="G33" s="42"/>
      <c r="H33" s="77"/>
      <c r="I33" s="77"/>
      <c r="J33" s="109"/>
      <c r="K33" s="296"/>
      <c r="L33" s="28"/>
      <c r="M33" s="449" t="s">
        <v>88</v>
      </c>
      <c r="N33" s="87">
        <v>100</v>
      </c>
      <c r="O33" s="301"/>
      <c r="P33" s="309"/>
      <c r="Q33" s="87"/>
    </row>
    <row r="34" spans="1:17" ht="15" customHeight="1" x14ac:dyDescent="0.25">
      <c r="A34" s="217"/>
      <c r="B34" s="218"/>
      <c r="C34" s="1190" t="s">
        <v>120</v>
      </c>
      <c r="D34" s="197" t="s">
        <v>24</v>
      </c>
      <c r="E34" s="1192" t="s">
        <v>290</v>
      </c>
      <c r="F34" s="743" t="s">
        <v>131</v>
      </c>
      <c r="G34" s="1382" t="s">
        <v>143</v>
      </c>
      <c r="H34" s="435" t="s">
        <v>216</v>
      </c>
      <c r="I34" s="435">
        <v>100</v>
      </c>
      <c r="J34" s="311"/>
      <c r="K34" s="137"/>
      <c r="L34" s="312"/>
      <c r="M34" s="475" t="s">
        <v>307</v>
      </c>
      <c r="N34" s="630">
        <v>18</v>
      </c>
      <c r="O34" s="810">
        <v>45</v>
      </c>
      <c r="P34" s="561">
        <v>100</v>
      </c>
      <c r="Q34" s="345"/>
    </row>
    <row r="35" spans="1:17" ht="15" customHeight="1" x14ac:dyDescent="0.25">
      <c r="A35" s="217"/>
      <c r="B35" s="218"/>
      <c r="C35" s="1191"/>
      <c r="D35" s="198"/>
      <c r="E35" s="1193"/>
      <c r="F35" s="744" t="s">
        <v>40</v>
      </c>
      <c r="G35" s="1383"/>
      <c r="H35" s="167" t="s">
        <v>48</v>
      </c>
      <c r="I35" s="167">
        <f>5.2+35.6</f>
        <v>40.799999999999997</v>
      </c>
      <c r="J35" s="366">
        <v>17.600000000000001</v>
      </c>
      <c r="K35" s="162"/>
      <c r="L35" s="589"/>
      <c r="M35" s="779" t="s">
        <v>127</v>
      </c>
      <c r="N35" s="780">
        <v>5</v>
      </c>
      <c r="O35" s="770">
        <v>5</v>
      </c>
      <c r="P35" s="781"/>
      <c r="Q35" s="780"/>
    </row>
    <row r="36" spans="1:17" ht="15" customHeight="1" x14ac:dyDescent="0.25">
      <c r="A36" s="774"/>
      <c r="B36" s="775"/>
      <c r="C36" s="1191"/>
      <c r="D36" s="776"/>
      <c r="E36" s="1193"/>
      <c r="F36" s="744"/>
      <c r="G36" s="1370" t="s">
        <v>170</v>
      </c>
      <c r="H36" s="16" t="s">
        <v>21</v>
      </c>
      <c r="I36" s="167">
        <v>0.5</v>
      </c>
      <c r="J36" s="124">
        <v>36.6</v>
      </c>
      <c r="K36" s="295">
        <v>49.4</v>
      </c>
      <c r="L36" s="633"/>
      <c r="M36" s="452"/>
      <c r="N36" s="139"/>
      <c r="O36" s="778"/>
      <c r="P36" s="782"/>
      <c r="Q36" s="67"/>
    </row>
    <row r="37" spans="1:17" ht="15" customHeight="1" x14ac:dyDescent="0.25">
      <c r="A37" s="524"/>
      <c r="B37" s="525"/>
      <c r="C37" s="1191"/>
      <c r="D37" s="520"/>
      <c r="E37" s="1193"/>
      <c r="F37" s="744" t="s">
        <v>279</v>
      </c>
      <c r="G37" s="1370"/>
      <c r="H37" s="167" t="s">
        <v>328</v>
      </c>
      <c r="I37" s="167">
        <v>64.400000000000006</v>
      </c>
      <c r="J37" s="366">
        <v>200</v>
      </c>
      <c r="K37" s="121">
        <v>207.5</v>
      </c>
      <c r="L37" s="633"/>
      <c r="M37" s="452"/>
      <c r="N37" s="139"/>
      <c r="O37" s="778"/>
      <c r="P37" s="782"/>
      <c r="Q37" s="67"/>
    </row>
    <row r="38" spans="1:17" ht="15" customHeight="1" x14ac:dyDescent="0.25">
      <c r="A38" s="217"/>
      <c r="B38" s="218"/>
      <c r="C38" s="1191"/>
      <c r="D38" s="105"/>
      <c r="E38" s="1193"/>
      <c r="F38" s="268" t="s">
        <v>98</v>
      </c>
      <c r="G38" s="1370"/>
      <c r="H38" s="167" t="s">
        <v>96</v>
      </c>
      <c r="I38" s="16">
        <f>542.2-184.2+60.4</f>
        <v>418.4</v>
      </c>
      <c r="J38" s="366">
        <v>738.2</v>
      </c>
      <c r="K38" s="295">
        <v>234.1</v>
      </c>
      <c r="L38" s="633"/>
      <c r="M38" s="404"/>
      <c r="N38" s="107"/>
      <c r="O38" s="302"/>
      <c r="P38" s="105"/>
      <c r="Q38" s="107"/>
    </row>
    <row r="39" spans="1:17" ht="15" customHeight="1" x14ac:dyDescent="0.25">
      <c r="A39" s="217"/>
      <c r="B39" s="79"/>
      <c r="C39" s="1191"/>
      <c r="D39" s="105"/>
      <c r="E39" s="1193"/>
      <c r="F39" s="268" t="s">
        <v>148</v>
      </c>
      <c r="G39" s="1370"/>
      <c r="H39" s="140" t="s">
        <v>64</v>
      </c>
      <c r="I39" s="167">
        <f>100-100</f>
        <v>0</v>
      </c>
      <c r="J39" s="366">
        <v>636.5</v>
      </c>
      <c r="K39" s="162">
        <v>592.79999999999995</v>
      </c>
      <c r="L39" s="15"/>
      <c r="M39" s="1194"/>
      <c r="N39" s="1185"/>
      <c r="O39" s="1183"/>
      <c r="P39" s="1184"/>
      <c r="Q39" s="1185"/>
    </row>
    <row r="40" spans="1:17" ht="15" customHeight="1" x14ac:dyDescent="0.25">
      <c r="A40" s="889"/>
      <c r="B40" s="79"/>
      <c r="C40" s="1191"/>
      <c r="D40" s="105"/>
      <c r="E40" s="1193"/>
      <c r="F40" s="888"/>
      <c r="G40" s="1370"/>
      <c r="H40" s="167" t="s">
        <v>210</v>
      </c>
      <c r="I40" s="16"/>
      <c r="J40" s="890">
        <v>65</v>
      </c>
      <c r="K40" s="295"/>
      <c r="L40" s="589"/>
      <c r="M40" s="1194"/>
      <c r="N40" s="1185"/>
      <c r="O40" s="1183"/>
      <c r="P40" s="1184"/>
      <c r="Q40" s="1185"/>
    </row>
    <row r="41" spans="1:17" ht="15" customHeight="1" x14ac:dyDescent="0.25">
      <c r="A41" s="217"/>
      <c r="B41" s="79"/>
      <c r="C41" s="1191"/>
      <c r="D41" s="105"/>
      <c r="E41" s="1193"/>
      <c r="F41" s="693" t="s">
        <v>224</v>
      </c>
      <c r="G41" s="1370"/>
      <c r="H41" s="219" t="s">
        <v>57</v>
      </c>
      <c r="I41" s="892"/>
      <c r="J41" s="891">
        <v>100</v>
      </c>
      <c r="K41" s="635"/>
      <c r="L41" s="636"/>
      <c r="M41" s="1432"/>
      <c r="N41" s="1376"/>
      <c r="O41" s="1393"/>
      <c r="P41" s="1385"/>
      <c r="Q41" s="1376"/>
    </row>
    <row r="42" spans="1:17" ht="15" customHeight="1" x14ac:dyDescent="0.25">
      <c r="A42" s="44"/>
      <c r="B42" s="79"/>
      <c r="C42" s="1191"/>
      <c r="D42" s="197" t="s">
        <v>28</v>
      </c>
      <c r="E42" s="1186" t="s">
        <v>173</v>
      </c>
      <c r="F42" s="211" t="s">
        <v>131</v>
      </c>
      <c r="G42" s="214"/>
      <c r="H42" s="435" t="s">
        <v>216</v>
      </c>
      <c r="I42" s="435">
        <f>194.3-104.7</f>
        <v>89.6</v>
      </c>
      <c r="J42" s="455"/>
      <c r="K42" s="137"/>
      <c r="L42" s="312"/>
      <c r="M42" s="1188" t="s">
        <v>307</v>
      </c>
      <c r="N42" s="626">
        <v>15</v>
      </c>
      <c r="O42" s="365">
        <v>50</v>
      </c>
      <c r="P42" s="563">
        <v>100</v>
      </c>
      <c r="Q42" s="281"/>
    </row>
    <row r="43" spans="1:17" ht="15" customHeight="1" x14ac:dyDescent="0.25">
      <c r="A43" s="44"/>
      <c r="B43" s="79"/>
      <c r="C43" s="1191"/>
      <c r="D43" s="198"/>
      <c r="E43" s="1187"/>
      <c r="F43" s="130" t="s">
        <v>40</v>
      </c>
      <c r="G43" s="191"/>
      <c r="H43" s="16" t="s">
        <v>21</v>
      </c>
      <c r="I43" s="16">
        <f>21.7+0.4</f>
        <v>22.1</v>
      </c>
      <c r="J43" s="925">
        <v>84.3</v>
      </c>
      <c r="K43" s="680">
        <v>324.3</v>
      </c>
      <c r="L43" s="589"/>
      <c r="M43" s="1189"/>
      <c r="N43" s="107"/>
      <c r="O43" s="801"/>
      <c r="P43" s="315"/>
      <c r="Q43" s="107"/>
    </row>
    <row r="44" spans="1:17" ht="15" customHeight="1" x14ac:dyDescent="0.25">
      <c r="A44" s="44"/>
      <c r="B44" s="79"/>
      <c r="C44" s="1191"/>
      <c r="D44" s="198"/>
      <c r="E44" s="1187"/>
      <c r="F44" s="693" t="s">
        <v>224</v>
      </c>
      <c r="G44" s="191"/>
      <c r="H44" s="167" t="s">
        <v>214</v>
      </c>
      <c r="I44" s="18">
        <v>150</v>
      </c>
      <c r="J44" s="366"/>
      <c r="K44" s="162"/>
      <c r="L44" s="588"/>
      <c r="M44" s="1189"/>
      <c r="N44" s="107"/>
      <c r="O44" s="302"/>
      <c r="P44" s="315"/>
      <c r="Q44" s="107"/>
    </row>
    <row r="45" spans="1:17" ht="15" customHeight="1" x14ac:dyDescent="0.25">
      <c r="A45" s="44"/>
      <c r="B45" s="79"/>
      <c r="C45" s="1191"/>
      <c r="D45" s="624"/>
      <c r="E45" s="1187"/>
      <c r="F45" s="268" t="s">
        <v>279</v>
      </c>
      <c r="G45" s="618"/>
      <c r="H45" s="18" t="s">
        <v>96</v>
      </c>
      <c r="I45" s="18">
        <f>125+9.3</f>
        <v>134.30000000000001</v>
      </c>
      <c r="J45" s="350">
        <v>233.2</v>
      </c>
      <c r="K45" s="121">
        <v>116.9</v>
      </c>
      <c r="L45" s="589"/>
      <c r="M45" s="1189"/>
      <c r="N45" s="107"/>
      <c r="O45" s="302"/>
      <c r="P45" s="315"/>
      <c r="Q45" s="107"/>
    </row>
    <row r="46" spans="1:17" ht="15" customHeight="1" x14ac:dyDescent="0.25">
      <c r="A46" s="44"/>
      <c r="B46" s="79"/>
      <c r="C46" s="1191"/>
      <c r="D46" s="886"/>
      <c r="E46" s="1187"/>
      <c r="F46" s="268" t="s">
        <v>148</v>
      </c>
      <c r="G46" s="887"/>
      <c r="H46" s="167" t="s">
        <v>210</v>
      </c>
      <c r="I46" s="18"/>
      <c r="J46" s="890">
        <v>15.8</v>
      </c>
      <c r="K46" s="121"/>
      <c r="L46" s="445"/>
      <c r="M46" s="1189"/>
      <c r="N46" s="107"/>
      <c r="O46" s="302"/>
      <c r="P46" s="315"/>
      <c r="Q46" s="107"/>
    </row>
    <row r="47" spans="1:17" ht="15" customHeight="1" x14ac:dyDescent="0.25">
      <c r="A47" s="44"/>
      <c r="B47" s="79"/>
      <c r="C47" s="1191"/>
      <c r="D47" s="886"/>
      <c r="E47" s="1187"/>
      <c r="F47" s="888"/>
      <c r="G47" s="887"/>
      <c r="H47" s="638" t="s">
        <v>57</v>
      </c>
      <c r="I47" s="18"/>
      <c r="J47" s="890">
        <v>118.6</v>
      </c>
      <c r="K47" s="121"/>
      <c r="L47" s="589"/>
      <c r="M47" s="1189"/>
      <c r="N47" s="107"/>
      <c r="O47" s="302"/>
      <c r="P47" s="315"/>
      <c r="Q47" s="107"/>
    </row>
    <row r="48" spans="1:17" ht="15" customHeight="1" x14ac:dyDescent="0.25">
      <c r="A48" s="44"/>
      <c r="B48" s="79"/>
      <c r="C48" s="1191"/>
      <c r="D48" s="923"/>
      <c r="E48" s="1187"/>
      <c r="F48" s="142"/>
      <c r="G48" s="922"/>
      <c r="H48" s="222" t="s">
        <v>234</v>
      </c>
      <c r="I48" s="18"/>
      <c r="J48" s="924">
        <v>98.1</v>
      </c>
      <c r="K48" s="121"/>
      <c r="L48" s="588"/>
      <c r="M48" s="1189"/>
      <c r="N48" s="107"/>
      <c r="O48" s="302"/>
      <c r="P48" s="315"/>
      <c r="Q48" s="107"/>
    </row>
    <row r="49" spans="1:17" ht="15" customHeight="1" x14ac:dyDescent="0.25">
      <c r="A49" s="44"/>
      <c r="B49" s="79"/>
      <c r="C49" s="1191"/>
      <c r="D49" s="198"/>
      <c r="E49" s="1187"/>
      <c r="G49" s="205"/>
      <c r="H49" s="222" t="s">
        <v>328</v>
      </c>
      <c r="I49" s="222"/>
      <c r="J49" s="366">
        <v>100</v>
      </c>
      <c r="K49" s="295"/>
      <c r="L49" s="634"/>
      <c r="M49" s="1380"/>
      <c r="N49" s="223"/>
      <c r="O49" s="322"/>
      <c r="P49" s="316"/>
      <c r="Q49" s="282"/>
    </row>
    <row r="50" spans="1:17" ht="15" customHeight="1" x14ac:dyDescent="0.25">
      <c r="A50" s="1215"/>
      <c r="B50" s="1216"/>
      <c r="C50" s="1219" t="s">
        <v>134</v>
      </c>
      <c r="D50" s="1358" t="s">
        <v>29</v>
      </c>
      <c r="E50" s="1207" t="s">
        <v>47</v>
      </c>
      <c r="F50" s="745" t="s">
        <v>131</v>
      </c>
      <c r="G50" s="1369" t="s">
        <v>142</v>
      </c>
      <c r="H50" s="435" t="s">
        <v>21</v>
      </c>
      <c r="I50" s="435">
        <f>1003.8-697.4-161.5-144.9+21.7</f>
        <v>21.7</v>
      </c>
      <c r="J50" s="455"/>
      <c r="K50" s="111"/>
      <c r="L50" s="312"/>
      <c r="M50" s="1213" t="s">
        <v>79</v>
      </c>
      <c r="N50" s="234">
        <v>100</v>
      </c>
      <c r="O50" s="323"/>
      <c r="P50" s="317"/>
      <c r="Q50" s="234"/>
    </row>
    <row r="51" spans="1:17" ht="15" customHeight="1" x14ac:dyDescent="0.25">
      <c r="A51" s="1215"/>
      <c r="B51" s="1216"/>
      <c r="C51" s="1220"/>
      <c r="D51" s="1359"/>
      <c r="E51" s="1208"/>
      <c r="F51" s="744" t="s">
        <v>40</v>
      </c>
      <c r="G51" s="1370"/>
      <c r="H51" s="16" t="s">
        <v>212</v>
      </c>
      <c r="I51" s="167">
        <f>358+64.4</f>
        <v>422.4</v>
      </c>
      <c r="J51" s="366"/>
      <c r="K51" s="121"/>
      <c r="L51" s="589"/>
      <c r="M51" s="1214"/>
      <c r="N51" s="231"/>
      <c r="O51" s="324"/>
      <c r="P51" s="318"/>
      <c r="Q51" s="231"/>
    </row>
    <row r="52" spans="1:17" ht="17.25" customHeight="1" x14ac:dyDescent="0.25">
      <c r="A52" s="1215"/>
      <c r="B52" s="1216"/>
      <c r="C52" s="1220"/>
      <c r="D52" s="1359"/>
      <c r="E52" s="1208"/>
      <c r="F52" s="905" t="s">
        <v>224</v>
      </c>
      <c r="G52" s="1370"/>
      <c r="H52" s="167" t="s">
        <v>328</v>
      </c>
      <c r="I52" s="16">
        <f>154.8+697.4-213.1-21.7-65-105.4</f>
        <v>447</v>
      </c>
      <c r="J52" s="23"/>
      <c r="K52" s="121"/>
      <c r="L52" s="445"/>
      <c r="M52" s="1214"/>
      <c r="N52" s="231"/>
      <c r="O52" s="324"/>
      <c r="P52" s="318"/>
      <c r="Q52" s="231"/>
    </row>
    <row r="53" spans="1:17" ht="17.25" customHeight="1" x14ac:dyDescent="0.25">
      <c r="A53" s="1215"/>
      <c r="B53" s="1216"/>
      <c r="C53" s="1220"/>
      <c r="D53" s="1359"/>
      <c r="E53" s="1208"/>
      <c r="F53" s="905"/>
      <c r="G53" s="1370"/>
      <c r="H53" s="167" t="s">
        <v>234</v>
      </c>
      <c r="I53" s="167"/>
      <c r="J53" s="366">
        <v>229.7</v>
      </c>
      <c r="K53" s="121"/>
      <c r="L53" s="589"/>
      <c r="M53" s="1214"/>
      <c r="N53" s="231"/>
      <c r="O53" s="324"/>
      <c r="P53" s="318"/>
      <c r="Q53" s="231"/>
    </row>
    <row r="54" spans="1:17" ht="15.65" customHeight="1" x14ac:dyDescent="0.25">
      <c r="A54" s="1215"/>
      <c r="B54" s="1216"/>
      <c r="C54" s="1220"/>
      <c r="D54" s="1359"/>
      <c r="E54" s="1208"/>
      <c r="F54" s="921"/>
      <c r="G54" s="1370"/>
      <c r="H54" s="167" t="s">
        <v>48</v>
      </c>
      <c r="I54" s="167">
        <v>475.5</v>
      </c>
      <c r="J54" s="366">
        <v>5.5</v>
      </c>
      <c r="K54" s="121"/>
      <c r="L54" s="589"/>
      <c r="M54" s="1214"/>
      <c r="N54" s="231"/>
      <c r="O54" s="324"/>
      <c r="P54" s="318"/>
      <c r="Q54" s="231"/>
    </row>
    <row r="55" spans="1:17" ht="17.25" customHeight="1" x14ac:dyDescent="0.25">
      <c r="A55" s="1215"/>
      <c r="B55" s="1216"/>
      <c r="C55" s="1220"/>
      <c r="D55" s="1360"/>
      <c r="E55" s="1208"/>
      <c r="F55" s="921"/>
      <c r="G55" s="1370"/>
      <c r="H55" s="222" t="s">
        <v>64</v>
      </c>
      <c r="I55" s="77">
        <f>200+78-102-14</f>
        <v>162</v>
      </c>
      <c r="J55" s="28"/>
      <c r="K55" s="355"/>
      <c r="L55" s="634"/>
      <c r="M55" s="447"/>
      <c r="N55" s="233"/>
      <c r="O55" s="325"/>
      <c r="P55" s="319"/>
      <c r="Q55" s="233"/>
    </row>
    <row r="56" spans="1:17" ht="14.25" customHeight="1" x14ac:dyDescent="0.25">
      <c r="A56" s="1215"/>
      <c r="B56" s="1216"/>
      <c r="C56" s="1220"/>
      <c r="D56" s="81" t="s">
        <v>30</v>
      </c>
      <c r="E56" s="1192" t="s">
        <v>94</v>
      </c>
      <c r="F56" s="56" t="s">
        <v>131</v>
      </c>
      <c r="G56" s="1370"/>
      <c r="H56" s="76" t="s">
        <v>21</v>
      </c>
      <c r="I56" s="76">
        <f>300-119.8</f>
        <v>180.2</v>
      </c>
      <c r="J56" s="455">
        <v>105.6</v>
      </c>
      <c r="K56" s="137"/>
      <c r="L56" s="312"/>
      <c r="M56" s="1234" t="s">
        <v>180</v>
      </c>
      <c r="N56" s="230">
        <v>100</v>
      </c>
      <c r="O56" s="326"/>
      <c r="P56" s="320"/>
      <c r="Q56" s="230"/>
    </row>
    <row r="57" spans="1:17" ht="14.25" customHeight="1" x14ac:dyDescent="0.25">
      <c r="A57" s="1215"/>
      <c r="B57" s="1216"/>
      <c r="C57" s="1220"/>
      <c r="D57" s="81"/>
      <c r="E57" s="1193"/>
      <c r="F57" s="744" t="s">
        <v>40</v>
      </c>
      <c r="G57" s="1370"/>
      <c r="H57" s="18" t="s">
        <v>216</v>
      </c>
      <c r="I57" s="167">
        <f>119.8-119.8</f>
        <v>0</v>
      </c>
      <c r="J57" s="23"/>
      <c r="K57" s="295"/>
      <c r="L57" s="588"/>
      <c r="M57" s="1218"/>
      <c r="N57" s="231"/>
      <c r="O57" s="324"/>
      <c r="P57" s="318"/>
      <c r="Q57" s="231"/>
    </row>
    <row r="58" spans="1:17" ht="15.75" customHeight="1" x14ac:dyDescent="0.25">
      <c r="A58" s="1215"/>
      <c r="B58" s="1216"/>
      <c r="C58" s="1220"/>
      <c r="D58" s="30"/>
      <c r="E58" s="1193"/>
      <c r="F58" s="905" t="s">
        <v>224</v>
      </c>
      <c r="G58" s="1370"/>
      <c r="H58" s="18" t="s">
        <v>64</v>
      </c>
      <c r="I58" s="16">
        <f>800+80+192.6</f>
        <v>1072.5999999999999</v>
      </c>
      <c r="J58" s="350">
        <v>903.9</v>
      </c>
      <c r="K58" s="162"/>
      <c r="L58" s="588"/>
      <c r="M58" s="1381"/>
      <c r="N58" s="232"/>
      <c r="O58" s="327"/>
      <c r="P58" s="321"/>
      <c r="Q58" s="232"/>
    </row>
    <row r="59" spans="1:17" ht="15.75" customHeight="1" x14ac:dyDescent="0.25">
      <c r="A59" s="1215"/>
      <c r="B59" s="1216"/>
      <c r="C59" s="1220"/>
      <c r="D59" s="30"/>
      <c r="E59" s="192"/>
      <c r="F59" s="746" t="s">
        <v>148</v>
      </c>
      <c r="G59" s="100"/>
      <c r="H59" s="167" t="s">
        <v>234</v>
      </c>
      <c r="I59" s="167"/>
      <c r="J59" s="366">
        <v>300</v>
      </c>
      <c r="K59" s="295"/>
      <c r="L59" s="588"/>
      <c r="M59" s="1217" t="s">
        <v>307</v>
      </c>
      <c r="N59" s="1384">
        <v>50</v>
      </c>
      <c r="O59" s="1228">
        <v>100</v>
      </c>
      <c r="P59" s="1406"/>
      <c r="Q59" s="1377"/>
    </row>
    <row r="60" spans="1:17" ht="15.75" customHeight="1" x14ac:dyDescent="0.25">
      <c r="A60" s="1215"/>
      <c r="B60" s="1216"/>
      <c r="C60" s="1220"/>
      <c r="D60" s="30"/>
      <c r="E60" s="192"/>
      <c r="F60" s="746" t="s">
        <v>279</v>
      </c>
      <c r="G60" s="100"/>
      <c r="H60" s="167" t="s">
        <v>48</v>
      </c>
      <c r="I60" s="167"/>
      <c r="J60" s="366">
        <v>28.3</v>
      </c>
      <c r="K60" s="295"/>
      <c r="L60" s="589"/>
      <c r="M60" s="1218"/>
      <c r="N60" s="1378"/>
      <c r="O60" s="1229"/>
      <c r="P60" s="1407"/>
      <c r="Q60" s="1378"/>
    </row>
    <row r="61" spans="1:17" ht="21" customHeight="1" x14ac:dyDescent="0.25">
      <c r="A61" s="1215"/>
      <c r="B61" s="1216"/>
      <c r="C61" s="1414"/>
      <c r="D61" s="104"/>
      <c r="E61" s="210"/>
      <c r="F61" s="156"/>
      <c r="G61" s="101"/>
      <c r="H61" s="60"/>
      <c r="I61" s="77"/>
      <c r="J61" s="28"/>
      <c r="K61" s="296"/>
      <c r="L61" s="242"/>
      <c r="M61" s="1235"/>
      <c r="N61" s="1379"/>
      <c r="O61" s="1375"/>
      <c r="P61" s="1408"/>
      <c r="Q61" s="1379"/>
    </row>
    <row r="62" spans="1:17" ht="14.25" customHeight="1" x14ac:dyDescent="0.25">
      <c r="A62" s="194"/>
      <c r="B62" s="195"/>
      <c r="C62" s="50"/>
      <c r="D62" s="1359" t="s">
        <v>31</v>
      </c>
      <c r="E62" s="1187" t="s">
        <v>126</v>
      </c>
      <c r="F62" s="744" t="s">
        <v>131</v>
      </c>
      <c r="G62" s="1361" t="s">
        <v>145</v>
      </c>
      <c r="H62" s="76" t="s">
        <v>64</v>
      </c>
      <c r="I62" s="435">
        <f>29.9+8.6-31.8</f>
        <v>6.7</v>
      </c>
      <c r="J62" s="455"/>
      <c r="K62" s="137"/>
      <c r="L62" s="583"/>
      <c r="M62" s="1213" t="s">
        <v>78</v>
      </c>
      <c r="N62" s="85">
        <v>100</v>
      </c>
      <c r="O62" s="300"/>
      <c r="P62" s="308"/>
      <c r="Q62" s="85"/>
    </row>
    <row r="63" spans="1:17" ht="14.25" customHeight="1" x14ac:dyDescent="0.25">
      <c r="A63" s="194"/>
      <c r="B63" s="195"/>
      <c r="C63" s="50"/>
      <c r="D63" s="1359"/>
      <c r="E63" s="1187"/>
      <c r="F63" s="744" t="s">
        <v>40</v>
      </c>
      <c r="G63" s="1412"/>
      <c r="H63" s="18" t="s">
        <v>21</v>
      </c>
      <c r="I63" s="16">
        <f>9.9+10.1-20</f>
        <v>0</v>
      </c>
      <c r="J63" s="366"/>
      <c r="K63" s="162"/>
      <c r="L63" s="445"/>
      <c r="M63" s="1214"/>
      <c r="N63" s="86"/>
      <c r="O63" s="298"/>
      <c r="P63" s="305"/>
      <c r="Q63" s="86"/>
    </row>
    <row r="64" spans="1:17" ht="14.25" customHeight="1" x14ac:dyDescent="0.25">
      <c r="A64" s="194"/>
      <c r="B64" s="195"/>
      <c r="C64" s="50"/>
      <c r="D64" s="1359"/>
      <c r="E64" s="1187"/>
      <c r="F64" s="693" t="s">
        <v>224</v>
      </c>
      <c r="G64" s="1412"/>
      <c r="H64" s="18" t="s">
        <v>96</v>
      </c>
      <c r="I64" s="167">
        <f>33.7-0.4</f>
        <v>33.299999999999997</v>
      </c>
      <c r="J64" s="366"/>
      <c r="K64" s="295"/>
      <c r="L64" s="589"/>
      <c r="M64" s="420"/>
      <c r="N64" s="86"/>
      <c r="O64" s="298"/>
      <c r="P64" s="305"/>
      <c r="Q64" s="86"/>
    </row>
    <row r="65" spans="1:17" ht="14.25" customHeight="1" x14ac:dyDescent="0.25">
      <c r="A65" s="194"/>
      <c r="B65" s="195"/>
      <c r="C65" s="50"/>
      <c r="D65" s="1359"/>
      <c r="E65" s="1187"/>
      <c r="F65" s="268"/>
      <c r="G65" s="1412"/>
      <c r="H65" s="18" t="s">
        <v>210</v>
      </c>
      <c r="I65" s="167">
        <f>59.1+0.4</f>
        <v>59.5</v>
      </c>
      <c r="J65" s="23"/>
      <c r="K65" s="162"/>
      <c r="L65" s="589"/>
      <c r="M65" s="420"/>
      <c r="N65" s="86"/>
      <c r="O65" s="298"/>
      <c r="P65" s="305"/>
      <c r="Q65" s="86"/>
    </row>
    <row r="66" spans="1:17" ht="14.25" customHeight="1" x14ac:dyDescent="0.25">
      <c r="A66" s="194"/>
      <c r="B66" s="195"/>
      <c r="C66" s="50"/>
      <c r="D66" s="1359"/>
      <c r="E66" s="1187"/>
      <c r="F66" s="268"/>
      <c r="G66" s="1413"/>
      <c r="H66" s="222" t="s">
        <v>38</v>
      </c>
      <c r="I66" s="222">
        <v>16.2</v>
      </c>
      <c r="J66" s="632"/>
      <c r="K66" s="355"/>
      <c r="L66" s="242"/>
      <c r="M66" s="420"/>
      <c r="N66" s="86"/>
      <c r="O66" s="298"/>
      <c r="P66" s="305"/>
      <c r="Q66" s="86"/>
    </row>
    <row r="67" spans="1:17" ht="15" customHeight="1" x14ac:dyDescent="0.25">
      <c r="A67" s="194"/>
      <c r="B67" s="195"/>
      <c r="C67" s="50"/>
      <c r="D67" s="1358" t="s">
        <v>90</v>
      </c>
      <c r="E67" s="1224" t="s">
        <v>174</v>
      </c>
      <c r="F67" s="958" t="s">
        <v>40</v>
      </c>
      <c r="G67" s="1361" t="s">
        <v>142</v>
      </c>
      <c r="H67" s="435" t="s">
        <v>21</v>
      </c>
      <c r="I67" s="76">
        <f>30-13.7+13.7-30</f>
        <v>0</v>
      </c>
      <c r="J67" s="455"/>
      <c r="K67" s="111">
        <v>50</v>
      </c>
      <c r="L67" s="583">
        <v>103.2</v>
      </c>
      <c r="M67" s="403" t="s">
        <v>39</v>
      </c>
      <c r="N67" s="477"/>
      <c r="O67" s="331"/>
      <c r="P67" s="337">
        <v>1</v>
      </c>
      <c r="Q67" s="236"/>
    </row>
    <row r="68" spans="1:17" ht="15" customHeight="1" x14ac:dyDescent="0.25">
      <c r="A68" s="619"/>
      <c r="B68" s="625"/>
      <c r="C68" s="50"/>
      <c r="D68" s="1359"/>
      <c r="E68" s="1225"/>
      <c r="F68" s="693" t="s">
        <v>279</v>
      </c>
      <c r="G68" s="1362"/>
      <c r="H68" s="16" t="s">
        <v>48</v>
      </c>
      <c r="I68" s="18"/>
      <c r="J68" s="294">
        <v>30</v>
      </c>
      <c r="K68" s="121"/>
      <c r="L68" s="445"/>
      <c r="M68" s="404" t="s">
        <v>307</v>
      </c>
      <c r="N68" s="86"/>
      <c r="O68" s="298"/>
      <c r="P68" s="338"/>
      <c r="Q68" s="86">
        <v>10</v>
      </c>
    </row>
    <row r="69" spans="1:17" ht="15" customHeight="1" x14ac:dyDescent="0.25">
      <c r="A69" s="274"/>
      <c r="B69" s="275"/>
      <c r="C69" s="50"/>
      <c r="D69" s="1360"/>
      <c r="E69" s="1226"/>
      <c r="F69" s="283" t="s">
        <v>148</v>
      </c>
      <c r="G69" s="1362"/>
      <c r="H69" s="77"/>
      <c r="I69" s="16"/>
      <c r="J69" s="313"/>
      <c r="K69" s="296"/>
      <c r="L69" s="445"/>
      <c r="M69" s="168"/>
      <c r="N69" s="86"/>
      <c r="O69" s="301"/>
      <c r="P69" s="309"/>
      <c r="Q69" s="547"/>
    </row>
    <row r="70" spans="1:17" ht="27" customHeight="1" x14ac:dyDescent="0.25">
      <c r="A70" s="194"/>
      <c r="B70" s="195"/>
      <c r="C70" s="196"/>
      <c r="D70" s="197" t="s">
        <v>133</v>
      </c>
      <c r="E70" s="1187" t="s">
        <v>119</v>
      </c>
      <c r="F70" s="129" t="s">
        <v>131</v>
      </c>
      <c r="G70" s="1362"/>
      <c r="H70" s="631" t="s">
        <v>21</v>
      </c>
      <c r="I70" s="435">
        <f>191.4-41.4+250-190</f>
        <v>210</v>
      </c>
      <c r="J70" s="455">
        <v>120</v>
      </c>
      <c r="K70" s="137"/>
      <c r="L70" s="583">
        <v>200</v>
      </c>
      <c r="M70" s="404" t="s">
        <v>324</v>
      </c>
      <c r="N70" s="85">
        <v>35</v>
      </c>
      <c r="O70" s="591">
        <v>100</v>
      </c>
      <c r="P70" s="308"/>
      <c r="Q70" s="85"/>
    </row>
    <row r="71" spans="1:17" ht="15" customHeight="1" x14ac:dyDescent="0.25">
      <c r="A71" s="703"/>
      <c r="B71" s="704"/>
      <c r="C71" s="705"/>
      <c r="D71" s="702"/>
      <c r="E71" s="1187"/>
      <c r="F71" s="744" t="s">
        <v>279</v>
      </c>
      <c r="G71" s="1362"/>
      <c r="H71" s="716" t="s">
        <v>64</v>
      </c>
      <c r="I71" s="16">
        <f>200-53.5+102+31.8-76.6</f>
        <v>203.7</v>
      </c>
      <c r="J71" s="23">
        <v>276.60000000000002</v>
      </c>
      <c r="K71" s="162">
        <v>200</v>
      </c>
      <c r="L71" s="445">
        <v>200</v>
      </c>
      <c r="M71" s="1222" t="s">
        <v>325</v>
      </c>
      <c r="N71" s="513"/>
      <c r="O71" s="332"/>
      <c r="P71" s="338">
        <v>15</v>
      </c>
      <c r="Q71" s="244">
        <v>60</v>
      </c>
    </row>
    <row r="72" spans="1:17" ht="15" customHeight="1" x14ac:dyDescent="0.25">
      <c r="A72" s="703"/>
      <c r="B72" s="704"/>
      <c r="C72" s="705"/>
      <c r="D72" s="702"/>
      <c r="E72" s="1187"/>
      <c r="F72" s="693" t="s">
        <v>148</v>
      </c>
      <c r="G72" s="1362"/>
      <c r="H72" s="18" t="s">
        <v>234</v>
      </c>
      <c r="I72" s="18"/>
      <c r="J72" s="366">
        <v>100</v>
      </c>
      <c r="K72" s="121"/>
      <c r="L72" s="588"/>
      <c r="M72" s="1214"/>
      <c r="N72" s="86"/>
      <c r="O72" s="298"/>
      <c r="P72" s="305"/>
      <c r="Q72" s="86"/>
    </row>
    <row r="73" spans="1:17" ht="15" customHeight="1" x14ac:dyDescent="0.25">
      <c r="A73" s="194"/>
      <c r="B73" s="195"/>
      <c r="C73" s="196"/>
      <c r="D73" s="106"/>
      <c r="E73" s="1187"/>
      <c r="F73" s="744"/>
      <c r="G73" s="1362"/>
      <c r="H73" s="18" t="s">
        <v>48</v>
      </c>
      <c r="I73" s="643"/>
      <c r="J73" s="784">
        <v>50</v>
      </c>
      <c r="K73" s="355"/>
      <c r="L73" s="634"/>
      <c r="M73" s="168"/>
      <c r="N73" s="224"/>
      <c r="O73" s="228"/>
      <c r="P73" s="141"/>
      <c r="Q73" s="224"/>
    </row>
    <row r="74" spans="1:17" ht="26.5" customHeight="1" x14ac:dyDescent="0.25">
      <c r="A74" s="194"/>
      <c r="B74" s="201"/>
      <c r="C74" s="47"/>
      <c r="D74" s="1359" t="s">
        <v>89</v>
      </c>
      <c r="E74" s="1205" t="s">
        <v>161</v>
      </c>
      <c r="F74" s="211" t="s">
        <v>148</v>
      </c>
      <c r="G74" s="1362"/>
      <c r="H74" s="76" t="s">
        <v>21</v>
      </c>
      <c r="I74" s="435">
        <f>381.6-100</f>
        <v>281.60000000000002</v>
      </c>
      <c r="J74" s="114">
        <v>430</v>
      </c>
      <c r="K74" s="137">
        <v>450</v>
      </c>
      <c r="L74" s="312">
        <v>324</v>
      </c>
      <c r="M74" s="451" t="s">
        <v>130</v>
      </c>
      <c r="N74" s="88">
        <v>100</v>
      </c>
      <c r="O74" s="331"/>
      <c r="P74" s="337"/>
      <c r="Q74" s="88"/>
    </row>
    <row r="75" spans="1:17" ht="26.5" customHeight="1" x14ac:dyDescent="0.25">
      <c r="A75" s="200"/>
      <c r="B75" s="201"/>
      <c r="C75" s="48"/>
      <c r="D75" s="1359"/>
      <c r="E75" s="1206"/>
      <c r="F75" s="744" t="s">
        <v>131</v>
      </c>
      <c r="G75" s="1362"/>
      <c r="H75" s="18" t="s">
        <v>38</v>
      </c>
      <c r="I75" s="167">
        <f>159.9-62</f>
        <v>97.9</v>
      </c>
      <c r="J75" s="366">
        <v>293.60000000000002</v>
      </c>
      <c r="K75" s="295"/>
      <c r="L75" s="588"/>
      <c r="M75" s="417" t="s">
        <v>129</v>
      </c>
      <c r="N75" s="180">
        <v>100</v>
      </c>
      <c r="O75" s="299"/>
      <c r="P75" s="306"/>
      <c r="Q75" s="180"/>
    </row>
    <row r="76" spans="1:17" ht="26.5" customHeight="1" x14ac:dyDescent="0.25">
      <c r="A76" s="200"/>
      <c r="B76" s="195"/>
      <c r="C76" s="48"/>
      <c r="D76" s="198"/>
      <c r="E76" s="189"/>
      <c r="F76" s="149"/>
      <c r="G76" s="1362"/>
      <c r="H76" s="637" t="s">
        <v>64</v>
      </c>
      <c r="I76" s="167">
        <v>100</v>
      </c>
      <c r="J76" s="366"/>
      <c r="K76" s="162"/>
      <c r="L76" s="588"/>
      <c r="M76" s="417" t="s">
        <v>198</v>
      </c>
      <c r="N76" s="108">
        <v>100</v>
      </c>
      <c r="O76" s="332"/>
      <c r="P76" s="338"/>
      <c r="Q76" s="108"/>
    </row>
    <row r="77" spans="1:17" ht="27.65" customHeight="1" x14ac:dyDescent="0.25">
      <c r="A77" s="200"/>
      <c r="B77" s="195"/>
      <c r="C77" s="48"/>
      <c r="D77" s="198"/>
      <c r="E77" s="189"/>
      <c r="F77" s="149"/>
      <c r="G77" s="1362"/>
      <c r="H77" s="18" t="s">
        <v>48</v>
      </c>
      <c r="I77" s="16">
        <v>42.3</v>
      </c>
      <c r="J77" s="350"/>
      <c r="K77" s="121"/>
      <c r="L77" s="589"/>
      <c r="M77" s="417" t="s">
        <v>199</v>
      </c>
      <c r="N77" s="108">
        <v>100</v>
      </c>
      <c r="O77" s="332"/>
      <c r="P77" s="338"/>
      <c r="Q77" s="108"/>
    </row>
    <row r="78" spans="1:17" ht="27" customHeight="1" x14ac:dyDescent="0.25">
      <c r="A78" s="720"/>
      <c r="B78" s="719"/>
      <c r="C78" s="48"/>
      <c r="D78" s="717"/>
      <c r="E78" s="718"/>
      <c r="F78" s="149"/>
      <c r="G78" s="1362"/>
      <c r="H78" s="167" t="s">
        <v>328</v>
      </c>
      <c r="I78" s="18"/>
      <c r="J78" s="366">
        <v>120</v>
      </c>
      <c r="K78" s="295"/>
      <c r="L78" s="445"/>
      <c r="M78" s="417" t="s">
        <v>317</v>
      </c>
      <c r="N78" s="108">
        <v>30</v>
      </c>
      <c r="O78" s="497">
        <v>100</v>
      </c>
      <c r="P78" s="338"/>
      <c r="Q78" s="108"/>
    </row>
    <row r="79" spans="1:17" ht="28" customHeight="1" x14ac:dyDescent="0.25">
      <c r="A79" s="720"/>
      <c r="B79" s="719"/>
      <c r="C79" s="48"/>
      <c r="D79" s="717"/>
      <c r="E79" s="718"/>
      <c r="F79" s="149"/>
      <c r="G79" s="1362"/>
      <c r="H79" s="16"/>
      <c r="I79" s="18"/>
      <c r="J79" s="294"/>
      <c r="K79" s="162"/>
      <c r="L79" s="588"/>
      <c r="M79" s="404" t="s">
        <v>319</v>
      </c>
      <c r="N79" s="108"/>
      <c r="O79" s="497">
        <v>60</v>
      </c>
      <c r="P79" s="338">
        <v>100</v>
      </c>
      <c r="Q79" s="108"/>
    </row>
    <row r="80" spans="1:17" ht="26.15" customHeight="1" x14ac:dyDescent="0.25">
      <c r="A80" s="720"/>
      <c r="B80" s="719"/>
      <c r="C80" s="48"/>
      <c r="D80" s="717"/>
      <c r="E80" s="718"/>
      <c r="F80" s="149"/>
      <c r="G80" s="1362"/>
      <c r="H80" s="16"/>
      <c r="I80" s="16"/>
      <c r="J80" s="294"/>
      <c r="K80" s="162"/>
      <c r="L80" s="445"/>
      <c r="M80" s="454" t="s">
        <v>318</v>
      </c>
      <c r="N80" s="108"/>
      <c r="O80" s="497">
        <v>45</v>
      </c>
      <c r="P80" s="338">
        <v>75</v>
      </c>
      <c r="Q80" s="108">
        <v>100</v>
      </c>
    </row>
    <row r="81" spans="1:17" ht="26.5" customHeight="1" x14ac:dyDescent="0.25">
      <c r="A81" s="200"/>
      <c r="B81" s="195"/>
      <c r="C81" s="48"/>
      <c r="D81" s="106"/>
      <c r="E81" s="189"/>
      <c r="F81" s="150"/>
      <c r="G81" s="1362"/>
      <c r="H81" s="219"/>
      <c r="I81" s="168"/>
      <c r="J81" s="228"/>
      <c r="K81" s="141"/>
      <c r="L81" s="547"/>
      <c r="M81" s="418" t="s">
        <v>320</v>
      </c>
      <c r="N81" s="482"/>
      <c r="O81" s="480">
        <v>30</v>
      </c>
      <c r="P81" s="339">
        <v>70</v>
      </c>
      <c r="Q81" s="239">
        <v>100</v>
      </c>
    </row>
    <row r="82" spans="1:17" ht="15" customHeight="1" x14ac:dyDescent="0.25">
      <c r="A82" s="278"/>
      <c r="B82" s="275"/>
      <c r="C82" s="48"/>
      <c r="D82" s="793" t="s">
        <v>137</v>
      </c>
      <c r="E82" s="1186" t="s">
        <v>253</v>
      </c>
      <c r="F82" s="130" t="s">
        <v>40</v>
      </c>
      <c r="G82" s="1362"/>
      <c r="H82" s="59" t="s">
        <v>21</v>
      </c>
      <c r="I82" s="647"/>
      <c r="J82" s="648">
        <v>100</v>
      </c>
      <c r="K82" s="649">
        <v>300</v>
      </c>
      <c r="L82" s="650">
        <v>439.4</v>
      </c>
      <c r="M82" s="628" t="s">
        <v>307</v>
      </c>
      <c r="N82" s="613"/>
      <c r="O82" s="320">
        <v>15</v>
      </c>
      <c r="P82" s="490">
        <v>50</v>
      </c>
      <c r="Q82" s="235">
        <v>100</v>
      </c>
    </row>
    <row r="83" spans="1:17" ht="15" customHeight="1" x14ac:dyDescent="0.25">
      <c r="A83" s="967"/>
      <c r="B83" s="956"/>
      <c r="C83" s="48"/>
      <c r="D83" s="940"/>
      <c r="E83" s="1187"/>
      <c r="F83" s="744" t="s">
        <v>131</v>
      </c>
      <c r="G83" s="1362"/>
      <c r="H83" s="652"/>
      <c r="I83" s="944"/>
      <c r="J83" s="871"/>
      <c r="K83" s="969"/>
      <c r="L83" s="970"/>
      <c r="M83" s="953"/>
      <c r="N83" s="483"/>
      <c r="O83" s="318"/>
      <c r="P83" s="971"/>
      <c r="Q83" s="644"/>
    </row>
    <row r="84" spans="1:17" ht="15" customHeight="1" x14ac:dyDescent="0.25">
      <c r="A84" s="627"/>
      <c r="B84" s="625"/>
      <c r="C84" s="48"/>
      <c r="D84" s="793"/>
      <c r="E84" s="1187"/>
      <c r="F84" s="130" t="s">
        <v>277</v>
      </c>
      <c r="G84" s="1362"/>
      <c r="H84" s="617" t="s">
        <v>64</v>
      </c>
      <c r="I84" s="674"/>
      <c r="J84" s="894">
        <v>500</v>
      </c>
      <c r="K84" s="895">
        <v>1744.2</v>
      </c>
      <c r="L84" s="896">
        <v>2547</v>
      </c>
      <c r="M84" s="404"/>
      <c r="N84" s="483"/>
      <c r="O84" s="324"/>
      <c r="P84" s="646"/>
      <c r="Q84" s="644"/>
    </row>
    <row r="85" spans="1:17" ht="15" customHeight="1" x14ac:dyDescent="0.25">
      <c r="A85" s="278"/>
      <c r="B85" s="275"/>
      <c r="C85" s="48"/>
      <c r="D85" s="105"/>
      <c r="E85" s="1227"/>
      <c r="F85" s="799" t="s">
        <v>148</v>
      </c>
      <c r="G85" s="1363"/>
      <c r="H85" s="893"/>
      <c r="I85" s="168"/>
      <c r="J85" s="229"/>
      <c r="K85" s="304"/>
      <c r="L85" s="897"/>
      <c r="M85" s="168"/>
      <c r="N85" s="168"/>
      <c r="P85" s="141"/>
      <c r="Q85" s="243"/>
    </row>
    <row r="86" spans="1:17" ht="20.5" customHeight="1" x14ac:dyDescent="0.25">
      <c r="A86" s="200"/>
      <c r="B86" s="195"/>
      <c r="C86" s="50"/>
      <c r="D86" s="276" t="s">
        <v>138</v>
      </c>
      <c r="E86" s="1186" t="s">
        <v>99</v>
      </c>
      <c r="F86" s="129" t="s">
        <v>40</v>
      </c>
      <c r="G86" s="203" t="s">
        <v>143</v>
      </c>
      <c r="H86" s="59" t="s">
        <v>21</v>
      </c>
      <c r="I86" s="435">
        <v>13.3</v>
      </c>
      <c r="J86" s="455">
        <v>26</v>
      </c>
      <c r="K86" s="137">
        <v>28.8</v>
      </c>
      <c r="L86" s="583"/>
      <c r="M86" s="451" t="s">
        <v>39</v>
      </c>
      <c r="N86" s="477">
        <v>1</v>
      </c>
      <c r="O86" s="331"/>
      <c r="P86" s="337"/>
      <c r="Q86" s="236"/>
    </row>
    <row r="87" spans="1:17" ht="19.5" customHeight="1" x14ac:dyDescent="0.25">
      <c r="A87" s="278"/>
      <c r="B87" s="275"/>
      <c r="C87" s="50"/>
      <c r="D87" s="277"/>
      <c r="E87" s="1187"/>
      <c r="F87" s="693" t="s">
        <v>148</v>
      </c>
      <c r="G87" s="1362" t="s">
        <v>142</v>
      </c>
      <c r="H87" s="652" t="s">
        <v>48</v>
      </c>
      <c r="I87" s="140"/>
      <c r="J87" s="124">
        <v>5.5</v>
      </c>
      <c r="K87" s="162"/>
      <c r="L87" s="124"/>
      <c r="M87" s="1222" t="s">
        <v>307</v>
      </c>
      <c r="N87" s="86"/>
      <c r="O87" s="298">
        <v>50</v>
      </c>
      <c r="P87" s="305">
        <v>100</v>
      </c>
      <c r="Q87" s="86"/>
    </row>
    <row r="88" spans="1:17" ht="22.4" customHeight="1" x14ac:dyDescent="0.25">
      <c r="A88" s="200"/>
      <c r="B88" s="195"/>
      <c r="C88" s="50"/>
      <c r="D88" s="133"/>
      <c r="E88" s="1221"/>
      <c r="F88" s="283" t="s">
        <v>279</v>
      </c>
      <c r="G88" s="1363"/>
      <c r="H88" s="60" t="s">
        <v>96</v>
      </c>
      <c r="I88" s="77"/>
      <c r="J88" s="632">
        <v>79.2</v>
      </c>
      <c r="K88" s="355">
        <v>79.2</v>
      </c>
      <c r="L88" s="634"/>
      <c r="M88" s="1223"/>
      <c r="N88" s="87"/>
      <c r="O88" s="301"/>
      <c r="P88" s="309"/>
      <c r="Q88" s="87"/>
    </row>
    <row r="89" spans="1:17" ht="15.65" customHeight="1" x14ac:dyDescent="0.25">
      <c r="A89" s="539"/>
      <c r="B89" s="537"/>
      <c r="C89" s="50"/>
      <c r="D89" s="792" t="s">
        <v>139</v>
      </c>
      <c r="E89" s="1186" t="s">
        <v>276</v>
      </c>
      <c r="F89" s="129" t="s">
        <v>40</v>
      </c>
      <c r="G89" s="1361" t="s">
        <v>278</v>
      </c>
      <c r="H89" s="59" t="s">
        <v>21</v>
      </c>
      <c r="I89" s="76"/>
      <c r="J89" s="113">
        <v>9.6999999999999993</v>
      </c>
      <c r="K89" s="577"/>
      <c r="L89" s="584"/>
      <c r="M89" s="526" t="s">
        <v>39</v>
      </c>
      <c r="N89" s="477"/>
      <c r="O89" s="331">
        <v>1</v>
      </c>
      <c r="P89" s="549"/>
      <c r="Q89" s="236"/>
    </row>
    <row r="90" spans="1:17" ht="15" customHeight="1" x14ac:dyDescent="0.25">
      <c r="A90" s="539"/>
      <c r="B90" s="537"/>
      <c r="C90" s="50"/>
      <c r="D90" s="793"/>
      <c r="E90" s="1187"/>
      <c r="F90" s="130" t="s">
        <v>277</v>
      </c>
      <c r="G90" s="1362"/>
      <c r="H90" s="674" t="s">
        <v>21</v>
      </c>
      <c r="I90" s="18"/>
      <c r="J90" s="350">
        <v>87.4</v>
      </c>
      <c r="K90" s="582"/>
      <c r="L90" s="578"/>
      <c r="M90" s="1222" t="s">
        <v>307</v>
      </c>
      <c r="N90" s="86"/>
      <c r="O90" s="298">
        <v>100</v>
      </c>
      <c r="P90" s="550"/>
      <c r="Q90" s="86"/>
    </row>
    <row r="91" spans="1:17" ht="26.15" customHeight="1" x14ac:dyDescent="0.25">
      <c r="A91" s="539"/>
      <c r="B91" s="537"/>
      <c r="C91" s="50"/>
      <c r="D91" s="133"/>
      <c r="E91" s="1221"/>
      <c r="F91" s="798" t="s">
        <v>148</v>
      </c>
      <c r="G91" s="1363"/>
      <c r="H91" s="60"/>
      <c r="I91" s="77"/>
      <c r="J91" s="109"/>
      <c r="K91" s="580"/>
      <c r="L91" s="579"/>
      <c r="M91" s="1223"/>
      <c r="N91" s="87"/>
      <c r="O91" s="301"/>
      <c r="P91" s="551"/>
      <c r="Q91" s="87"/>
    </row>
    <row r="92" spans="1:17" ht="17.25" customHeight="1" x14ac:dyDescent="0.25">
      <c r="A92" s="194"/>
      <c r="B92" s="201"/>
      <c r="C92" s="48"/>
      <c r="D92" s="197" t="s">
        <v>140</v>
      </c>
      <c r="E92" s="1192" t="s">
        <v>330</v>
      </c>
      <c r="F92" s="56" t="s">
        <v>98</v>
      </c>
      <c r="G92" s="1369" t="s">
        <v>142</v>
      </c>
      <c r="H92" s="435" t="s">
        <v>38</v>
      </c>
      <c r="I92" s="16">
        <v>4.9000000000000004</v>
      </c>
      <c r="J92" s="124">
        <v>347</v>
      </c>
      <c r="K92" s="162"/>
      <c r="L92" s="583"/>
      <c r="M92" s="451" t="s">
        <v>39</v>
      </c>
      <c r="N92" s="85">
        <v>1</v>
      </c>
      <c r="O92" s="331"/>
      <c r="P92" s="337"/>
      <c r="Q92" s="236"/>
    </row>
    <row r="93" spans="1:17" ht="17.25" customHeight="1" x14ac:dyDescent="0.25">
      <c r="A93" s="619"/>
      <c r="B93" s="621"/>
      <c r="C93" s="48"/>
      <c r="D93" s="624"/>
      <c r="E93" s="1193"/>
      <c r="F93" s="959" t="s">
        <v>148</v>
      </c>
      <c r="G93" s="1370"/>
      <c r="H93" s="16" t="s">
        <v>21</v>
      </c>
      <c r="I93" s="18"/>
      <c r="J93" s="350"/>
      <c r="K93" s="121">
        <v>500</v>
      </c>
      <c r="L93" s="23">
        <v>600</v>
      </c>
      <c r="M93" s="622" t="s">
        <v>307</v>
      </c>
      <c r="N93" s="513"/>
      <c r="O93" s="298">
        <v>1</v>
      </c>
      <c r="P93" s="305">
        <v>33</v>
      </c>
      <c r="Q93" s="86">
        <v>60</v>
      </c>
    </row>
    <row r="94" spans="1:17" ht="17.25" customHeight="1" x14ac:dyDescent="0.25">
      <c r="A94" s="945"/>
      <c r="B94" s="947"/>
      <c r="C94" s="48"/>
      <c r="D94" s="940"/>
      <c r="E94" s="1193"/>
      <c r="F94" s="972" t="s">
        <v>40</v>
      </c>
      <c r="G94" s="1370"/>
      <c r="H94" s="16"/>
      <c r="I94" s="16"/>
      <c r="J94" s="124"/>
      <c r="K94" s="162"/>
      <c r="L94" s="23"/>
      <c r="M94" s="949"/>
      <c r="N94" s="86"/>
      <c r="O94" s="298"/>
      <c r="P94" s="305"/>
      <c r="Q94" s="86"/>
    </row>
    <row r="95" spans="1:17" ht="18" customHeight="1" x14ac:dyDescent="0.25">
      <c r="A95" s="194"/>
      <c r="B95" s="201"/>
      <c r="C95" s="47"/>
      <c r="D95" s="106"/>
      <c r="E95" s="1232"/>
      <c r="F95" s="747" t="s">
        <v>279</v>
      </c>
      <c r="G95" s="1370"/>
      <c r="H95" s="77"/>
      <c r="I95" s="443"/>
      <c r="J95" s="328"/>
      <c r="K95" s="329"/>
      <c r="L95" s="117"/>
      <c r="M95" s="411"/>
      <c r="N95" s="87"/>
      <c r="O95" s="301"/>
      <c r="P95" s="309"/>
      <c r="Q95" s="87"/>
    </row>
    <row r="96" spans="1:17" ht="17.5" customHeight="1" x14ac:dyDescent="0.25">
      <c r="A96" s="261"/>
      <c r="B96" s="264"/>
      <c r="C96" s="47"/>
      <c r="D96" s="1358" t="s">
        <v>152</v>
      </c>
      <c r="E96" s="1224" t="s">
        <v>236</v>
      </c>
      <c r="F96" s="268" t="s">
        <v>148</v>
      </c>
      <c r="G96" s="1370"/>
      <c r="H96" s="435" t="s">
        <v>48</v>
      </c>
      <c r="I96" s="435">
        <v>5</v>
      </c>
      <c r="J96" s="455">
        <v>2.5</v>
      </c>
      <c r="K96" s="137"/>
      <c r="L96" s="583"/>
      <c r="M96" s="403" t="s">
        <v>39</v>
      </c>
      <c r="N96" s="477">
        <v>1</v>
      </c>
      <c r="O96" s="485"/>
      <c r="P96" s="308"/>
      <c r="Q96" s="236"/>
    </row>
    <row r="97" spans="1:17" ht="17.5" customHeight="1" x14ac:dyDescent="0.25">
      <c r="A97" s="772"/>
      <c r="B97" s="777"/>
      <c r="C97" s="47"/>
      <c r="D97" s="1359"/>
      <c r="E97" s="1225"/>
      <c r="F97" s="966" t="s">
        <v>40</v>
      </c>
      <c r="G97" s="1370"/>
      <c r="H97" s="167" t="s">
        <v>328</v>
      </c>
      <c r="I97" s="16"/>
      <c r="J97" s="366">
        <v>255</v>
      </c>
      <c r="K97" s="295"/>
      <c r="L97" s="589"/>
      <c r="M97" s="454" t="s">
        <v>307</v>
      </c>
      <c r="N97" s="741"/>
      <c r="O97" s="298">
        <v>100</v>
      </c>
      <c r="P97" s="338"/>
      <c r="Q97" s="86"/>
    </row>
    <row r="98" spans="1:17" ht="17.5" customHeight="1" x14ac:dyDescent="0.25">
      <c r="A98" s="274"/>
      <c r="B98" s="275"/>
      <c r="C98" s="47"/>
      <c r="D98" s="1360"/>
      <c r="E98" s="1226"/>
      <c r="F98" s="283" t="s">
        <v>279</v>
      </c>
      <c r="G98" s="1370"/>
      <c r="H98" s="167" t="s">
        <v>234</v>
      </c>
      <c r="I98" s="222"/>
      <c r="J98" s="124">
        <v>100</v>
      </c>
      <c r="K98" s="296"/>
      <c r="L98" s="634"/>
      <c r="N98" s="478"/>
      <c r="O98" s="228"/>
      <c r="P98" s="309"/>
      <c r="Q98" s="86"/>
    </row>
    <row r="99" spans="1:17" ht="28" customHeight="1" x14ac:dyDescent="0.25">
      <c r="A99" s="274"/>
      <c r="B99" s="275"/>
      <c r="C99" s="47"/>
      <c r="D99" s="793" t="s">
        <v>153</v>
      </c>
      <c r="E99" s="1186" t="s">
        <v>254</v>
      </c>
      <c r="F99" s="797" t="s">
        <v>277</v>
      </c>
      <c r="G99" s="1370"/>
      <c r="H99" s="76" t="s">
        <v>21</v>
      </c>
      <c r="I99" s="76"/>
      <c r="J99" s="311">
        <v>125</v>
      </c>
      <c r="K99" s="111"/>
      <c r="L99" s="312"/>
      <c r="M99" s="419" t="s">
        <v>307</v>
      </c>
      <c r="N99" s="484"/>
      <c r="O99" s="300">
        <v>100</v>
      </c>
      <c r="P99" s="308"/>
      <c r="Q99" s="235"/>
    </row>
    <row r="100" spans="1:17" ht="28" customHeight="1" x14ac:dyDescent="0.25">
      <c r="A100" s="735"/>
      <c r="B100" s="738"/>
      <c r="C100" s="47"/>
      <c r="D100" s="794"/>
      <c r="E100" s="1221"/>
      <c r="F100" s="802"/>
      <c r="G100" s="1370"/>
      <c r="H100" s="77"/>
      <c r="I100" s="16"/>
      <c r="J100" s="124"/>
      <c r="K100" s="296"/>
      <c r="L100" s="15"/>
      <c r="M100" s="404"/>
      <c r="N100" s="484"/>
      <c r="O100" s="301"/>
      <c r="P100" s="309"/>
      <c r="Q100" s="86"/>
    </row>
    <row r="101" spans="1:17" ht="16.5" customHeight="1" x14ac:dyDescent="0.25">
      <c r="A101" s="194"/>
      <c r="B101" s="195"/>
      <c r="C101" s="47"/>
      <c r="D101" s="262" t="s">
        <v>154</v>
      </c>
      <c r="E101" s="1192" t="s">
        <v>410</v>
      </c>
      <c r="F101" s="153" t="s">
        <v>279</v>
      </c>
      <c r="G101" s="1370"/>
      <c r="H101" s="76" t="s">
        <v>21</v>
      </c>
      <c r="I101" s="76">
        <f>28-0.9</f>
        <v>27.1</v>
      </c>
      <c r="J101" s="455">
        <v>10.1</v>
      </c>
      <c r="K101" s="111">
        <v>28</v>
      </c>
      <c r="L101" s="583">
        <v>28</v>
      </c>
      <c r="M101" s="1213" t="s">
        <v>75</v>
      </c>
      <c r="N101" s="85">
        <v>100</v>
      </c>
      <c r="O101" s="300">
        <v>100</v>
      </c>
      <c r="P101" s="308">
        <v>100</v>
      </c>
      <c r="Q101" s="85">
        <v>100</v>
      </c>
    </row>
    <row r="102" spans="1:17" ht="16.5" customHeight="1" x14ac:dyDescent="0.25">
      <c r="A102" s="194"/>
      <c r="B102" s="195"/>
      <c r="C102" s="47"/>
      <c r="D102" s="105"/>
      <c r="E102" s="1206"/>
      <c r="F102" s="157"/>
      <c r="G102" s="1370"/>
      <c r="H102" s="652" t="s">
        <v>48</v>
      </c>
      <c r="I102" s="167"/>
      <c r="J102" s="124">
        <v>12.3</v>
      </c>
      <c r="K102" s="295"/>
      <c r="L102" s="589"/>
      <c r="M102" s="1214"/>
      <c r="N102" s="86"/>
      <c r="O102" s="298"/>
      <c r="P102" s="305"/>
      <c r="Q102" s="86"/>
    </row>
    <row r="103" spans="1:17" s="6" customFormat="1" ht="23.5" customHeight="1" x14ac:dyDescent="0.25">
      <c r="A103" s="194"/>
      <c r="B103" s="195"/>
      <c r="C103" s="196"/>
      <c r="D103" s="106"/>
      <c r="E103" s="1233"/>
      <c r="F103" s="159"/>
      <c r="G103" s="1371"/>
      <c r="H103" s="167" t="s">
        <v>234</v>
      </c>
      <c r="I103" s="444"/>
      <c r="J103" s="785">
        <v>5.6</v>
      </c>
      <c r="K103" s="330"/>
      <c r="L103" s="118"/>
      <c r="M103" s="1223"/>
      <c r="N103" s="238"/>
      <c r="O103" s="334"/>
      <c r="P103" s="340"/>
      <c r="Q103" s="238"/>
    </row>
    <row r="104" spans="1:17" ht="15.75" customHeight="1" x14ac:dyDescent="0.25">
      <c r="A104" s="194"/>
      <c r="B104" s="201"/>
      <c r="C104" s="48"/>
      <c r="D104" s="554">
        <v>18</v>
      </c>
      <c r="E104" s="93" t="s">
        <v>147</v>
      </c>
      <c r="F104" s="161" t="s">
        <v>224</v>
      </c>
      <c r="G104" s="68"/>
      <c r="H104" s="69"/>
      <c r="I104" s="69"/>
      <c r="J104" s="335"/>
      <c r="K104" s="119"/>
      <c r="L104" s="456"/>
      <c r="M104" s="450"/>
      <c r="N104" s="240"/>
      <c r="O104" s="335"/>
      <c r="P104" s="341"/>
      <c r="Q104" s="240"/>
    </row>
    <row r="105" spans="1:17" ht="26.25" customHeight="1" x14ac:dyDescent="0.25">
      <c r="A105" s="194"/>
      <c r="B105" s="201"/>
      <c r="C105" s="48"/>
      <c r="D105" s="560">
        <v>1</v>
      </c>
      <c r="E105" s="552" t="s">
        <v>191</v>
      </c>
      <c r="F105" s="153" t="s">
        <v>279</v>
      </c>
      <c r="G105" s="1364" t="s">
        <v>144</v>
      </c>
      <c r="H105" s="435" t="s">
        <v>21</v>
      </c>
      <c r="I105" s="18">
        <f>20+291.2</f>
        <v>311.2</v>
      </c>
      <c r="J105" s="455">
        <f>550-200</f>
        <v>350</v>
      </c>
      <c r="K105" s="137">
        <v>20</v>
      </c>
      <c r="L105" s="583">
        <v>20</v>
      </c>
      <c r="M105" s="424" t="s">
        <v>53</v>
      </c>
      <c r="N105" s="241">
        <v>4.3</v>
      </c>
      <c r="O105" s="350">
        <v>2.2999999999999998</v>
      </c>
      <c r="P105" s="183">
        <v>1.1000000000000001</v>
      </c>
      <c r="Q105" s="241">
        <v>1.4</v>
      </c>
    </row>
    <row r="106" spans="1:17" ht="27" customHeight="1" x14ac:dyDescent="0.25">
      <c r="A106" s="194"/>
      <c r="B106" s="201"/>
      <c r="C106" s="50"/>
      <c r="D106" s="557">
        <v>2</v>
      </c>
      <c r="E106" s="33" t="s">
        <v>190</v>
      </c>
      <c r="F106" s="149"/>
      <c r="G106" s="1365"/>
      <c r="H106" s="16" t="s">
        <v>64</v>
      </c>
      <c r="I106" s="18">
        <f>590+100+46-61.9</f>
        <v>674.1</v>
      </c>
      <c r="J106" s="124">
        <f>726+2</f>
        <v>728</v>
      </c>
      <c r="K106" s="162">
        <v>454</v>
      </c>
      <c r="L106" s="23">
        <v>590</v>
      </c>
      <c r="M106" s="404"/>
      <c r="N106" s="15"/>
      <c r="O106" s="294"/>
      <c r="P106" s="124"/>
      <c r="Q106" s="15"/>
    </row>
    <row r="107" spans="1:17" ht="15" customHeight="1" x14ac:dyDescent="0.25">
      <c r="A107" s="518"/>
      <c r="B107" s="522"/>
      <c r="C107" s="50"/>
      <c r="D107" s="558">
        <v>3</v>
      </c>
      <c r="E107" s="61" t="s">
        <v>192</v>
      </c>
      <c r="F107" s="149"/>
      <c r="G107" s="1365"/>
      <c r="H107" s="16"/>
      <c r="I107" s="16"/>
      <c r="J107" s="124"/>
      <c r="K107" s="162"/>
      <c r="L107" s="23"/>
      <c r="M107" s="404"/>
      <c r="N107" s="15"/>
      <c r="O107" s="294"/>
      <c r="P107" s="124"/>
      <c r="Q107" s="15"/>
    </row>
    <row r="108" spans="1:17" ht="15" customHeight="1" x14ac:dyDescent="0.25">
      <c r="A108" s="518"/>
      <c r="B108" s="522"/>
      <c r="C108" s="50"/>
      <c r="D108" s="558">
        <v>4</v>
      </c>
      <c r="E108" s="61" t="s">
        <v>259</v>
      </c>
      <c r="F108" s="149"/>
      <c r="G108" s="1365"/>
      <c r="H108" s="16"/>
      <c r="I108" s="16"/>
      <c r="J108" s="124"/>
      <c r="K108" s="162"/>
      <c r="L108" s="23"/>
      <c r="M108" s="404"/>
      <c r="N108" s="15"/>
      <c r="O108" s="294"/>
      <c r="P108" s="124"/>
      <c r="Q108" s="15"/>
    </row>
    <row r="109" spans="1:17" ht="15" customHeight="1" x14ac:dyDescent="0.25">
      <c r="A109" s="518"/>
      <c r="B109" s="522"/>
      <c r="C109" s="50"/>
      <c r="D109" s="558">
        <v>5</v>
      </c>
      <c r="E109" s="541" t="s">
        <v>260</v>
      </c>
      <c r="F109" s="149"/>
      <c r="G109" s="1365"/>
      <c r="H109" s="16"/>
      <c r="I109" s="16"/>
      <c r="J109" s="124"/>
      <c r="K109" s="162"/>
      <c r="L109" s="23"/>
      <c r="M109" s="404"/>
      <c r="N109" s="15"/>
      <c r="O109" s="294"/>
      <c r="P109" s="124"/>
      <c r="Q109" s="15"/>
    </row>
    <row r="110" spans="1:17" ht="15" customHeight="1" x14ac:dyDescent="0.25">
      <c r="A110" s="518"/>
      <c r="B110" s="522"/>
      <c r="C110" s="50"/>
      <c r="D110" s="558">
        <v>6</v>
      </c>
      <c r="E110" s="541" t="s">
        <v>272</v>
      </c>
      <c r="F110" s="149"/>
      <c r="G110" s="1365"/>
      <c r="H110" s="16"/>
      <c r="I110" s="16"/>
      <c r="J110" s="124"/>
      <c r="K110" s="162"/>
      <c r="L110" s="23"/>
      <c r="M110" s="404"/>
      <c r="N110" s="15"/>
      <c r="O110" s="294"/>
      <c r="P110" s="124"/>
      <c r="Q110" s="15"/>
    </row>
    <row r="111" spans="1:17" ht="15" customHeight="1" x14ac:dyDescent="0.25">
      <c r="A111" s="518"/>
      <c r="B111" s="522"/>
      <c r="C111" s="50"/>
      <c r="D111" s="558">
        <v>7</v>
      </c>
      <c r="E111" s="542" t="s">
        <v>273</v>
      </c>
      <c r="F111" s="149"/>
      <c r="G111" s="1365"/>
      <c r="H111" s="16"/>
      <c r="I111" s="16"/>
      <c r="J111" s="124"/>
      <c r="K111" s="162"/>
      <c r="L111" s="23"/>
      <c r="M111" s="404"/>
      <c r="N111" s="15"/>
      <c r="O111" s="294"/>
      <c r="P111" s="124"/>
      <c r="Q111" s="15"/>
    </row>
    <row r="112" spans="1:17" ht="15" customHeight="1" x14ac:dyDescent="0.25">
      <c r="A112" s="518"/>
      <c r="B112" s="522"/>
      <c r="C112" s="50"/>
      <c r="D112" s="558">
        <v>8</v>
      </c>
      <c r="E112" s="542" t="s">
        <v>274</v>
      </c>
      <c r="F112" s="149"/>
      <c r="G112" s="1365"/>
      <c r="H112" s="16"/>
      <c r="I112" s="16"/>
      <c r="J112" s="124"/>
      <c r="K112" s="162"/>
      <c r="L112" s="23"/>
      <c r="M112" s="404"/>
      <c r="N112" s="15"/>
      <c r="O112" s="294"/>
      <c r="P112" s="124"/>
      <c r="Q112" s="15"/>
    </row>
    <row r="113" spans="1:17" ht="27.65" customHeight="1" x14ac:dyDescent="0.25">
      <c r="A113" s="274"/>
      <c r="B113" s="279"/>
      <c r="C113" s="50"/>
      <c r="D113" s="559">
        <v>9</v>
      </c>
      <c r="E113" s="543" t="s">
        <v>275</v>
      </c>
      <c r="F113" s="149"/>
      <c r="G113" s="1365"/>
      <c r="H113" s="16"/>
      <c r="I113" s="16"/>
      <c r="J113" s="294"/>
      <c r="K113" s="162"/>
      <c r="L113" s="445"/>
      <c r="M113" s="404"/>
      <c r="N113" s="15"/>
      <c r="O113" s="294"/>
      <c r="P113" s="124"/>
      <c r="Q113" s="15"/>
    </row>
    <row r="114" spans="1:17" ht="15" customHeight="1" x14ac:dyDescent="0.25">
      <c r="A114" s="274"/>
      <c r="B114" s="279"/>
      <c r="C114" s="50"/>
      <c r="D114" s="561">
        <v>10</v>
      </c>
      <c r="E114" s="33" t="s">
        <v>412</v>
      </c>
      <c r="F114" s="149"/>
      <c r="G114" s="1365"/>
      <c r="H114" s="16"/>
      <c r="I114" s="16"/>
      <c r="J114" s="294"/>
      <c r="K114" s="162"/>
      <c r="L114" s="445"/>
      <c r="M114" s="404"/>
      <c r="N114" s="15"/>
      <c r="O114" s="294"/>
      <c r="P114" s="124"/>
      <c r="Q114" s="15"/>
    </row>
    <row r="115" spans="1:17" ht="15" customHeight="1" x14ac:dyDescent="0.25">
      <c r="A115" s="528"/>
      <c r="B115" s="533"/>
      <c r="C115" s="50"/>
      <c r="D115" s="555">
        <v>11</v>
      </c>
      <c r="E115" s="33" t="s">
        <v>413</v>
      </c>
      <c r="F115" s="149"/>
      <c r="G115" s="1365"/>
      <c r="H115" s="16"/>
      <c r="I115" s="16"/>
      <c r="J115" s="124"/>
      <c r="K115" s="162"/>
      <c r="L115" s="23"/>
      <c r="M115" s="404"/>
      <c r="N115" s="15"/>
      <c r="O115" s="294"/>
      <c r="P115" s="124"/>
      <c r="Q115" s="15"/>
    </row>
    <row r="116" spans="1:17" ht="15" customHeight="1" x14ac:dyDescent="0.25">
      <c r="A116" s="274"/>
      <c r="B116" s="279"/>
      <c r="C116" s="50"/>
      <c r="D116" s="562">
        <v>12</v>
      </c>
      <c r="E116" s="33" t="s">
        <v>280</v>
      </c>
      <c r="F116" s="149"/>
      <c r="G116" s="1365"/>
      <c r="H116" s="16"/>
      <c r="I116" s="16"/>
      <c r="J116" s="124"/>
      <c r="K116" s="162"/>
      <c r="L116" s="23"/>
      <c r="M116" s="404"/>
      <c r="N116" s="15"/>
      <c r="O116" s="294"/>
      <c r="P116" s="124"/>
      <c r="Q116" s="15"/>
    </row>
    <row r="117" spans="1:17" ht="28.5" customHeight="1" x14ac:dyDescent="0.25">
      <c r="A117" s="274"/>
      <c r="B117" s="279"/>
      <c r="C117" s="50"/>
      <c r="D117" s="556">
        <v>13</v>
      </c>
      <c r="E117" s="900" t="s">
        <v>411</v>
      </c>
      <c r="F117" s="149"/>
      <c r="G117" s="1365"/>
      <c r="H117" s="16"/>
      <c r="I117" s="16"/>
      <c r="J117" s="124"/>
      <c r="K117" s="162"/>
      <c r="L117" s="23"/>
      <c r="M117" s="404"/>
      <c r="N117" s="15"/>
      <c r="O117" s="294"/>
      <c r="P117" s="124"/>
      <c r="Q117" s="15"/>
    </row>
    <row r="118" spans="1:17" ht="15" customHeight="1" x14ac:dyDescent="0.25">
      <c r="A118" s="274"/>
      <c r="B118" s="279"/>
      <c r="C118" s="50"/>
      <c r="D118" s="556">
        <v>14</v>
      </c>
      <c r="E118" s="61" t="s">
        <v>261</v>
      </c>
      <c r="F118" s="149"/>
      <c r="G118" s="1365"/>
      <c r="H118" s="16"/>
      <c r="I118" s="16"/>
      <c r="J118" s="294"/>
      <c r="K118" s="162"/>
      <c r="L118" s="23"/>
      <c r="M118" s="404"/>
      <c r="N118" s="15"/>
      <c r="O118" s="294"/>
      <c r="P118" s="124"/>
      <c r="Q118" s="15"/>
    </row>
    <row r="119" spans="1:17" ht="15" customHeight="1" x14ac:dyDescent="0.25">
      <c r="A119" s="898"/>
      <c r="B119" s="899"/>
      <c r="C119" s="50"/>
      <c r="D119" s="556">
        <v>15</v>
      </c>
      <c r="E119" s="61" t="s">
        <v>262</v>
      </c>
      <c r="F119" s="149"/>
      <c r="G119" s="1365"/>
      <c r="H119" s="16"/>
      <c r="I119" s="16"/>
      <c r="J119" s="124"/>
      <c r="K119" s="162"/>
      <c r="L119" s="23"/>
      <c r="M119" s="404"/>
      <c r="N119" s="15"/>
      <c r="O119" s="294"/>
      <c r="P119" s="124"/>
      <c r="Q119" s="15"/>
    </row>
    <row r="120" spans="1:17" ht="15" customHeight="1" x14ac:dyDescent="0.25">
      <c r="A120" s="274"/>
      <c r="B120" s="279"/>
      <c r="C120" s="50"/>
      <c r="D120" s="556">
        <v>16</v>
      </c>
      <c r="E120" s="61" t="s">
        <v>281</v>
      </c>
      <c r="F120" s="149"/>
      <c r="G120" s="1365"/>
      <c r="H120" s="16"/>
      <c r="I120" s="16"/>
      <c r="J120" s="124"/>
      <c r="K120" s="162"/>
      <c r="L120" s="23"/>
      <c r="M120" s="404"/>
      <c r="N120" s="15"/>
      <c r="O120" s="294"/>
      <c r="P120" s="124"/>
      <c r="Q120" s="15"/>
    </row>
    <row r="121" spans="1:17" ht="15" customHeight="1" x14ac:dyDescent="0.25">
      <c r="A121" s="274"/>
      <c r="B121" s="279"/>
      <c r="C121" s="50"/>
      <c r="D121" s="556">
        <v>17</v>
      </c>
      <c r="E121" s="61" t="s">
        <v>332</v>
      </c>
      <c r="F121" s="149"/>
      <c r="G121" s="1365"/>
      <c r="H121" s="16"/>
      <c r="I121" s="16"/>
      <c r="J121" s="294"/>
      <c r="K121" s="162"/>
      <c r="L121" s="23"/>
      <c r="M121" s="404"/>
      <c r="N121" s="16"/>
      <c r="O121" s="294"/>
      <c r="P121" s="162"/>
      <c r="Q121" s="445"/>
    </row>
    <row r="122" spans="1:17" ht="15" customHeight="1" x14ac:dyDescent="0.25">
      <c r="A122" s="274"/>
      <c r="B122" s="279"/>
      <c r="C122" s="50"/>
      <c r="D122" s="556">
        <v>18</v>
      </c>
      <c r="E122" s="61" t="s">
        <v>282</v>
      </c>
      <c r="F122" s="149"/>
      <c r="G122" s="1365"/>
      <c r="H122" s="16"/>
      <c r="I122" s="16"/>
      <c r="J122" s="294"/>
      <c r="K122" s="162"/>
      <c r="L122" s="445"/>
      <c r="M122" s="420"/>
      <c r="N122" s="553"/>
      <c r="O122" s="298"/>
      <c r="P122" s="305"/>
      <c r="Q122" s="445"/>
    </row>
    <row r="123" spans="1:17" ht="27.65" customHeight="1" x14ac:dyDescent="0.25">
      <c r="A123" s="194"/>
      <c r="B123" s="201"/>
      <c r="C123" s="48"/>
      <c r="D123" s="197" t="s">
        <v>334</v>
      </c>
      <c r="E123" s="1207" t="s">
        <v>65</v>
      </c>
      <c r="F123" s="211" t="s">
        <v>224</v>
      </c>
      <c r="G123" s="204"/>
      <c r="H123" s="435" t="s">
        <v>64</v>
      </c>
      <c r="I123" s="76">
        <f>516.5-25.6+46-46+61.9</f>
        <v>552.79999999999995</v>
      </c>
      <c r="J123" s="455">
        <v>500</v>
      </c>
      <c r="K123" s="137">
        <v>500</v>
      </c>
      <c r="L123" s="583">
        <v>500</v>
      </c>
      <c r="M123" s="421" t="s">
        <v>110</v>
      </c>
      <c r="N123" s="249">
        <v>0.1</v>
      </c>
      <c r="O123" s="568">
        <v>0.1</v>
      </c>
      <c r="P123" s="569">
        <v>0.1</v>
      </c>
      <c r="Q123" s="570">
        <v>0.1</v>
      </c>
    </row>
    <row r="124" spans="1:17" ht="26.25" customHeight="1" x14ac:dyDescent="0.25">
      <c r="A124" s="194"/>
      <c r="B124" s="201"/>
      <c r="C124" s="48"/>
      <c r="D124" s="105"/>
      <c r="E124" s="1208"/>
      <c r="F124" s="693" t="s">
        <v>279</v>
      </c>
      <c r="G124" s="204"/>
      <c r="H124" s="16" t="s">
        <v>21</v>
      </c>
      <c r="I124" s="18">
        <v>665.3</v>
      </c>
      <c r="J124" s="124">
        <v>521.79999999999995</v>
      </c>
      <c r="K124" s="162">
        <v>521.79999999999995</v>
      </c>
      <c r="L124" s="23">
        <v>521.79999999999995</v>
      </c>
      <c r="M124" s="423" t="s">
        <v>34</v>
      </c>
      <c r="N124" s="564">
        <v>4.2</v>
      </c>
      <c r="O124" s="574">
        <v>4</v>
      </c>
      <c r="P124" s="575">
        <v>4</v>
      </c>
      <c r="Q124" s="576">
        <v>4</v>
      </c>
    </row>
    <row r="125" spans="1:17" ht="15.75" customHeight="1" x14ac:dyDescent="0.25">
      <c r="A125" s="194"/>
      <c r="B125" s="201"/>
      <c r="C125" s="48"/>
      <c r="D125" s="105"/>
      <c r="E125" s="1208"/>
      <c r="F125" s="749" t="s">
        <v>148</v>
      </c>
      <c r="G125" s="204"/>
      <c r="H125" s="77"/>
      <c r="I125" s="16"/>
      <c r="J125" s="124"/>
      <c r="K125" s="162"/>
      <c r="L125" s="23"/>
      <c r="M125" s="423" t="s">
        <v>52</v>
      </c>
      <c r="N125" s="564">
        <v>1.3</v>
      </c>
      <c r="O125" s="571">
        <v>1.3</v>
      </c>
      <c r="P125" s="572">
        <v>1.3</v>
      </c>
      <c r="Q125" s="573">
        <v>1.3</v>
      </c>
    </row>
    <row r="126" spans="1:17" ht="15" customHeight="1" x14ac:dyDescent="0.25">
      <c r="A126" s="1230"/>
      <c r="B126" s="1216"/>
      <c r="C126" s="1231"/>
      <c r="D126" s="197" t="s">
        <v>155</v>
      </c>
      <c r="E126" s="1186" t="s">
        <v>43</v>
      </c>
      <c r="F126" s="211" t="s">
        <v>224</v>
      </c>
      <c r="G126" s="82"/>
      <c r="H126" s="16" t="s">
        <v>21</v>
      </c>
      <c r="I126" s="76">
        <f>400-13.7+150</f>
        <v>536.29999999999995</v>
      </c>
      <c r="J126" s="113">
        <v>500</v>
      </c>
      <c r="K126" s="111">
        <v>500</v>
      </c>
      <c r="L126" s="310">
        <v>500</v>
      </c>
      <c r="M126" s="1213" t="s">
        <v>108</v>
      </c>
      <c r="N126" s="249">
        <v>2.2999999999999998</v>
      </c>
      <c r="O126" s="365">
        <v>2.5</v>
      </c>
      <c r="P126" s="563">
        <v>2.5</v>
      </c>
      <c r="Q126" s="249">
        <v>2.5</v>
      </c>
    </row>
    <row r="127" spans="1:17" ht="15" customHeight="1" x14ac:dyDescent="0.25">
      <c r="A127" s="1230"/>
      <c r="B127" s="1216"/>
      <c r="C127" s="1231"/>
      <c r="D127" s="737"/>
      <c r="E127" s="1187"/>
      <c r="F127" s="749" t="s">
        <v>148</v>
      </c>
      <c r="G127" s="82"/>
      <c r="H127" s="16"/>
      <c r="I127" s="16"/>
      <c r="J127" s="124"/>
      <c r="K127" s="162"/>
      <c r="L127" s="23"/>
      <c r="M127" s="1214"/>
      <c r="N127" s="505"/>
      <c r="O127" s="504"/>
      <c r="P127" s="748"/>
      <c r="Q127" s="505"/>
    </row>
    <row r="128" spans="1:17" ht="14.25" customHeight="1" x14ac:dyDescent="0.25">
      <c r="A128" s="1230"/>
      <c r="B128" s="1216"/>
      <c r="C128" s="1231"/>
      <c r="D128" s="106"/>
      <c r="E128" s="1221"/>
      <c r="F128" s="581" t="s">
        <v>279</v>
      </c>
      <c r="G128" s="82"/>
      <c r="H128" s="55"/>
      <c r="I128" s="55"/>
      <c r="J128" s="343"/>
      <c r="K128" s="344"/>
      <c r="L128" s="120"/>
      <c r="M128" s="1223"/>
      <c r="N128" s="342"/>
      <c r="O128" s="313"/>
      <c r="P128" s="109"/>
      <c r="Q128" s="342"/>
    </row>
    <row r="129" spans="1:17" ht="15.75" customHeight="1" x14ac:dyDescent="0.25">
      <c r="A129" s="1230"/>
      <c r="B129" s="1216"/>
      <c r="C129" s="1231"/>
      <c r="D129" s="1358" t="s">
        <v>156</v>
      </c>
      <c r="E129" s="1236" t="s">
        <v>104</v>
      </c>
      <c r="F129" s="693" t="s">
        <v>224</v>
      </c>
      <c r="G129" s="43"/>
      <c r="H129" s="435" t="s">
        <v>64</v>
      </c>
      <c r="I129" s="76">
        <f>404+170</f>
        <v>574</v>
      </c>
      <c r="J129" s="455">
        <v>220</v>
      </c>
      <c r="K129" s="113">
        <v>220</v>
      </c>
      <c r="L129" s="113">
        <v>220</v>
      </c>
      <c r="M129" s="424" t="s">
        <v>111</v>
      </c>
      <c r="N129" s="565">
        <v>0.4</v>
      </c>
      <c r="O129" s="566">
        <v>0.5</v>
      </c>
      <c r="P129" s="567">
        <v>0.5</v>
      </c>
      <c r="Q129" s="565">
        <v>0.5</v>
      </c>
    </row>
    <row r="130" spans="1:17" ht="15.75" customHeight="1" x14ac:dyDescent="0.25">
      <c r="A130" s="1230"/>
      <c r="B130" s="1216"/>
      <c r="C130" s="1231"/>
      <c r="D130" s="1359"/>
      <c r="E130" s="1237"/>
      <c r="F130" s="693" t="s">
        <v>148</v>
      </c>
      <c r="G130" s="43"/>
      <c r="H130" s="3" t="s">
        <v>21</v>
      </c>
      <c r="I130" s="18">
        <f>190-80+64.1+26+316-150-4</f>
        <v>362.1</v>
      </c>
      <c r="J130" s="294">
        <f>740.4-374.3</f>
        <v>366.1</v>
      </c>
      <c r="K130" s="121">
        <v>366.1</v>
      </c>
      <c r="L130" s="588">
        <v>366.1</v>
      </c>
      <c r="M130" s="423" t="s">
        <v>109</v>
      </c>
      <c r="N130" s="565">
        <v>2.2999999999999998</v>
      </c>
      <c r="O130" s="566">
        <v>1.1000000000000001</v>
      </c>
      <c r="P130" s="725">
        <v>1.1000000000000001</v>
      </c>
      <c r="Q130" s="726">
        <v>1.1000000000000001</v>
      </c>
    </row>
    <row r="131" spans="1:17" ht="15" customHeight="1" x14ac:dyDescent="0.25">
      <c r="A131" s="1230"/>
      <c r="B131" s="1216"/>
      <c r="C131" s="1231"/>
      <c r="D131" s="1359"/>
      <c r="E131" s="1238"/>
      <c r="F131" s="581" t="s">
        <v>279</v>
      </c>
      <c r="G131" s="43"/>
      <c r="H131" s="453"/>
      <c r="I131" s="168"/>
      <c r="J131" s="769"/>
      <c r="K131" s="141"/>
      <c r="L131" s="547"/>
      <c r="M131" s="423" t="s">
        <v>314</v>
      </c>
      <c r="N131" s="345"/>
      <c r="O131" s="566">
        <v>1</v>
      </c>
      <c r="P131" s="1"/>
      <c r="Q131" s="500"/>
    </row>
    <row r="132" spans="1:17" ht="15.75" customHeight="1" x14ac:dyDescent="0.25">
      <c r="A132" s="194"/>
      <c r="B132" s="201"/>
      <c r="C132" s="196"/>
      <c r="D132" s="197" t="s">
        <v>157</v>
      </c>
      <c r="E132" s="1239" t="s">
        <v>427</v>
      </c>
      <c r="F132" s="153" t="s">
        <v>279</v>
      </c>
      <c r="G132" s="191"/>
      <c r="H132" s="76" t="s">
        <v>21</v>
      </c>
      <c r="I132" s="76">
        <v>40</v>
      </c>
      <c r="J132" s="113">
        <f>543-443</f>
        <v>100</v>
      </c>
      <c r="K132" s="111">
        <v>141</v>
      </c>
      <c r="L132" s="114">
        <v>142</v>
      </c>
      <c r="M132" s="1213" t="s">
        <v>80</v>
      </c>
      <c r="N132" s="85">
        <v>1</v>
      </c>
      <c r="O132" s="791">
        <v>1</v>
      </c>
      <c r="P132" s="308">
        <v>1</v>
      </c>
      <c r="Q132" s="235">
        <v>1</v>
      </c>
    </row>
    <row r="133" spans="1:17" ht="16.5" customHeight="1" x14ac:dyDescent="0.25">
      <c r="A133" s="194"/>
      <c r="B133" s="201"/>
      <c r="C133" s="196"/>
      <c r="D133" s="105"/>
      <c r="E133" s="1239"/>
      <c r="F133" s="749" t="s">
        <v>148</v>
      </c>
      <c r="G133" s="191"/>
      <c r="H133" s="77"/>
      <c r="I133" s="77"/>
      <c r="J133" s="109"/>
      <c r="K133" s="296"/>
      <c r="L133" s="28"/>
      <c r="M133" s="1223"/>
      <c r="N133" s="87"/>
      <c r="O133" s="301"/>
      <c r="P133" s="348"/>
      <c r="Q133" s="87"/>
    </row>
    <row r="134" spans="1:17" ht="15" customHeight="1" x14ac:dyDescent="0.25">
      <c r="A134" s="200"/>
      <c r="B134" s="201"/>
      <c r="C134" s="50"/>
      <c r="D134" s="197" t="s">
        <v>158</v>
      </c>
      <c r="E134" s="1186" t="s">
        <v>33</v>
      </c>
      <c r="F134" s="153" t="s">
        <v>279</v>
      </c>
      <c r="G134" s="83"/>
      <c r="H134" s="677" t="s">
        <v>64</v>
      </c>
      <c r="I134" s="435">
        <v>110</v>
      </c>
      <c r="J134" s="124">
        <v>121</v>
      </c>
      <c r="K134" s="137">
        <v>121</v>
      </c>
      <c r="L134" s="583">
        <v>121</v>
      </c>
      <c r="M134" s="1213" t="s">
        <v>103</v>
      </c>
      <c r="N134" s="85">
        <v>15</v>
      </c>
      <c r="O134" s="300">
        <v>17</v>
      </c>
      <c r="P134" s="347">
        <v>17</v>
      </c>
      <c r="Q134" s="85">
        <v>17</v>
      </c>
    </row>
    <row r="135" spans="1:17" ht="16.5" customHeight="1" x14ac:dyDescent="0.25">
      <c r="A135" s="200"/>
      <c r="B135" s="201"/>
      <c r="C135" s="50"/>
      <c r="D135" s="105"/>
      <c r="E135" s="1187"/>
      <c r="F135" s="149"/>
      <c r="G135" s="191"/>
      <c r="H135" s="222" t="s">
        <v>21</v>
      </c>
      <c r="I135" s="16">
        <v>83.4</v>
      </c>
      <c r="J135" s="632">
        <v>108.4</v>
      </c>
      <c r="K135" s="162">
        <v>108.4</v>
      </c>
      <c r="L135" s="23">
        <v>108.4</v>
      </c>
      <c r="M135" s="1223"/>
      <c r="N135" s="87"/>
      <c r="O135" s="301"/>
      <c r="P135" s="348"/>
      <c r="Q135" s="87"/>
    </row>
    <row r="136" spans="1:17" ht="27" customHeight="1" x14ac:dyDescent="0.25">
      <c r="A136" s="200"/>
      <c r="B136" s="201"/>
      <c r="C136" s="50"/>
      <c r="D136" s="1358" t="s">
        <v>159</v>
      </c>
      <c r="E136" s="1282" t="s">
        <v>227</v>
      </c>
      <c r="F136" s="1144" t="s">
        <v>279</v>
      </c>
      <c r="G136" s="83"/>
      <c r="H136" s="631" t="s">
        <v>64</v>
      </c>
      <c r="I136" s="76">
        <f>22.1+11.5</f>
        <v>33.6</v>
      </c>
      <c r="J136" s="113">
        <v>32.6</v>
      </c>
      <c r="K136" s="111"/>
      <c r="L136" s="310"/>
      <c r="M136" s="408" t="s">
        <v>102</v>
      </c>
      <c r="N136" s="85">
        <v>100</v>
      </c>
      <c r="O136" s="300"/>
      <c r="P136" s="347"/>
      <c r="Q136" s="85"/>
    </row>
    <row r="137" spans="1:17" ht="16.5" customHeight="1" x14ac:dyDescent="0.25">
      <c r="A137" s="200"/>
      <c r="B137" s="201"/>
      <c r="C137" s="196"/>
      <c r="D137" s="1360"/>
      <c r="E137" s="1373"/>
      <c r="F137" s="150"/>
      <c r="G137" s="191"/>
      <c r="H137" s="676" t="s">
        <v>21</v>
      </c>
      <c r="I137" s="651">
        <v>13.7</v>
      </c>
      <c r="J137" s="351"/>
      <c r="K137" s="635"/>
      <c r="L137" s="636"/>
      <c r="M137" s="437" t="s">
        <v>39</v>
      </c>
      <c r="N137" s="346">
        <v>1</v>
      </c>
      <c r="O137" s="351"/>
      <c r="P137" s="349"/>
      <c r="Q137" s="346"/>
    </row>
    <row r="138" spans="1:17" ht="15" customHeight="1" x14ac:dyDescent="0.25">
      <c r="A138" s="200"/>
      <c r="B138" s="195"/>
      <c r="C138" s="47"/>
      <c r="D138" s="878" t="s">
        <v>160</v>
      </c>
      <c r="E138" s="1186" t="s">
        <v>162</v>
      </c>
      <c r="F138" s="56" t="s">
        <v>279</v>
      </c>
      <c r="G138" s="65"/>
      <c r="H138" s="880" t="s">
        <v>21</v>
      </c>
      <c r="I138" s="76">
        <f>300-150+187.5</f>
        <v>337.5</v>
      </c>
      <c r="J138" s="455">
        <v>58.3</v>
      </c>
      <c r="K138" s="162"/>
      <c r="L138" s="583"/>
      <c r="M138" s="1234" t="s">
        <v>123</v>
      </c>
      <c r="N138" s="108">
        <v>80</v>
      </c>
      <c r="O138" s="300">
        <v>100</v>
      </c>
      <c r="P138" s="308"/>
      <c r="Q138" s="108"/>
    </row>
    <row r="139" spans="1:17" ht="15" customHeight="1" x14ac:dyDescent="0.25">
      <c r="A139" s="882"/>
      <c r="B139" s="881"/>
      <c r="C139" s="47"/>
      <c r="D139" s="879"/>
      <c r="E139" s="1221"/>
      <c r="F139" s="960" t="s">
        <v>40</v>
      </c>
      <c r="G139" s="65"/>
      <c r="H139" s="708" t="s">
        <v>48</v>
      </c>
      <c r="I139" s="222"/>
      <c r="J139" s="124">
        <v>63.7</v>
      </c>
      <c r="K139" s="355"/>
      <c r="L139" s="23"/>
      <c r="M139" s="1235"/>
      <c r="N139" s="478"/>
      <c r="O139" s="301"/>
      <c r="P139" s="305"/>
      <c r="Q139" s="243"/>
    </row>
    <row r="140" spans="1:17" ht="14.25" customHeight="1" x14ac:dyDescent="0.25">
      <c r="A140" s="200"/>
      <c r="B140" s="195"/>
      <c r="C140" s="47"/>
      <c r="D140" s="1358" t="s">
        <v>228</v>
      </c>
      <c r="E140" s="1186" t="s">
        <v>124</v>
      </c>
      <c r="F140" s="56" t="s">
        <v>279</v>
      </c>
      <c r="G140" s="65"/>
      <c r="H140" s="59" t="s">
        <v>64</v>
      </c>
      <c r="I140" s="76">
        <v>5.3</v>
      </c>
      <c r="J140" s="113">
        <v>8</v>
      </c>
      <c r="K140" s="111">
        <v>8</v>
      </c>
      <c r="L140" s="114">
        <v>8</v>
      </c>
      <c r="M140" s="408" t="s">
        <v>309</v>
      </c>
      <c r="N140" s="356">
        <v>10</v>
      </c>
      <c r="O140" s="357">
        <v>10</v>
      </c>
      <c r="P140" s="360">
        <v>10</v>
      </c>
      <c r="Q140" s="356">
        <v>10</v>
      </c>
    </row>
    <row r="141" spans="1:17" ht="15" customHeight="1" x14ac:dyDescent="0.25">
      <c r="A141" s="200"/>
      <c r="B141" s="195"/>
      <c r="C141" s="47"/>
      <c r="D141" s="1360"/>
      <c r="E141" s="1221"/>
      <c r="F141" s="92"/>
      <c r="G141" s="99"/>
      <c r="H141" s="60" t="s">
        <v>21</v>
      </c>
      <c r="I141" s="77">
        <v>4</v>
      </c>
      <c r="J141" s="109"/>
      <c r="K141" s="296"/>
      <c r="L141" s="28"/>
      <c r="M141" s="409"/>
      <c r="N141" s="87"/>
      <c r="O141" s="301"/>
      <c r="P141" s="309"/>
      <c r="Q141" s="87"/>
    </row>
    <row r="142" spans="1:17" ht="15" customHeight="1" x14ac:dyDescent="0.25">
      <c r="A142" s="200"/>
      <c r="B142" s="195"/>
      <c r="C142" s="47"/>
      <c r="D142" s="793" t="s">
        <v>231</v>
      </c>
      <c r="E142" s="1186" t="s">
        <v>209</v>
      </c>
      <c r="F142" s="56" t="s">
        <v>40</v>
      </c>
      <c r="G142" s="1369" t="s">
        <v>142</v>
      </c>
      <c r="H142" s="647" t="s">
        <v>21</v>
      </c>
      <c r="I142" s="16">
        <f>5-5</f>
        <v>0</v>
      </c>
      <c r="J142" s="455">
        <v>37.799999999999997</v>
      </c>
      <c r="K142" s="137">
        <v>357.2</v>
      </c>
      <c r="L142" s="583"/>
      <c r="M142" s="438" t="s">
        <v>61</v>
      </c>
      <c r="N142" s="86"/>
      <c r="O142" s="298">
        <v>1</v>
      </c>
      <c r="P142" s="305"/>
      <c r="Q142" s="86"/>
    </row>
    <row r="143" spans="1:17" ht="15" customHeight="1" x14ac:dyDescent="0.25">
      <c r="A143" s="706"/>
      <c r="B143" s="704"/>
      <c r="C143" s="47"/>
      <c r="D143" s="793"/>
      <c r="E143" s="1187"/>
      <c r="F143" s="796" t="s">
        <v>148</v>
      </c>
      <c r="G143" s="1370"/>
      <c r="H143" s="708" t="s">
        <v>48</v>
      </c>
      <c r="I143" s="18"/>
      <c r="J143" s="124">
        <v>5</v>
      </c>
      <c r="K143" s="162"/>
      <c r="L143" s="23"/>
      <c r="M143" s="442" t="s">
        <v>307</v>
      </c>
      <c r="N143" s="108"/>
      <c r="O143" s="332"/>
      <c r="P143" s="338">
        <v>100</v>
      </c>
      <c r="Q143" s="244"/>
    </row>
    <row r="144" spans="1:17" ht="15.75" customHeight="1" x14ac:dyDescent="0.25">
      <c r="A144" s="200"/>
      <c r="B144" s="195"/>
      <c r="C144" s="47"/>
      <c r="D144" s="793"/>
      <c r="E144" s="1187"/>
      <c r="F144" s="803" t="s">
        <v>277</v>
      </c>
      <c r="G144" s="1370"/>
      <c r="I144" s="832"/>
      <c r="J144" s="832"/>
      <c r="K144" s="162"/>
      <c r="L144" s="242"/>
      <c r="M144" s="168"/>
      <c r="O144" s="645"/>
      <c r="P144" s="604"/>
      <c r="Q144" s="243"/>
    </row>
    <row r="145" spans="1:17" ht="18" customHeight="1" x14ac:dyDescent="0.25">
      <c r="A145" s="200"/>
      <c r="B145" s="195"/>
      <c r="C145" s="47"/>
      <c r="D145" s="516" t="s">
        <v>255</v>
      </c>
      <c r="E145" s="1186" t="s">
        <v>428</v>
      </c>
      <c r="F145" s="56" t="s">
        <v>279</v>
      </c>
      <c r="G145" s="100"/>
      <c r="H145" s="647" t="s">
        <v>21</v>
      </c>
      <c r="I145" s="435">
        <v>5</v>
      </c>
      <c r="J145" s="311">
        <v>30</v>
      </c>
      <c r="K145" s="111">
        <v>200</v>
      </c>
      <c r="L145" s="583">
        <v>60.8</v>
      </c>
      <c r="M145" s="495" t="s">
        <v>327</v>
      </c>
      <c r="N145" s="545"/>
      <c r="O145" s="331">
        <v>2</v>
      </c>
      <c r="P145" s="337"/>
      <c r="Q145" s="85"/>
    </row>
    <row r="146" spans="1:17" ht="18" customHeight="1" x14ac:dyDescent="0.25">
      <c r="A146" s="627"/>
      <c r="B146" s="625"/>
      <c r="C146" s="47"/>
      <c r="D146" s="624"/>
      <c r="E146" s="1187"/>
      <c r="F146" s="750" t="s">
        <v>148</v>
      </c>
      <c r="G146" s="618"/>
      <c r="H146" s="154" t="s">
        <v>64</v>
      </c>
      <c r="I146" s="16"/>
      <c r="J146" s="366">
        <v>100</v>
      </c>
      <c r="K146" s="295">
        <v>200</v>
      </c>
      <c r="L146" s="445">
        <v>600</v>
      </c>
      <c r="M146" s="442" t="s">
        <v>307</v>
      </c>
      <c r="N146" s="670"/>
      <c r="O146" s="671">
        <v>5</v>
      </c>
      <c r="P146" s="672">
        <v>40</v>
      </c>
      <c r="Q146" s="673">
        <v>100</v>
      </c>
    </row>
    <row r="147" spans="1:17" ht="98.5" customHeight="1" x14ac:dyDescent="0.25">
      <c r="A147" s="521"/>
      <c r="B147" s="519"/>
      <c r="C147" s="47"/>
      <c r="D147" s="517"/>
      <c r="E147" s="1221"/>
      <c r="F147" s="283"/>
      <c r="G147" s="515"/>
      <c r="H147" s="221" t="s">
        <v>216</v>
      </c>
      <c r="I147" s="222">
        <v>4.2</v>
      </c>
      <c r="J147" s="632"/>
      <c r="K147" s="355"/>
      <c r="L147" s="634"/>
      <c r="M147" s="544"/>
      <c r="N147" s="478"/>
      <c r="O147" s="301"/>
      <c r="P147" s="309"/>
      <c r="Q147" s="243"/>
    </row>
    <row r="148" spans="1:17" ht="43.4" customHeight="1" x14ac:dyDescent="0.25">
      <c r="A148" s="200"/>
      <c r="B148" s="195"/>
      <c r="C148" s="47"/>
      <c r="D148" s="198" t="s">
        <v>256</v>
      </c>
      <c r="E148" s="148" t="s">
        <v>218</v>
      </c>
      <c r="F148" s="211"/>
      <c r="G148" s="144"/>
      <c r="H148" s="59"/>
      <c r="I148" s="435"/>
      <c r="J148" s="352"/>
      <c r="K148" s="137"/>
      <c r="L148" s="352"/>
      <c r="M148" s="438"/>
      <c r="N148" s="246"/>
      <c r="O148" s="331"/>
      <c r="P148" s="337"/>
      <c r="Q148" s="236"/>
    </row>
    <row r="149" spans="1:17" ht="21" customHeight="1" x14ac:dyDescent="0.25">
      <c r="A149" s="200"/>
      <c r="B149" s="195"/>
      <c r="C149" s="47"/>
      <c r="D149" s="198"/>
      <c r="E149" s="1409" t="s">
        <v>219</v>
      </c>
      <c r="F149" s="212"/>
      <c r="G149" s="1410" t="s">
        <v>142</v>
      </c>
      <c r="H149" s="652" t="s">
        <v>48</v>
      </c>
      <c r="I149" s="167">
        <f>35-16.1</f>
        <v>18.899999999999999</v>
      </c>
      <c r="J149" s="366"/>
      <c r="K149" s="162"/>
      <c r="L149" s="23"/>
      <c r="M149" s="442" t="s">
        <v>307</v>
      </c>
      <c r="N149" s="108">
        <v>100</v>
      </c>
      <c r="O149" s="332"/>
      <c r="P149" s="338"/>
      <c r="Q149" s="108"/>
    </row>
    <row r="150" spans="1:17" ht="21" customHeight="1" x14ac:dyDescent="0.25">
      <c r="A150" s="521"/>
      <c r="B150" s="519"/>
      <c r="C150" s="47"/>
      <c r="D150" s="520"/>
      <c r="E150" s="1187"/>
      <c r="F150" s="523"/>
      <c r="G150" s="1370"/>
      <c r="H150" s="652" t="s">
        <v>21</v>
      </c>
      <c r="I150" s="16">
        <f>65-65</f>
        <v>0</v>
      </c>
      <c r="J150" s="366"/>
      <c r="K150" s="295"/>
      <c r="L150" s="588"/>
      <c r="M150" s="438"/>
      <c r="N150" s="86"/>
      <c r="O150" s="298"/>
      <c r="P150" s="305"/>
      <c r="Q150" s="86"/>
    </row>
    <row r="151" spans="1:17" ht="22" customHeight="1" x14ac:dyDescent="0.25">
      <c r="A151" s="200"/>
      <c r="B151" s="195"/>
      <c r="C151" s="47"/>
      <c r="D151" s="198"/>
      <c r="E151" s="1374"/>
      <c r="F151" s="212"/>
      <c r="G151" s="1411"/>
      <c r="H151" s="674" t="s">
        <v>64</v>
      </c>
      <c r="I151" s="167">
        <f>265+97.1</f>
        <v>362.1</v>
      </c>
      <c r="J151" s="124"/>
      <c r="K151" s="295"/>
      <c r="L151" s="589"/>
      <c r="M151" s="440"/>
      <c r="N151" s="246"/>
      <c r="O151" s="358"/>
      <c r="P151" s="361"/>
      <c r="Q151" s="246"/>
    </row>
    <row r="152" spans="1:17" ht="15.75" customHeight="1" x14ac:dyDescent="0.25">
      <c r="A152" s="200"/>
      <c r="B152" s="195"/>
      <c r="C152" s="47"/>
      <c r="D152" s="198"/>
      <c r="E152" s="1409" t="s">
        <v>220</v>
      </c>
      <c r="F152" s="212"/>
      <c r="G152" s="1410" t="s">
        <v>93</v>
      </c>
      <c r="H152" s="674" t="s">
        <v>64</v>
      </c>
      <c r="I152" s="18">
        <f>24.2+24.2</f>
        <v>48.4</v>
      </c>
      <c r="J152" s="183"/>
      <c r="K152" s="121"/>
      <c r="L152" s="183"/>
      <c r="M152" s="439" t="s">
        <v>221</v>
      </c>
      <c r="N152" s="86">
        <v>100</v>
      </c>
      <c r="O152" s="298"/>
      <c r="P152" s="305"/>
      <c r="Q152" s="86"/>
    </row>
    <row r="153" spans="1:17" ht="15.75" customHeight="1" x14ac:dyDescent="0.25">
      <c r="A153" s="200"/>
      <c r="B153" s="195"/>
      <c r="C153" s="47"/>
      <c r="D153" s="198"/>
      <c r="E153" s="1187"/>
      <c r="F153" s="212"/>
      <c r="G153" s="1370"/>
      <c r="H153" s="652" t="s">
        <v>48</v>
      </c>
      <c r="I153" s="167">
        <f>69.6-24.2</f>
        <v>45.4</v>
      </c>
      <c r="J153" s="366"/>
      <c r="K153" s="295"/>
      <c r="L153" s="589"/>
      <c r="M153" s="440"/>
      <c r="N153" s="86"/>
      <c r="O153" s="298"/>
      <c r="P153" s="305"/>
      <c r="Q153" s="86"/>
    </row>
    <row r="154" spans="1:17" ht="41.15" customHeight="1" x14ac:dyDescent="0.25">
      <c r="A154" s="200"/>
      <c r="B154" s="195"/>
      <c r="C154" s="47"/>
      <c r="D154" s="198"/>
      <c r="E154" s="1187"/>
      <c r="F154" s="283"/>
      <c r="G154" s="208" t="s">
        <v>142</v>
      </c>
      <c r="H154" s="221" t="s">
        <v>48</v>
      </c>
      <c r="I154" s="222">
        <v>8</v>
      </c>
      <c r="J154" s="434"/>
      <c r="K154" s="355"/>
      <c r="L154" s="353"/>
      <c r="M154" s="441" t="s">
        <v>222</v>
      </c>
      <c r="N154" s="239">
        <v>100</v>
      </c>
      <c r="O154" s="333"/>
      <c r="P154" s="339"/>
      <c r="Q154" s="239"/>
    </row>
    <row r="155" spans="1:17" ht="17.5" customHeight="1" x14ac:dyDescent="0.25">
      <c r="A155" s="200"/>
      <c r="B155" s="279"/>
      <c r="C155" s="220"/>
      <c r="D155" s="197" t="s">
        <v>257</v>
      </c>
      <c r="E155" s="188" t="s">
        <v>229</v>
      </c>
      <c r="F155" s="693" t="s">
        <v>148</v>
      </c>
      <c r="G155" s="1369" t="s">
        <v>144</v>
      </c>
      <c r="H155" s="652" t="s">
        <v>64</v>
      </c>
      <c r="I155" s="18">
        <v>1.7</v>
      </c>
      <c r="J155" s="124"/>
      <c r="K155" s="162"/>
      <c r="L155" s="124"/>
      <c r="M155" s="407" t="s">
        <v>39</v>
      </c>
      <c r="N155" s="108">
        <v>3</v>
      </c>
      <c r="O155" s="298"/>
      <c r="P155" s="305"/>
      <c r="Q155" s="86"/>
    </row>
    <row r="156" spans="1:17" ht="15" customHeight="1" x14ac:dyDescent="0.25">
      <c r="A156" s="265"/>
      <c r="B156" s="279"/>
      <c r="C156" s="220"/>
      <c r="D156" s="263"/>
      <c r="E156" s="800" t="s">
        <v>230</v>
      </c>
      <c r="F156" s="752" t="s">
        <v>277</v>
      </c>
      <c r="G156" s="1370"/>
      <c r="H156" s="652" t="s">
        <v>38</v>
      </c>
      <c r="I156" s="668"/>
      <c r="J156" s="183"/>
      <c r="K156" s="121"/>
      <c r="L156" s="678">
        <v>49.4</v>
      </c>
      <c r="M156" s="442" t="s">
        <v>307</v>
      </c>
      <c r="N156" s="513"/>
      <c r="O156" s="332"/>
      <c r="P156" s="338"/>
      <c r="Q156" s="244">
        <v>100</v>
      </c>
    </row>
    <row r="157" spans="1:17" ht="15" customHeight="1" x14ac:dyDescent="0.25">
      <c r="A157" s="539"/>
      <c r="B157" s="533"/>
      <c r="C157" s="220"/>
      <c r="D157" s="535"/>
      <c r="E157" s="804"/>
      <c r="F157" s="805"/>
      <c r="G157" s="1370"/>
      <c r="H157" s="652" t="s">
        <v>64</v>
      </c>
      <c r="I157" s="18"/>
      <c r="J157" s="183"/>
      <c r="K157" s="121"/>
      <c r="L157" s="678">
        <v>630.6</v>
      </c>
      <c r="M157" s="534"/>
      <c r="N157" s="86"/>
      <c r="O157" s="298"/>
      <c r="P157" s="361"/>
      <c r="Q157" s="86"/>
    </row>
    <row r="158" spans="1:17" ht="27" customHeight="1" x14ac:dyDescent="0.25">
      <c r="A158" s="278"/>
      <c r="B158" s="279"/>
      <c r="C158" s="220"/>
      <c r="D158" s="277"/>
      <c r="E158" s="488" t="s">
        <v>238</v>
      </c>
      <c r="F158" s="280"/>
      <c r="G158" s="1370"/>
      <c r="H158" s="652" t="s">
        <v>64</v>
      </c>
      <c r="I158" s="18">
        <v>10</v>
      </c>
      <c r="J158" s="183"/>
      <c r="K158" s="121"/>
      <c r="L158" s="678"/>
      <c r="M158" s="407" t="s">
        <v>237</v>
      </c>
      <c r="N158" s="489">
        <v>100</v>
      </c>
      <c r="O158" s="332"/>
      <c r="P158" s="338"/>
      <c r="Q158" s="108"/>
    </row>
    <row r="159" spans="1:17" ht="29.15" customHeight="1" x14ac:dyDescent="0.25">
      <c r="A159" s="278"/>
      <c r="B159" s="279"/>
      <c r="C159" s="220"/>
      <c r="D159" s="277"/>
      <c r="E159" s="806" t="s">
        <v>263</v>
      </c>
      <c r="F159" s="798" t="s">
        <v>277</v>
      </c>
      <c r="G159" s="1370"/>
      <c r="H159" s="652" t="s">
        <v>64</v>
      </c>
      <c r="I159" s="18"/>
      <c r="J159" s="183">
        <v>320</v>
      </c>
      <c r="K159" s="121"/>
      <c r="L159" s="678"/>
      <c r="M159" s="442" t="s">
        <v>307</v>
      </c>
      <c r="N159" s="492"/>
      <c r="O159" s="491">
        <v>100</v>
      </c>
      <c r="P159" s="490"/>
      <c r="Q159" s="237"/>
    </row>
    <row r="160" spans="1:17" ht="28" customHeight="1" x14ac:dyDescent="0.25">
      <c r="A160" s="200"/>
      <c r="B160" s="279"/>
      <c r="C160" s="220"/>
      <c r="D160" s="198"/>
      <c r="E160" s="806" t="s">
        <v>264</v>
      </c>
      <c r="F160" s="798" t="s">
        <v>277</v>
      </c>
      <c r="G160" s="1370"/>
      <c r="H160" s="652" t="s">
        <v>64</v>
      </c>
      <c r="I160" s="643"/>
      <c r="J160" s="434"/>
      <c r="K160" s="355">
        <v>210</v>
      </c>
      <c r="L160" s="353"/>
      <c r="M160" s="442" t="s">
        <v>307</v>
      </c>
      <c r="N160" s="493"/>
      <c r="O160" s="481"/>
      <c r="P160" s="479">
        <v>100</v>
      </c>
      <c r="Q160" s="239"/>
    </row>
    <row r="161" spans="1:17" ht="15" customHeight="1" x14ac:dyDescent="0.25">
      <c r="A161" s="200"/>
      <c r="B161" s="279"/>
      <c r="C161" s="220"/>
      <c r="D161" s="1366" t="s">
        <v>258</v>
      </c>
      <c r="E161" s="1186" t="s">
        <v>232</v>
      </c>
      <c r="F161" s="211" t="s">
        <v>279</v>
      </c>
      <c r="G161" s="1370"/>
      <c r="H161" s="59" t="s">
        <v>64</v>
      </c>
      <c r="I161" s="16">
        <v>3.5</v>
      </c>
      <c r="J161" s="124"/>
      <c r="K161" s="162"/>
      <c r="L161" s="312"/>
      <c r="M161" s="731" t="s">
        <v>61</v>
      </c>
      <c r="N161" s="545">
        <v>1</v>
      </c>
      <c r="O161" s="300"/>
      <c r="P161" s="308"/>
      <c r="Q161" s="85"/>
    </row>
    <row r="162" spans="1:17" ht="15" customHeight="1" x14ac:dyDescent="0.25">
      <c r="A162" s="729"/>
      <c r="B162" s="730"/>
      <c r="C162" s="220"/>
      <c r="D162" s="1367"/>
      <c r="E162" s="1187"/>
      <c r="F162" s="142" t="s">
        <v>148</v>
      </c>
      <c r="G162" s="1370"/>
      <c r="H162" s="154"/>
      <c r="I162" s="16"/>
      <c r="J162" s="124"/>
      <c r="K162" s="162"/>
      <c r="L162" s="633"/>
      <c r="M162" s="732"/>
      <c r="N162" s="741"/>
      <c r="O162" s="298"/>
      <c r="P162" s="305"/>
      <c r="Q162" s="86"/>
    </row>
    <row r="163" spans="1:17" ht="15" customHeight="1" x14ac:dyDescent="0.25">
      <c r="A163" s="278"/>
      <c r="B163" s="279"/>
      <c r="C163" s="220"/>
      <c r="D163" s="1368"/>
      <c r="E163" s="1221"/>
      <c r="F163" s="142" t="s">
        <v>40</v>
      </c>
      <c r="G163" s="1371"/>
      <c r="H163" s="221" t="s">
        <v>64</v>
      </c>
      <c r="I163" s="222"/>
      <c r="J163" s="632"/>
      <c r="K163" s="355">
        <v>103.3</v>
      </c>
      <c r="L163" s="23">
        <v>1962.7</v>
      </c>
      <c r="M163" s="437" t="s">
        <v>307</v>
      </c>
      <c r="N163" s="482"/>
      <c r="O163" s="333"/>
      <c r="P163" s="339">
        <v>5</v>
      </c>
      <c r="Q163" s="132">
        <v>100</v>
      </c>
    </row>
    <row r="164" spans="1:17" ht="15" customHeight="1" x14ac:dyDescent="0.25">
      <c r="A164" s="278"/>
      <c r="B164" s="279"/>
      <c r="C164" s="220"/>
      <c r="D164" s="1366" t="s">
        <v>291</v>
      </c>
      <c r="E164" s="1186" t="s">
        <v>265</v>
      </c>
      <c r="F164" s="56" t="s">
        <v>40</v>
      </c>
      <c r="G164" s="1369" t="s">
        <v>142</v>
      </c>
      <c r="H164" s="647" t="s">
        <v>21</v>
      </c>
      <c r="I164" s="76"/>
      <c r="J164" s="285">
        <v>100</v>
      </c>
      <c r="K164" s="137">
        <v>288.3</v>
      </c>
      <c r="L164" s="583"/>
      <c r="M164" s="405" t="s">
        <v>307</v>
      </c>
      <c r="N164" s="484"/>
      <c r="O164" s="300">
        <v>25</v>
      </c>
      <c r="P164" s="308">
        <v>100</v>
      </c>
      <c r="Q164" s="86"/>
    </row>
    <row r="165" spans="1:17" ht="15" customHeight="1" x14ac:dyDescent="0.25">
      <c r="A165" s="706"/>
      <c r="B165" s="707"/>
      <c r="C165" s="220"/>
      <c r="D165" s="1367"/>
      <c r="E165" s="1187"/>
      <c r="F165" s="142" t="s">
        <v>277</v>
      </c>
      <c r="G165" s="1370"/>
      <c r="H165" s="139" t="s">
        <v>64</v>
      </c>
      <c r="I165" s="18"/>
      <c r="J165" s="350">
        <v>200</v>
      </c>
      <c r="K165" s="162">
        <v>800</v>
      </c>
      <c r="L165" s="445"/>
      <c r="M165" s="405"/>
      <c r="N165" s="484"/>
      <c r="O165" s="298"/>
      <c r="P165" s="305"/>
      <c r="Q165" s="86"/>
    </row>
    <row r="166" spans="1:17" ht="15" customHeight="1" x14ac:dyDescent="0.25">
      <c r="A166" s="278"/>
      <c r="B166" s="279"/>
      <c r="C166" s="220"/>
      <c r="D166" s="1372"/>
      <c r="E166" s="1187"/>
      <c r="F166" s="807" t="s">
        <v>148</v>
      </c>
      <c r="G166" s="1370"/>
      <c r="H166" s="168"/>
      <c r="I166" s="168"/>
      <c r="J166" s="1"/>
      <c r="K166" s="141"/>
      <c r="L166" s="242"/>
      <c r="M166" s="409"/>
      <c r="N166" s="484"/>
      <c r="O166" s="298"/>
      <c r="P166" s="309"/>
      <c r="Q166" s="243"/>
    </row>
    <row r="167" spans="1:17" ht="15.65" customHeight="1" x14ac:dyDescent="0.25">
      <c r="A167" s="278"/>
      <c r="B167" s="279"/>
      <c r="C167" s="220"/>
      <c r="D167" s="1366" t="s">
        <v>267</v>
      </c>
      <c r="E167" s="1186" t="s">
        <v>266</v>
      </c>
      <c r="F167" s="56" t="s">
        <v>277</v>
      </c>
      <c r="G167" s="100"/>
      <c r="H167" s="59" t="s">
        <v>21</v>
      </c>
      <c r="I167" s="76"/>
      <c r="J167" s="311">
        <v>30</v>
      </c>
      <c r="K167" s="111">
        <v>50</v>
      </c>
      <c r="L167" s="23"/>
      <c r="M167" s="495" t="s">
        <v>61</v>
      </c>
      <c r="N167" s="477"/>
      <c r="O167" s="496">
        <v>1</v>
      </c>
      <c r="P167" s="337"/>
      <c r="Q167" s="236"/>
    </row>
    <row r="168" spans="1:17" ht="15.65" customHeight="1" x14ac:dyDescent="0.25">
      <c r="A168" s="278"/>
      <c r="B168" s="279"/>
      <c r="C168" s="220"/>
      <c r="D168" s="1372"/>
      <c r="E168" s="1221"/>
      <c r="F168" s="142"/>
      <c r="G168" s="100"/>
      <c r="H168" s="60"/>
      <c r="I168" s="77"/>
      <c r="J168" s="313"/>
      <c r="K168" s="296"/>
      <c r="L168" s="242"/>
      <c r="M168" s="437" t="s">
        <v>307</v>
      </c>
      <c r="N168" s="482"/>
      <c r="O168" s="333"/>
      <c r="P168" s="339">
        <v>100</v>
      </c>
      <c r="Q168" s="132"/>
    </row>
    <row r="169" spans="1:17" ht="15.65" customHeight="1" x14ac:dyDescent="0.25">
      <c r="A169" s="759"/>
      <c r="B169" s="760"/>
      <c r="C169" s="220"/>
      <c r="D169" s="1366" t="s">
        <v>292</v>
      </c>
      <c r="E169" s="1186" t="s">
        <v>326</v>
      </c>
      <c r="F169" s="56" t="s">
        <v>277</v>
      </c>
      <c r="G169" s="100"/>
      <c r="H169" s="59" t="s">
        <v>21</v>
      </c>
      <c r="I169" s="435"/>
      <c r="J169" s="285"/>
      <c r="K169" s="162">
        <v>175</v>
      </c>
      <c r="L169" s="23"/>
      <c r="M169" s="495" t="s">
        <v>61</v>
      </c>
      <c r="N169" s="477"/>
      <c r="O169" s="331">
        <v>1</v>
      </c>
      <c r="P169" s="305"/>
      <c r="Q169" s="86"/>
    </row>
    <row r="170" spans="1:17" ht="15.65" customHeight="1" x14ac:dyDescent="0.25">
      <c r="A170" s="759"/>
      <c r="B170" s="760"/>
      <c r="C170" s="220"/>
      <c r="D170" s="1367"/>
      <c r="E170" s="1187"/>
      <c r="F170" s="142" t="s">
        <v>40</v>
      </c>
      <c r="G170" s="100"/>
      <c r="H170" s="18" t="s">
        <v>328</v>
      </c>
      <c r="I170" s="16"/>
      <c r="J170" s="771">
        <v>25</v>
      </c>
      <c r="K170" s="121"/>
      <c r="L170" s="588"/>
      <c r="M170" s="442" t="s">
        <v>307</v>
      </c>
      <c r="N170" s="484"/>
      <c r="O170" s="298"/>
      <c r="P170" s="338">
        <v>100</v>
      </c>
      <c r="Q170" s="244"/>
    </row>
    <row r="171" spans="1:17" ht="15.65" customHeight="1" x14ac:dyDescent="0.25">
      <c r="A171" s="759"/>
      <c r="B171" s="760"/>
      <c r="C171" s="220"/>
      <c r="D171" s="1372"/>
      <c r="E171" s="1221"/>
      <c r="F171" s="142"/>
      <c r="G171" s="100"/>
      <c r="H171" s="139"/>
      <c r="I171" s="16"/>
      <c r="J171" s="313"/>
      <c r="K171" s="296"/>
      <c r="L171" s="242"/>
      <c r="M171" s="405"/>
      <c r="N171" s="484"/>
      <c r="O171" s="301"/>
      <c r="P171" s="305"/>
      <c r="Q171" s="86"/>
    </row>
    <row r="172" spans="1:17" ht="16.5" customHeight="1" x14ac:dyDescent="0.25">
      <c r="A172" s="619"/>
      <c r="B172" s="621"/>
      <c r="C172" s="48"/>
      <c r="D172" s="792" t="s">
        <v>293</v>
      </c>
      <c r="E172" s="1192" t="s">
        <v>297</v>
      </c>
      <c r="F172" s="965" t="s">
        <v>40</v>
      </c>
      <c r="G172" s="1361" t="s">
        <v>143</v>
      </c>
      <c r="H172" s="76" t="s">
        <v>21</v>
      </c>
      <c r="I172" s="76"/>
      <c r="J172" s="124"/>
      <c r="K172" s="162"/>
      <c r="L172" s="23">
        <v>359</v>
      </c>
      <c r="M172" s="623" t="s">
        <v>307</v>
      </c>
      <c r="N172" s="85"/>
      <c r="O172" s="300"/>
      <c r="P172" s="308"/>
      <c r="Q172" s="85">
        <v>100</v>
      </c>
    </row>
    <row r="173" spans="1:17" ht="16.5" customHeight="1" x14ac:dyDescent="0.25">
      <c r="A173" s="619"/>
      <c r="B173" s="621"/>
      <c r="C173" s="47"/>
      <c r="D173" s="106"/>
      <c r="E173" s="1232"/>
      <c r="F173" s="807" t="s">
        <v>277</v>
      </c>
      <c r="G173" s="1363"/>
      <c r="H173" s="77"/>
      <c r="I173" s="443"/>
      <c r="J173" s="328"/>
      <c r="K173" s="329"/>
      <c r="L173" s="117"/>
      <c r="M173" s="411"/>
      <c r="N173" s="87"/>
      <c r="O173" s="301"/>
      <c r="P173" s="309"/>
      <c r="Q173" s="87"/>
    </row>
    <row r="174" spans="1:17" ht="15" customHeight="1" x14ac:dyDescent="0.25">
      <c r="A174" s="619"/>
      <c r="B174" s="621"/>
      <c r="C174" s="48"/>
      <c r="D174" s="792" t="s">
        <v>296</v>
      </c>
      <c r="E174" s="1192" t="s">
        <v>294</v>
      </c>
      <c r="F174" s="965" t="s">
        <v>40</v>
      </c>
      <c r="G174" s="1361" t="s">
        <v>142</v>
      </c>
      <c r="H174" s="435" t="s">
        <v>21</v>
      </c>
      <c r="I174" s="435"/>
      <c r="J174" s="455"/>
      <c r="K174" s="162">
        <v>110</v>
      </c>
      <c r="L174" s="23"/>
      <c r="M174" s="831" t="s">
        <v>39</v>
      </c>
      <c r="N174" s="545"/>
      <c r="O174" s="300"/>
      <c r="P174" s="308">
        <v>1</v>
      </c>
      <c r="Q174" s="235"/>
    </row>
    <row r="175" spans="1:17" ht="15" customHeight="1" x14ac:dyDescent="0.25">
      <c r="A175" s="619"/>
      <c r="B175" s="621"/>
      <c r="C175" s="48"/>
      <c r="D175" s="793"/>
      <c r="E175" s="1193"/>
      <c r="F175" s="796" t="s">
        <v>277</v>
      </c>
      <c r="G175" s="1362"/>
      <c r="H175" s="16" t="s">
        <v>328</v>
      </c>
      <c r="I175" s="16"/>
      <c r="J175" s="124">
        <v>20</v>
      </c>
      <c r="K175" s="121"/>
      <c r="L175" s="588"/>
      <c r="M175" s="405"/>
      <c r="N175" s="86"/>
      <c r="O175" s="298"/>
      <c r="P175" s="305"/>
      <c r="Q175" s="86"/>
    </row>
    <row r="176" spans="1:17" ht="15" customHeight="1" x14ac:dyDescent="0.25">
      <c r="A176" s="619"/>
      <c r="B176" s="621"/>
      <c r="C176" s="47"/>
      <c r="D176" s="106"/>
      <c r="E176" s="1232"/>
      <c r="F176" s="807" t="s">
        <v>148</v>
      </c>
      <c r="G176" s="1363"/>
      <c r="H176" s="77"/>
      <c r="I176" s="443"/>
      <c r="J176" s="328"/>
      <c r="K176" s="329"/>
      <c r="L176" s="117"/>
      <c r="M176" s="768"/>
      <c r="N176" s="478"/>
      <c r="O176" s="301"/>
      <c r="P176" s="309"/>
      <c r="Q176" s="87"/>
    </row>
    <row r="177" spans="1:19" ht="15" customHeight="1" x14ac:dyDescent="0.25">
      <c r="A177" s="619"/>
      <c r="B177" s="621"/>
      <c r="C177" s="48"/>
      <c r="D177" s="792" t="s">
        <v>298</v>
      </c>
      <c r="E177" s="1192" t="s">
        <v>295</v>
      </c>
      <c r="F177" s="965" t="s">
        <v>40</v>
      </c>
      <c r="G177" s="1361" t="s">
        <v>142</v>
      </c>
      <c r="H177" s="435" t="s">
        <v>21</v>
      </c>
      <c r="I177" s="16"/>
      <c r="J177" s="124"/>
      <c r="K177" s="162">
        <v>200</v>
      </c>
      <c r="L177" s="23"/>
      <c r="M177" s="831" t="s">
        <v>39</v>
      </c>
      <c r="N177" s="545"/>
      <c r="O177" s="300"/>
      <c r="P177" s="308">
        <v>1</v>
      </c>
      <c r="Q177" s="235"/>
    </row>
    <row r="178" spans="1:19" ht="15" customHeight="1" x14ac:dyDescent="0.25">
      <c r="A178" s="619"/>
      <c r="B178" s="621"/>
      <c r="C178" s="48"/>
      <c r="D178" s="793"/>
      <c r="E178" s="1193"/>
      <c r="F178" s="796" t="s">
        <v>277</v>
      </c>
      <c r="G178" s="1362"/>
      <c r="H178" s="16" t="s">
        <v>328</v>
      </c>
      <c r="I178" s="18"/>
      <c r="J178" s="783">
        <v>50</v>
      </c>
      <c r="K178" s="121"/>
      <c r="L178" s="588"/>
      <c r="M178" s="405"/>
      <c r="N178" s="124"/>
      <c r="O178" s="298"/>
      <c r="P178" s="305"/>
      <c r="Q178" s="644"/>
    </row>
    <row r="179" spans="1:19" ht="15" customHeight="1" x14ac:dyDescent="0.25">
      <c r="A179" s="619"/>
      <c r="B179" s="621"/>
      <c r="C179" s="47"/>
      <c r="D179" s="106"/>
      <c r="E179" s="1232"/>
      <c r="F179" s="807" t="s">
        <v>148</v>
      </c>
      <c r="G179" s="1363"/>
      <c r="H179" s="77"/>
      <c r="I179" s="443"/>
      <c r="J179" s="328"/>
      <c r="K179" s="329"/>
      <c r="L179" s="653"/>
      <c r="N179" s="478"/>
      <c r="O179" s="301"/>
      <c r="P179" s="309"/>
      <c r="Q179" s="87"/>
    </row>
    <row r="180" spans="1:19" s="6" customFormat="1" ht="13.5" customHeight="1" x14ac:dyDescent="0.25">
      <c r="A180" s="619"/>
      <c r="B180" s="625"/>
      <c r="C180" s="50"/>
      <c r="D180" s="105"/>
      <c r="E180" s="663" t="s">
        <v>303</v>
      </c>
      <c r="F180" s="751"/>
      <c r="G180" s="618"/>
      <c r="H180" s="654"/>
      <c r="I180" s="655"/>
      <c r="J180" s="656"/>
      <c r="K180" s="657"/>
      <c r="L180" s="658"/>
      <c r="M180" s="659"/>
      <c r="N180" s="660"/>
      <c r="O180" s="661"/>
      <c r="P180" s="662"/>
      <c r="Q180" s="660"/>
    </row>
    <row r="181" spans="1:19" ht="16.5" customHeight="1" x14ac:dyDescent="0.25">
      <c r="A181" s="619"/>
      <c r="B181" s="621"/>
      <c r="C181" s="48"/>
      <c r="D181" s="792" t="s">
        <v>299</v>
      </c>
      <c r="E181" s="1192" t="s">
        <v>301</v>
      </c>
      <c r="F181" s="797" t="s">
        <v>322</v>
      </c>
      <c r="G181" s="616" t="s">
        <v>143</v>
      </c>
      <c r="H181" s="76" t="s">
        <v>100</v>
      </c>
      <c r="I181" s="16"/>
      <c r="J181" s="124">
        <v>109.4</v>
      </c>
      <c r="K181" s="162">
        <v>322.60000000000002</v>
      </c>
      <c r="L181" s="23"/>
      <c r="M181" s="622" t="s">
        <v>39</v>
      </c>
      <c r="N181" s="85"/>
      <c r="O181" s="300">
        <v>1</v>
      </c>
      <c r="P181" s="308"/>
      <c r="Q181" s="85"/>
    </row>
    <row r="182" spans="1:19" ht="26.5" customHeight="1" x14ac:dyDescent="0.25">
      <c r="A182" s="619"/>
      <c r="B182" s="621"/>
      <c r="C182" s="47"/>
      <c r="D182" s="105"/>
      <c r="E182" s="1193"/>
      <c r="F182" s="977" t="s">
        <v>40</v>
      </c>
      <c r="G182" s="1370" t="s">
        <v>142</v>
      </c>
      <c r="H182" s="16"/>
      <c r="I182" s="973"/>
      <c r="J182" s="974"/>
      <c r="K182" s="975"/>
      <c r="L182" s="976"/>
      <c r="M182" s="454" t="s">
        <v>200</v>
      </c>
      <c r="N182" s="513"/>
      <c r="O182" s="332"/>
      <c r="P182" s="338">
        <v>100</v>
      </c>
      <c r="Q182" s="244"/>
    </row>
    <row r="183" spans="1:19" ht="14.5" customHeight="1" x14ac:dyDescent="0.25">
      <c r="A183" s="945"/>
      <c r="B183" s="947"/>
      <c r="C183" s="48"/>
      <c r="D183" s="105"/>
      <c r="E183" s="942"/>
      <c r="F183" s="960" t="s">
        <v>148</v>
      </c>
      <c r="G183" s="1371"/>
      <c r="H183" s="77"/>
      <c r="I183" s="443"/>
      <c r="J183" s="978"/>
      <c r="K183" s="329"/>
      <c r="L183" s="653"/>
      <c r="M183" s="411"/>
      <c r="N183" s="478"/>
      <c r="O183" s="301"/>
      <c r="P183" s="309"/>
      <c r="Q183" s="86"/>
    </row>
    <row r="184" spans="1:19" ht="21.65" customHeight="1" x14ac:dyDescent="0.25">
      <c r="A184" s="619"/>
      <c r="B184" s="621"/>
      <c r="C184" s="48"/>
      <c r="D184" s="792" t="s">
        <v>300</v>
      </c>
      <c r="E184" s="1192" t="s">
        <v>302</v>
      </c>
      <c r="F184" s="795" t="s">
        <v>277</v>
      </c>
      <c r="G184" s="616" t="s">
        <v>143</v>
      </c>
      <c r="H184" s="76" t="s">
        <v>100</v>
      </c>
      <c r="I184" s="16"/>
      <c r="J184" s="311">
        <v>87.7</v>
      </c>
      <c r="K184" s="162">
        <v>824.4</v>
      </c>
      <c r="L184" s="312"/>
      <c r="M184" s="451" t="s">
        <v>39</v>
      </c>
      <c r="N184" s="477"/>
      <c r="O184" s="331">
        <v>1</v>
      </c>
      <c r="P184" s="337"/>
      <c r="Q184" s="236"/>
    </row>
    <row r="185" spans="1:19" ht="15.65" customHeight="1" x14ac:dyDescent="0.25">
      <c r="A185" s="945"/>
      <c r="B185" s="947"/>
      <c r="C185" s="48"/>
      <c r="D185" s="940"/>
      <c r="E185" s="1193"/>
      <c r="F185" s="959" t="s">
        <v>148</v>
      </c>
      <c r="G185" s="1370" t="s">
        <v>142</v>
      </c>
      <c r="H185" s="16"/>
      <c r="I185" s="16"/>
      <c r="J185" s="124"/>
      <c r="K185" s="162"/>
      <c r="L185" s="23"/>
      <c r="M185" s="949"/>
      <c r="N185" s="86"/>
      <c r="O185" s="298"/>
      <c r="P185" s="305"/>
      <c r="Q185" s="86"/>
    </row>
    <row r="186" spans="1:19" ht="27" customHeight="1" x14ac:dyDescent="0.25">
      <c r="A186" s="619"/>
      <c r="B186" s="621"/>
      <c r="C186" s="47"/>
      <c r="D186" s="106"/>
      <c r="E186" s="1232"/>
      <c r="F186" s="960" t="s">
        <v>40</v>
      </c>
      <c r="G186" s="1371"/>
      <c r="H186" s="77"/>
      <c r="I186" s="443"/>
      <c r="J186" s="328"/>
      <c r="K186" s="329"/>
      <c r="L186" s="117"/>
      <c r="M186" s="411" t="s">
        <v>200</v>
      </c>
      <c r="N186" s="87"/>
      <c r="O186" s="301"/>
      <c r="P186" s="309">
        <v>100</v>
      </c>
      <c r="Q186" s="243"/>
    </row>
    <row r="187" spans="1:19" ht="15" customHeight="1" thickBot="1" x14ac:dyDescent="0.3">
      <c r="A187" s="17"/>
      <c r="B187" s="64"/>
      <c r="C187" s="29"/>
      <c r="D187" s="174"/>
      <c r="E187" s="494"/>
      <c r="F187" s="498"/>
      <c r="G187" s="487"/>
      <c r="H187" s="138" t="s">
        <v>4</v>
      </c>
      <c r="I187" s="138">
        <f>SUM(I17:I186)</f>
        <v>23397.7</v>
      </c>
      <c r="J187" s="459">
        <f>SUM(J17:J186)</f>
        <v>29304.7</v>
      </c>
      <c r="K187" s="123">
        <f>SUM(K17:K186)</f>
        <v>19769.900000000001</v>
      </c>
      <c r="L187" s="462">
        <f>SUM(L17:L186)</f>
        <v>15108.7</v>
      </c>
      <c r="M187" s="422"/>
      <c r="N187" s="181"/>
      <c r="O187" s="359"/>
      <c r="P187" s="362"/>
      <c r="Q187" s="181"/>
    </row>
    <row r="188" spans="1:19" ht="15" customHeight="1" thickBot="1" x14ac:dyDescent="0.3">
      <c r="A188" s="19" t="s">
        <v>3</v>
      </c>
      <c r="B188" s="37" t="s">
        <v>3</v>
      </c>
      <c r="C188" s="1245" t="s">
        <v>6</v>
      </c>
      <c r="D188" s="1246"/>
      <c r="E188" s="1246"/>
      <c r="F188" s="1246"/>
      <c r="G188" s="1246"/>
      <c r="H188" s="1247"/>
      <c r="I188" s="436">
        <f>I187</f>
        <v>23397.7</v>
      </c>
      <c r="J188" s="461">
        <f t="shared" ref="J188:L188" si="0">J187</f>
        <v>29304.7</v>
      </c>
      <c r="K188" s="127">
        <f t="shared" si="0"/>
        <v>19769.900000000001</v>
      </c>
      <c r="L188" s="457">
        <f t="shared" si="0"/>
        <v>15108.7</v>
      </c>
      <c r="M188" s="1248"/>
      <c r="N188" s="1249"/>
      <c r="O188" s="1249"/>
      <c r="P188" s="1249"/>
      <c r="Q188" s="1250"/>
    </row>
    <row r="189" spans="1:19" ht="15" customHeight="1" thickBot="1" x14ac:dyDescent="0.3">
      <c r="A189" s="19" t="s">
        <v>3</v>
      </c>
      <c r="B189" s="37" t="s">
        <v>5</v>
      </c>
      <c r="C189" s="1251" t="s">
        <v>27</v>
      </c>
      <c r="D189" s="1252"/>
      <c r="E189" s="1252"/>
      <c r="F189" s="1252"/>
      <c r="G189" s="1252"/>
      <c r="H189" s="1252"/>
      <c r="I189" s="1252"/>
      <c r="J189" s="1252"/>
      <c r="K189" s="1252"/>
      <c r="L189" s="1252"/>
      <c r="M189" s="1252"/>
      <c r="N189" s="1252"/>
      <c r="O189" s="1252"/>
      <c r="P189" s="1252"/>
      <c r="Q189" s="1253"/>
    </row>
    <row r="190" spans="1:19" ht="15.65" customHeight="1" x14ac:dyDescent="0.25">
      <c r="A190" s="75" t="s">
        <v>3</v>
      </c>
      <c r="B190" s="36" t="s">
        <v>5</v>
      </c>
      <c r="C190" s="46" t="s">
        <v>3</v>
      </c>
      <c r="D190" s="70"/>
      <c r="E190" s="26" t="s">
        <v>45</v>
      </c>
      <c r="F190" s="590"/>
      <c r="G190" s="51"/>
      <c r="H190" s="22"/>
      <c r="I190" s="432"/>
      <c r="J190" s="884"/>
      <c r="K190" s="885"/>
      <c r="L190" s="125"/>
      <c r="M190" s="430"/>
      <c r="N190" s="90"/>
      <c r="O190" s="247"/>
      <c r="P190" s="369"/>
      <c r="Q190" s="90"/>
      <c r="R190" s="13"/>
      <c r="S190" s="13"/>
    </row>
    <row r="191" spans="1:19" ht="18" customHeight="1" x14ac:dyDescent="0.25">
      <c r="A191" s="194"/>
      <c r="B191" s="195"/>
      <c r="C191" s="196"/>
      <c r="D191" s="198" t="s">
        <v>3</v>
      </c>
      <c r="E191" s="206" t="s">
        <v>42</v>
      </c>
      <c r="F191" s="268" t="s">
        <v>148</v>
      </c>
      <c r="G191" s="1370" t="s">
        <v>93</v>
      </c>
      <c r="H191" s="435" t="s">
        <v>21</v>
      </c>
      <c r="I191" s="16">
        <f>4900+62.4-434.6-17.9-405-445-80-760.2+361</f>
        <v>3180.7</v>
      </c>
      <c r="J191" s="124">
        <v>2050</v>
      </c>
      <c r="K191" s="679">
        <v>5124.8999999999996</v>
      </c>
      <c r="L191" s="25">
        <v>5393</v>
      </c>
      <c r="M191" s="423" t="s">
        <v>35</v>
      </c>
      <c r="N191" s="761">
        <v>3</v>
      </c>
      <c r="O191" s="762">
        <v>3.2</v>
      </c>
      <c r="P191" s="763">
        <v>3.2</v>
      </c>
      <c r="Q191" s="761">
        <v>3.2</v>
      </c>
    </row>
    <row r="192" spans="1:19" ht="15.65" customHeight="1" x14ac:dyDescent="0.25">
      <c r="A192" s="194"/>
      <c r="B192" s="195"/>
      <c r="C192" s="196"/>
      <c r="D192" s="105"/>
      <c r="E192" s="1254" t="s">
        <v>181</v>
      </c>
      <c r="F192" s="693" t="s">
        <v>131</v>
      </c>
      <c r="G192" s="1412"/>
      <c r="H192" s="140" t="s">
        <v>48</v>
      </c>
      <c r="I192" s="167">
        <f>422.9-405</f>
        <v>17.899999999999999</v>
      </c>
      <c r="J192" s="366">
        <v>3000</v>
      </c>
      <c r="K192" s="295"/>
      <c r="L192" s="589"/>
      <c r="M192" s="1255" t="s">
        <v>283</v>
      </c>
      <c r="N192" s="1437">
        <v>1.5</v>
      </c>
      <c r="O192" s="1257">
        <v>2</v>
      </c>
      <c r="P192" s="1265">
        <v>2</v>
      </c>
      <c r="Q192" s="1240">
        <v>2</v>
      </c>
    </row>
    <row r="193" spans="1:17" ht="15.65" customHeight="1" x14ac:dyDescent="0.25">
      <c r="A193" s="194"/>
      <c r="B193" s="195"/>
      <c r="C193" s="196"/>
      <c r="D193" s="105"/>
      <c r="E193" s="1254"/>
      <c r="F193" s="693" t="s">
        <v>279</v>
      </c>
      <c r="G193" s="1412"/>
      <c r="H193" s="16" t="s">
        <v>55</v>
      </c>
      <c r="I193" s="18">
        <f>165.6-102.4-33.3</f>
        <v>29.9</v>
      </c>
      <c r="J193" s="837"/>
      <c r="K193" s="121"/>
      <c r="L193" s="445"/>
      <c r="M193" s="1256"/>
      <c r="N193" s="1438"/>
      <c r="O193" s="1258"/>
      <c r="P193" s="1266"/>
      <c r="Q193" s="1241"/>
    </row>
    <row r="194" spans="1:17" ht="16" customHeight="1" x14ac:dyDescent="0.25">
      <c r="A194" s="194"/>
      <c r="B194" s="195"/>
      <c r="C194" s="196"/>
      <c r="D194" s="105"/>
      <c r="E194" s="94" t="s">
        <v>182</v>
      </c>
      <c r="F194" s="693"/>
      <c r="G194" s="199"/>
      <c r="H194" s="675"/>
      <c r="I194" s="165"/>
      <c r="J194" s="363"/>
      <c r="K194" s="363"/>
      <c r="M194" s="423" t="s">
        <v>284</v>
      </c>
      <c r="N194" s="761">
        <v>2</v>
      </c>
      <c r="O194" s="762">
        <v>2</v>
      </c>
      <c r="P194" s="763">
        <v>2</v>
      </c>
      <c r="Q194" s="761">
        <v>2</v>
      </c>
    </row>
    <row r="195" spans="1:17" ht="27.65" customHeight="1" x14ac:dyDescent="0.25">
      <c r="A195" s="194"/>
      <c r="B195" s="195"/>
      <c r="C195" s="196"/>
      <c r="D195" s="105"/>
      <c r="E195" s="41" t="s">
        <v>183</v>
      </c>
      <c r="F195" s="693"/>
      <c r="G195" s="199"/>
      <c r="H195" s="140"/>
      <c r="I195" s="16"/>
      <c r="J195" s="124"/>
      <c r="K195" s="124"/>
      <c r="L195" s="633"/>
      <c r="M195" s="431" t="s">
        <v>77</v>
      </c>
      <c r="N195" s="764">
        <v>13</v>
      </c>
      <c r="O195" s="765">
        <v>23</v>
      </c>
      <c r="P195" s="766">
        <v>23</v>
      </c>
      <c r="Q195" s="764">
        <v>23</v>
      </c>
    </row>
    <row r="196" spans="1:17" ht="27.65" customHeight="1" x14ac:dyDescent="0.25">
      <c r="A196" s="194"/>
      <c r="B196" s="195"/>
      <c r="C196" s="196"/>
      <c r="D196" s="105"/>
      <c r="E196" s="190" t="s">
        <v>184</v>
      </c>
      <c r="F196" s="693"/>
      <c r="G196" s="199"/>
      <c r="H196" s="16" t="s">
        <v>21</v>
      </c>
      <c r="I196" s="18"/>
      <c r="J196" s="770">
        <v>959.8</v>
      </c>
      <c r="K196" s="927">
        <v>959.8</v>
      </c>
      <c r="L196" s="928">
        <v>959.8</v>
      </c>
      <c r="M196" s="929" t="s">
        <v>419</v>
      </c>
      <c r="N196" s="15"/>
      <c r="O196" s="926">
        <v>8</v>
      </c>
      <c r="P196" s="162">
        <v>8</v>
      </c>
      <c r="Q196" s="15">
        <v>8</v>
      </c>
    </row>
    <row r="197" spans="1:17" ht="15.75" customHeight="1" x14ac:dyDescent="0.25">
      <c r="A197" s="194"/>
      <c r="B197" s="195"/>
      <c r="C197" s="196"/>
      <c r="D197" s="105"/>
      <c r="E197" s="1242" t="s">
        <v>185</v>
      </c>
      <c r="F197" s="693"/>
      <c r="G197" s="72"/>
      <c r="H197" s="18" t="s">
        <v>21</v>
      </c>
      <c r="I197" s="18"/>
      <c r="J197" s="771"/>
      <c r="K197" s="124">
        <v>22.1</v>
      </c>
      <c r="L197" s="588">
        <v>22.1</v>
      </c>
      <c r="M197" s="1222" t="s">
        <v>115</v>
      </c>
      <c r="N197" s="108"/>
      <c r="O197" s="789"/>
      <c r="P197" s="586">
        <v>1</v>
      </c>
      <c r="Q197" s="587">
        <v>1</v>
      </c>
    </row>
    <row r="198" spans="1:17" ht="26.25" customHeight="1" x14ac:dyDescent="0.25">
      <c r="A198" s="194"/>
      <c r="B198" s="195"/>
      <c r="C198" s="196"/>
      <c r="D198" s="106"/>
      <c r="E198" s="1233"/>
      <c r="F198" s="283"/>
      <c r="G198" s="72"/>
      <c r="H198" s="16"/>
      <c r="I198" s="681"/>
      <c r="J198" s="682"/>
      <c r="K198" s="682"/>
      <c r="L198" s="683"/>
      <c r="M198" s="1223"/>
      <c r="N198" s="87"/>
      <c r="O198" s="301"/>
      <c r="P198" s="309"/>
      <c r="Q198" s="87"/>
    </row>
    <row r="199" spans="1:17" ht="14.25" customHeight="1" x14ac:dyDescent="0.25">
      <c r="A199" s="194"/>
      <c r="B199" s="195"/>
      <c r="C199" s="196"/>
      <c r="D199" s="198" t="s">
        <v>5</v>
      </c>
      <c r="E199" s="102" t="s">
        <v>83</v>
      </c>
      <c r="F199" s="268" t="s">
        <v>279</v>
      </c>
      <c r="G199" s="1369" t="s">
        <v>93</v>
      </c>
      <c r="H199" s="76"/>
      <c r="I199" s="433"/>
      <c r="J199" s="364"/>
      <c r="K199" s="364"/>
      <c r="L199" s="126"/>
      <c r="M199" s="421"/>
      <c r="N199" s="245"/>
      <c r="O199" s="367"/>
      <c r="P199" s="370"/>
      <c r="Q199" s="245"/>
    </row>
    <row r="200" spans="1:17" ht="16.5" customHeight="1" x14ac:dyDescent="0.25">
      <c r="A200" s="194"/>
      <c r="B200" s="195"/>
      <c r="C200" s="196"/>
      <c r="D200" s="105"/>
      <c r="E200" s="1243" t="s">
        <v>171</v>
      </c>
      <c r="F200" s="268" t="s">
        <v>148</v>
      </c>
      <c r="G200" s="1370"/>
      <c r="H200" s="167" t="s">
        <v>21</v>
      </c>
      <c r="I200" s="167">
        <f>938+445+80+760.2+323.7</f>
        <v>2546.9</v>
      </c>
      <c r="J200" s="366">
        <v>1115</v>
      </c>
      <c r="K200" s="183"/>
      <c r="L200" s="589"/>
      <c r="M200" s="429" t="s">
        <v>82</v>
      </c>
      <c r="N200" s="108">
        <v>58</v>
      </c>
      <c r="O200" s="332">
        <v>58</v>
      </c>
      <c r="P200" s="338"/>
      <c r="Q200" s="108"/>
    </row>
    <row r="201" spans="1:17" ht="16.5" customHeight="1" x14ac:dyDescent="0.25">
      <c r="A201" s="194"/>
      <c r="B201" s="195"/>
      <c r="C201" s="196"/>
      <c r="D201" s="105"/>
      <c r="E201" s="1244"/>
      <c r="F201" s="268"/>
      <c r="G201" s="191"/>
      <c r="H201" s="16" t="s">
        <v>48</v>
      </c>
      <c r="I201" s="167">
        <f>405+24.2+292.4+211.5</f>
        <v>933.1</v>
      </c>
      <c r="J201" s="366">
        <v>485</v>
      </c>
      <c r="K201" s="295"/>
      <c r="L201" s="589"/>
      <c r="M201" s="427"/>
      <c r="N201" s="86"/>
      <c r="O201" s="298"/>
      <c r="P201" s="305"/>
      <c r="Q201" s="86"/>
    </row>
    <row r="202" spans="1:17" ht="16.5" customHeight="1" x14ac:dyDescent="0.25">
      <c r="A202" s="194"/>
      <c r="B202" s="195"/>
      <c r="C202" s="196"/>
      <c r="D202" s="105"/>
      <c r="E202" s="1449"/>
      <c r="F202" s="268"/>
      <c r="G202" s="191"/>
      <c r="H202" s="167" t="s">
        <v>226</v>
      </c>
      <c r="I202" s="140">
        <v>485.2</v>
      </c>
      <c r="J202" s="291"/>
      <c r="K202" s="291"/>
      <c r="L202" s="115"/>
      <c r="M202" s="426"/>
      <c r="N202" s="246"/>
      <c r="O202" s="358"/>
      <c r="P202" s="361"/>
      <c r="Q202" s="246"/>
    </row>
    <row r="203" spans="1:17" ht="27" customHeight="1" x14ac:dyDescent="0.25">
      <c r="A203" s="194"/>
      <c r="B203" s="195"/>
      <c r="C203" s="196"/>
      <c r="D203" s="105"/>
      <c r="E203" s="1259" t="s">
        <v>84</v>
      </c>
      <c r="F203" s="268"/>
      <c r="G203" s="191"/>
      <c r="H203" s="16" t="s">
        <v>21</v>
      </c>
      <c r="I203" s="18">
        <f>93.4+106.6</f>
        <v>200</v>
      </c>
      <c r="J203" s="124">
        <v>411.1</v>
      </c>
      <c r="K203" s="124">
        <v>411.1</v>
      </c>
      <c r="L203" s="23">
        <v>411.1</v>
      </c>
      <c r="M203" s="427" t="s">
        <v>420</v>
      </c>
      <c r="N203" s="248">
        <v>18</v>
      </c>
      <c r="O203" s="368">
        <v>18</v>
      </c>
      <c r="P203" s="371">
        <v>18</v>
      </c>
      <c r="Q203" s="248">
        <v>18</v>
      </c>
    </row>
    <row r="204" spans="1:17" ht="14.25" customHeight="1" x14ac:dyDescent="0.25">
      <c r="A204" s="194"/>
      <c r="B204" s="195"/>
      <c r="C204" s="196"/>
      <c r="D204" s="105"/>
      <c r="E204" s="1260"/>
      <c r="F204" s="268"/>
      <c r="G204" s="191"/>
      <c r="H204" s="140"/>
      <c r="I204" s="140"/>
      <c r="J204" s="291"/>
      <c r="K204" s="291"/>
      <c r="L204" s="115"/>
      <c r="M204" s="428"/>
      <c r="N204" s="246"/>
      <c r="O204" s="358"/>
      <c r="P204" s="361"/>
      <c r="Q204" s="246"/>
    </row>
    <row r="205" spans="1:17" ht="16.5" customHeight="1" x14ac:dyDescent="0.25">
      <c r="A205" s="194"/>
      <c r="B205" s="195"/>
      <c r="C205" s="196"/>
      <c r="D205" s="105"/>
      <c r="E205" s="1261" t="s">
        <v>172</v>
      </c>
      <c r="F205" s="268" t="s">
        <v>131</v>
      </c>
      <c r="G205" s="191"/>
      <c r="H205" s="16" t="s">
        <v>21</v>
      </c>
      <c r="I205" s="16">
        <v>70</v>
      </c>
      <c r="J205" s="124">
        <f>222.4-122.4</f>
        <v>100</v>
      </c>
      <c r="K205" s="124">
        <v>564.1</v>
      </c>
      <c r="L205" s="23">
        <v>577.4</v>
      </c>
      <c r="M205" s="1222" t="s">
        <v>421</v>
      </c>
      <c r="N205" s="86">
        <v>2</v>
      </c>
      <c r="O205" s="298">
        <v>22</v>
      </c>
      <c r="P205" s="381">
        <f>22+6</f>
        <v>28</v>
      </c>
      <c r="Q205" s="91">
        <v>28</v>
      </c>
    </row>
    <row r="206" spans="1:17" ht="23.15" customHeight="1" x14ac:dyDescent="0.25">
      <c r="A206" s="194"/>
      <c r="B206" s="195"/>
      <c r="C206" s="196"/>
      <c r="D206" s="106"/>
      <c r="E206" s="1262"/>
      <c r="G206" s="191"/>
      <c r="H206" s="77"/>
      <c r="I206" s="77"/>
      <c r="J206" s="109"/>
      <c r="K206" s="109"/>
      <c r="L206" s="28"/>
      <c r="M206" s="1223"/>
      <c r="N206" s="87"/>
      <c r="O206" s="301"/>
      <c r="P206" s="309"/>
      <c r="Q206" s="87"/>
    </row>
    <row r="207" spans="1:17" ht="16" customHeight="1" x14ac:dyDescent="0.25">
      <c r="A207" s="1230"/>
      <c r="B207" s="1216"/>
      <c r="C207" s="1231"/>
      <c r="D207" s="1359" t="s">
        <v>24</v>
      </c>
      <c r="E207" s="1192" t="s">
        <v>36</v>
      </c>
      <c r="F207" s="1263" t="s">
        <v>279</v>
      </c>
      <c r="G207" s="1369" t="s">
        <v>93</v>
      </c>
      <c r="H207" s="16" t="s">
        <v>21</v>
      </c>
      <c r="I207" s="16">
        <v>59.5</v>
      </c>
      <c r="J207" s="124">
        <v>59.5</v>
      </c>
      <c r="K207" s="124">
        <v>62</v>
      </c>
      <c r="L207" s="23">
        <v>65</v>
      </c>
      <c r="M207" s="1268" t="s">
        <v>44</v>
      </c>
      <c r="N207" s="1447">
        <v>7</v>
      </c>
      <c r="O207" s="1270">
        <v>7</v>
      </c>
      <c r="P207" s="1272">
        <v>7</v>
      </c>
      <c r="Q207" s="1274">
        <v>7</v>
      </c>
    </row>
    <row r="208" spans="1:17" ht="11.5" customHeight="1" x14ac:dyDescent="0.25">
      <c r="A208" s="1230"/>
      <c r="B208" s="1216"/>
      <c r="C208" s="1231"/>
      <c r="D208" s="1359"/>
      <c r="E208" s="1232"/>
      <c r="F208" s="1264"/>
      <c r="G208" s="1370"/>
      <c r="H208" s="77"/>
      <c r="I208" s="77"/>
      <c r="J208" s="109"/>
      <c r="K208" s="109"/>
      <c r="L208" s="28"/>
      <c r="M208" s="1269"/>
      <c r="N208" s="1448"/>
      <c r="O208" s="1271"/>
      <c r="P208" s="1273"/>
      <c r="Q208" s="1275"/>
    </row>
    <row r="209" spans="1:17" ht="15.65" customHeight="1" x14ac:dyDescent="0.25">
      <c r="A209" s="1230"/>
      <c r="B209" s="1276"/>
      <c r="C209" s="1231"/>
      <c r="D209" s="1358" t="s">
        <v>28</v>
      </c>
      <c r="E209" s="1277" t="s">
        <v>113</v>
      </c>
      <c r="F209" s="1263" t="s">
        <v>279</v>
      </c>
      <c r="G209" s="1369" t="s">
        <v>93</v>
      </c>
      <c r="H209" s="76" t="s">
        <v>21</v>
      </c>
      <c r="I209" s="76">
        <f>120-20</f>
        <v>100</v>
      </c>
      <c r="J209" s="113">
        <f>8+42+87</f>
        <v>137</v>
      </c>
      <c r="K209" s="111">
        <v>141</v>
      </c>
      <c r="L209" s="114">
        <v>150</v>
      </c>
      <c r="M209" s="421" t="s">
        <v>86</v>
      </c>
      <c r="N209" s="85">
        <v>3</v>
      </c>
      <c r="O209" s="591">
        <v>3</v>
      </c>
      <c r="P209" s="592">
        <v>3</v>
      </c>
      <c r="Q209" s="593">
        <v>3</v>
      </c>
    </row>
    <row r="210" spans="1:17" ht="15" customHeight="1" x14ac:dyDescent="0.25">
      <c r="A210" s="1230"/>
      <c r="B210" s="1276"/>
      <c r="C210" s="1231"/>
      <c r="D210" s="1359"/>
      <c r="E210" s="1239"/>
      <c r="F210" s="1264"/>
      <c r="G210" s="1370"/>
      <c r="H210" s="16"/>
      <c r="I210" s="16"/>
      <c r="J210" s="124"/>
      <c r="K210" s="162"/>
      <c r="L210" s="23"/>
      <c r="M210" s="423" t="s">
        <v>175</v>
      </c>
      <c r="N210" s="180">
        <v>1</v>
      </c>
      <c r="O210" s="594">
        <v>1</v>
      </c>
      <c r="P210" s="595">
        <v>1</v>
      </c>
      <c r="Q210" s="596">
        <v>1</v>
      </c>
    </row>
    <row r="211" spans="1:17" ht="25.5" customHeight="1" x14ac:dyDescent="0.25">
      <c r="A211" s="194"/>
      <c r="B211" s="195"/>
      <c r="C211" s="196"/>
      <c r="D211" s="30"/>
      <c r="E211" s="206"/>
      <c r="F211" s="1264"/>
      <c r="G211" s="191"/>
      <c r="H211" s="16"/>
      <c r="I211" s="16"/>
      <c r="J211" s="124"/>
      <c r="K211" s="124"/>
      <c r="L211" s="23"/>
      <c r="M211" s="424" t="s">
        <v>422</v>
      </c>
      <c r="N211" s="108">
        <v>1</v>
      </c>
      <c r="O211" s="585">
        <v>1</v>
      </c>
      <c r="P211" s="586">
        <v>1</v>
      </c>
      <c r="Q211" s="587">
        <v>1</v>
      </c>
    </row>
    <row r="212" spans="1:17" ht="15.65" customHeight="1" x14ac:dyDescent="0.25">
      <c r="A212" s="194"/>
      <c r="B212" s="195"/>
      <c r="C212" s="196"/>
      <c r="D212" s="30"/>
      <c r="E212" s="206"/>
      <c r="F212" s="1267"/>
      <c r="G212" s="191"/>
      <c r="H212" s="77"/>
      <c r="I212" s="77"/>
      <c r="J212" s="109"/>
      <c r="K212" s="109"/>
      <c r="L212" s="28"/>
      <c r="M212" s="425" t="s">
        <v>176</v>
      </c>
      <c r="N212" s="239">
        <v>1</v>
      </c>
      <c r="O212" s="597">
        <v>1</v>
      </c>
      <c r="P212" s="598">
        <v>1</v>
      </c>
      <c r="Q212" s="599">
        <v>1</v>
      </c>
    </row>
    <row r="213" spans="1:17" ht="17.5" customHeight="1" x14ac:dyDescent="0.25">
      <c r="A213" s="200"/>
      <c r="B213" s="195"/>
      <c r="C213" s="48"/>
      <c r="D213" s="197" t="s">
        <v>29</v>
      </c>
      <c r="E213" s="1192" t="s">
        <v>163</v>
      </c>
      <c r="F213" s="96"/>
      <c r="G213" s="1369" t="s">
        <v>93</v>
      </c>
      <c r="H213" s="16" t="s">
        <v>57</v>
      </c>
      <c r="I213" s="16">
        <v>34.9</v>
      </c>
      <c r="J213" s="124"/>
      <c r="K213" s="124"/>
      <c r="L213" s="23"/>
      <c r="M213" s="1213" t="s">
        <v>121</v>
      </c>
      <c r="N213" s="85">
        <v>100</v>
      </c>
      <c r="O213" s="300"/>
      <c r="P213" s="308"/>
      <c r="Q213" s="85"/>
    </row>
    <row r="214" spans="1:17" ht="12.65" customHeight="1" x14ac:dyDescent="0.25">
      <c r="A214" s="200"/>
      <c r="B214" s="195"/>
      <c r="C214" s="48"/>
      <c r="D214" s="106"/>
      <c r="E214" s="1232"/>
      <c r="F214" s="96"/>
      <c r="G214" s="1371"/>
      <c r="H214" s="676"/>
      <c r="I214" s="168"/>
      <c r="J214" s="684"/>
      <c r="K214" s="684"/>
      <c r="L214" s="224"/>
      <c r="M214" s="1223"/>
      <c r="N214" s="87"/>
      <c r="O214" s="301"/>
      <c r="P214" s="309"/>
      <c r="Q214" s="87"/>
    </row>
    <row r="215" spans="1:17" ht="16.5" customHeight="1" x14ac:dyDescent="0.25">
      <c r="A215" s="217"/>
      <c r="B215" s="79"/>
      <c r="C215" s="215"/>
      <c r="D215" s="198" t="s">
        <v>30</v>
      </c>
      <c r="E215" s="1192" t="s">
        <v>73</v>
      </c>
      <c r="F215" s="211" t="s">
        <v>98</v>
      </c>
      <c r="G215" s="1369" t="s">
        <v>165</v>
      </c>
      <c r="H215" s="435" t="s">
        <v>55</v>
      </c>
      <c r="I215" s="435">
        <v>15.5</v>
      </c>
      <c r="J215" s="113">
        <v>24.5</v>
      </c>
      <c r="K215" s="113">
        <v>24.5</v>
      </c>
      <c r="L215" s="583">
        <v>24.5</v>
      </c>
      <c r="M215" s="531" t="s">
        <v>423</v>
      </c>
      <c r="N215" s="545">
        <v>4</v>
      </c>
      <c r="O215" s="300">
        <v>5</v>
      </c>
      <c r="P215" s="308">
        <v>4</v>
      </c>
      <c r="Q215" s="235">
        <v>4</v>
      </c>
    </row>
    <row r="216" spans="1:17" ht="16.5" customHeight="1" x14ac:dyDescent="0.25">
      <c r="A216" s="200"/>
      <c r="B216" s="195"/>
      <c r="C216" s="48"/>
      <c r="D216" s="105"/>
      <c r="E216" s="1193"/>
      <c r="F216" s="693" t="s">
        <v>279</v>
      </c>
      <c r="G216" s="1436"/>
      <c r="H216" s="16" t="s">
        <v>57</v>
      </c>
      <c r="I216" s="16">
        <v>8.1999999999999993</v>
      </c>
      <c r="J216" s="350">
        <v>4.3</v>
      </c>
      <c r="K216" s="121"/>
      <c r="L216" s="15"/>
      <c r="M216" s="404"/>
      <c r="N216" s="503"/>
      <c r="O216" s="504"/>
      <c r="P216" s="555"/>
      <c r="Q216" s="603"/>
    </row>
    <row r="217" spans="1:17" ht="28" customHeight="1" x14ac:dyDescent="0.25">
      <c r="A217" s="539"/>
      <c r="B217" s="537"/>
      <c r="C217" s="48"/>
      <c r="D217" s="105"/>
      <c r="E217" s="734"/>
      <c r="F217" s="693"/>
      <c r="G217" s="540" t="s">
        <v>93</v>
      </c>
      <c r="H217" s="222" t="s">
        <v>55</v>
      </c>
      <c r="I217" s="222"/>
      <c r="J217" s="632">
        <v>50.4</v>
      </c>
      <c r="K217" s="355">
        <v>30</v>
      </c>
      <c r="L217" s="634">
        <v>30</v>
      </c>
      <c r="M217" s="418" t="s">
        <v>268</v>
      </c>
      <c r="N217" s="601"/>
      <c r="O217" s="499">
        <v>7</v>
      </c>
      <c r="P217" s="373">
        <v>4</v>
      </c>
      <c r="Q217" s="602">
        <v>4</v>
      </c>
    </row>
    <row r="218" spans="1:17" ht="18.649999999999999" customHeight="1" x14ac:dyDescent="0.25">
      <c r="A218" s="217"/>
      <c r="B218" s="79"/>
      <c r="C218" s="134"/>
      <c r="D218" s="197" t="s">
        <v>31</v>
      </c>
      <c r="E218" s="1186" t="s">
        <v>105</v>
      </c>
      <c r="F218" s="211" t="s">
        <v>279</v>
      </c>
      <c r="G218" s="1369" t="s">
        <v>142</v>
      </c>
      <c r="H218" s="76" t="s">
        <v>57</v>
      </c>
      <c r="I218" s="435">
        <v>5.3</v>
      </c>
      <c r="J218" s="124"/>
      <c r="K218" s="1"/>
      <c r="L218" s="583"/>
      <c r="M218" s="421" t="s">
        <v>106</v>
      </c>
      <c r="N218" s="630">
        <v>1</v>
      </c>
      <c r="O218" s="721"/>
      <c r="P218" s="699"/>
      <c r="Q218" s="700"/>
    </row>
    <row r="219" spans="1:17" ht="18.649999999999999" customHeight="1" x14ac:dyDescent="0.25">
      <c r="A219" s="44"/>
      <c r="B219" s="79"/>
      <c r="C219" s="546"/>
      <c r="D219" s="692"/>
      <c r="E219" s="1187"/>
      <c r="F219" s="693" t="s">
        <v>148</v>
      </c>
      <c r="G219" s="1370"/>
      <c r="H219" s="18" t="s">
        <v>21</v>
      </c>
      <c r="I219" s="140"/>
      <c r="J219" s="366"/>
      <c r="K219" s="295">
        <v>360</v>
      </c>
      <c r="L219" s="23"/>
      <c r="M219" s="454" t="s">
        <v>39</v>
      </c>
      <c r="N219" s="722">
        <v>1</v>
      </c>
      <c r="O219" s="600"/>
      <c r="P219" s="486"/>
      <c r="Q219" s="548"/>
    </row>
    <row r="220" spans="1:17" ht="16" customHeight="1" x14ac:dyDescent="0.25">
      <c r="A220" s="44"/>
      <c r="B220" s="79"/>
      <c r="C220" s="546"/>
      <c r="D220" s="520"/>
      <c r="E220" s="1374"/>
      <c r="G220" s="1370"/>
      <c r="H220" s="167" t="s">
        <v>48</v>
      </c>
      <c r="I220" s="167">
        <v>3.7</v>
      </c>
      <c r="J220" s="366"/>
      <c r="K220" s="121"/>
      <c r="L220" s="588"/>
      <c r="M220" s="701"/>
      <c r="N220" s="723"/>
      <c r="O220" s="724"/>
      <c r="Q220" s="603"/>
    </row>
    <row r="221" spans="1:17" ht="28.75" customHeight="1" x14ac:dyDescent="0.25">
      <c r="A221" s="44"/>
      <c r="B221" s="79"/>
      <c r="C221" s="66"/>
      <c r="D221" s="106"/>
      <c r="E221" s="62" t="s">
        <v>186</v>
      </c>
      <c r="F221" s="714"/>
      <c r="G221" s="1446"/>
      <c r="H221" s="222" t="s">
        <v>55</v>
      </c>
      <c r="I221" s="77">
        <v>6.2</v>
      </c>
      <c r="J221" s="109"/>
      <c r="K221" s="355"/>
      <c r="L221" s="634"/>
      <c r="M221" s="418" t="s">
        <v>308</v>
      </c>
      <c r="N221" s="643"/>
      <c r="O221" s="642"/>
      <c r="P221" s="635">
        <v>100</v>
      </c>
      <c r="Q221" s="500"/>
    </row>
    <row r="222" spans="1:17" ht="25" customHeight="1" x14ac:dyDescent="0.25">
      <c r="A222" s="194"/>
      <c r="B222" s="195"/>
      <c r="C222" s="196"/>
      <c r="D222" s="81" t="s">
        <v>90</v>
      </c>
      <c r="E222" s="1187" t="s">
        <v>136</v>
      </c>
      <c r="F222" s="153" t="s">
        <v>455</v>
      </c>
      <c r="G222" s="1450" t="s">
        <v>93</v>
      </c>
      <c r="H222" s="16" t="s">
        <v>21</v>
      </c>
      <c r="I222" s="16"/>
      <c r="J222" s="124"/>
      <c r="K222" s="124"/>
      <c r="L222" s="23"/>
      <c r="M222" s="1213" t="s">
        <v>177</v>
      </c>
      <c r="N222" s="281">
        <v>4</v>
      </c>
      <c r="O222" s="365"/>
      <c r="P222" s="103"/>
      <c r="Q222" s="281"/>
    </row>
    <row r="223" spans="1:17" ht="14.15" customHeight="1" x14ac:dyDescent="0.25">
      <c r="A223" s="194"/>
      <c r="B223" s="195"/>
      <c r="C223" s="196"/>
      <c r="D223" s="104"/>
      <c r="E223" s="1221"/>
      <c r="F223" s="213" t="s">
        <v>118</v>
      </c>
      <c r="G223" s="1371"/>
      <c r="H223" s="77"/>
      <c r="I223" s="77"/>
      <c r="J223" s="109"/>
      <c r="K223" s="109"/>
      <c r="L223" s="28"/>
      <c r="M223" s="1223"/>
      <c r="N223" s="224"/>
      <c r="O223" s="228"/>
      <c r="P223" s="141"/>
      <c r="Q223" s="224"/>
    </row>
    <row r="224" spans="1:17" ht="15" customHeight="1" x14ac:dyDescent="0.25">
      <c r="A224" s="194"/>
      <c r="B224" s="195"/>
      <c r="C224" s="50"/>
      <c r="D224" s="1433" t="s">
        <v>133</v>
      </c>
      <c r="E224" s="1186" t="s">
        <v>193</v>
      </c>
      <c r="F224" s="752" t="s">
        <v>223</v>
      </c>
      <c r="G224" s="1369" t="s">
        <v>93</v>
      </c>
      <c r="H224" s="16" t="s">
        <v>55</v>
      </c>
      <c r="I224" s="76"/>
      <c r="J224" s="455"/>
      <c r="K224" s="137">
        <v>501.3</v>
      </c>
      <c r="L224" s="583">
        <v>500</v>
      </c>
      <c r="M224" s="419" t="s">
        <v>39</v>
      </c>
      <c r="N224" s="249"/>
      <c r="O224" s="365">
        <v>1</v>
      </c>
      <c r="P224" s="372"/>
      <c r="Q224" s="502"/>
    </row>
    <row r="225" spans="1:20" ht="15" customHeight="1" x14ac:dyDescent="0.25">
      <c r="A225" s="694"/>
      <c r="B225" s="697"/>
      <c r="C225" s="50"/>
      <c r="D225" s="1434"/>
      <c r="E225" s="1187"/>
      <c r="F225" s="752" t="s">
        <v>279</v>
      </c>
      <c r="G225" s="1370"/>
      <c r="H225" s="18" t="s">
        <v>57</v>
      </c>
      <c r="I225" s="18"/>
      <c r="J225" s="294">
        <v>57.7</v>
      </c>
      <c r="K225" s="124"/>
      <c r="L225" s="23"/>
      <c r="M225" s="454" t="s">
        <v>308</v>
      </c>
      <c r="N225" s="710"/>
      <c r="O225" s="600"/>
      <c r="P225" s="710">
        <v>50</v>
      </c>
      <c r="Q225" s="712">
        <v>100</v>
      </c>
    </row>
    <row r="226" spans="1:20" ht="15" customHeight="1" x14ac:dyDescent="0.25">
      <c r="A226" s="694"/>
      <c r="B226" s="697"/>
      <c r="C226" s="50"/>
      <c r="D226" s="1434"/>
      <c r="E226" s="1187"/>
      <c r="F226" s="752" t="s">
        <v>40</v>
      </c>
      <c r="G226" s="1370"/>
      <c r="H226" s="16"/>
      <c r="I226" s="16"/>
      <c r="J226" s="294"/>
      <c r="K226" s="124"/>
      <c r="L226" s="23"/>
      <c r="M226" s="404"/>
      <c r="N226" s="711"/>
      <c r="O226" s="504"/>
      <c r="P226" s="507"/>
      <c r="Q226" s="709"/>
    </row>
    <row r="227" spans="1:20" ht="15" customHeight="1" x14ac:dyDescent="0.25">
      <c r="A227" s="194"/>
      <c r="B227" s="195"/>
      <c r="C227" s="50"/>
      <c r="D227" s="1435"/>
      <c r="E227" s="1221"/>
      <c r="F227" s="752" t="s">
        <v>148</v>
      </c>
      <c r="G227" s="1371"/>
      <c r="H227" s="168"/>
      <c r="I227" s="168"/>
      <c r="J227" s="1"/>
      <c r="K227" s="296"/>
      <c r="L227" s="28"/>
      <c r="M227" s="168"/>
      <c r="N227" s="168"/>
      <c r="O227" s="1"/>
      <c r="P227" s="604"/>
      <c r="Q227" s="547"/>
    </row>
    <row r="228" spans="1:20" ht="15" customHeight="1" x14ac:dyDescent="0.25">
      <c r="A228" s="274"/>
      <c r="B228" s="275"/>
      <c r="C228" s="50"/>
      <c r="D228" s="792" t="s">
        <v>89</v>
      </c>
      <c r="E228" s="1282" t="s">
        <v>306</v>
      </c>
      <c r="F228" s="808" t="s">
        <v>223</v>
      </c>
      <c r="G228" s="1369" t="s">
        <v>331</v>
      </c>
      <c r="H228" s="285" t="s">
        <v>21</v>
      </c>
      <c r="I228" s="435"/>
      <c r="J228" s="311">
        <f>2250-1687.5</f>
        <v>562.5</v>
      </c>
      <c r="K228" s="162">
        <v>1687.5</v>
      </c>
      <c r="L228" s="583"/>
      <c r="M228" s="788" t="s">
        <v>321</v>
      </c>
      <c r="N228" s="506"/>
      <c r="O228" s="365">
        <v>100</v>
      </c>
      <c r="P228" s="372">
        <v>100</v>
      </c>
      <c r="Q228" s="505"/>
    </row>
    <row r="229" spans="1:20" ht="15" customHeight="1" x14ac:dyDescent="0.25">
      <c r="A229" s="274"/>
      <c r="B229" s="275"/>
      <c r="C229" s="50"/>
      <c r="D229" s="809"/>
      <c r="E229" s="1283"/>
      <c r="F229" s="798"/>
      <c r="G229" s="1370"/>
      <c r="H229" s="18" t="s">
        <v>37</v>
      </c>
      <c r="I229" s="16"/>
      <c r="J229" s="350"/>
      <c r="K229" s="121"/>
      <c r="L229" s="23"/>
      <c r="M229" s="404"/>
      <c r="N229" s="503"/>
      <c r="O229" s="504"/>
      <c r="P229" s="507"/>
      <c r="Q229" s="505"/>
    </row>
    <row r="230" spans="1:20" ht="15" customHeight="1" x14ac:dyDescent="0.25">
      <c r="A230" s="735"/>
      <c r="B230" s="738"/>
      <c r="C230" s="50"/>
      <c r="D230" s="809"/>
      <c r="E230" s="1283"/>
      <c r="F230" s="798" t="s">
        <v>277</v>
      </c>
      <c r="G230" s="733"/>
      <c r="H230" s="285"/>
      <c r="I230" s="16"/>
      <c r="J230" s="23"/>
      <c r="K230" s="162"/>
      <c r="L230" s="23"/>
      <c r="M230" s="404"/>
      <c r="N230" s="503"/>
      <c r="O230" s="504"/>
      <c r="P230" s="507"/>
      <c r="Q230" s="505"/>
    </row>
    <row r="231" spans="1:20" ht="15" customHeight="1" x14ac:dyDescent="0.25">
      <c r="A231" s="619"/>
      <c r="B231" s="625"/>
      <c r="C231" s="50"/>
      <c r="D231" s="809"/>
      <c r="E231" s="1283"/>
      <c r="F231" s="798" t="s">
        <v>148</v>
      </c>
      <c r="G231" s="620"/>
      <c r="H231" s="285"/>
      <c r="I231" s="16"/>
      <c r="J231" s="23"/>
      <c r="K231" s="162"/>
      <c r="L231" s="23"/>
      <c r="M231" s="404"/>
      <c r="N231" s="503"/>
      <c r="O231" s="504"/>
      <c r="P231" s="507"/>
      <c r="Q231" s="505"/>
    </row>
    <row r="232" spans="1:20" ht="15" customHeight="1" x14ac:dyDescent="0.25">
      <c r="A232" s="274"/>
      <c r="B232" s="275"/>
      <c r="C232" s="50"/>
      <c r="D232" s="794"/>
      <c r="E232" s="1373"/>
      <c r="F232" s="799" t="s">
        <v>224</v>
      </c>
      <c r="G232" s="284"/>
      <c r="H232" s="77"/>
      <c r="I232" s="77"/>
      <c r="J232" s="23"/>
      <c r="K232" s="162"/>
      <c r="L232" s="23"/>
      <c r="M232" s="404"/>
      <c r="N232" s="503"/>
      <c r="O232" s="666"/>
      <c r="P232" s="373"/>
      <c r="Q232" s="501"/>
    </row>
    <row r="233" spans="1:20" ht="15" customHeight="1" x14ac:dyDescent="0.25">
      <c r="A233" s="619"/>
      <c r="B233" s="625"/>
      <c r="C233" s="50"/>
      <c r="D233" s="792" t="s">
        <v>137</v>
      </c>
      <c r="E233" s="1186" t="s">
        <v>458</v>
      </c>
      <c r="F233" s="808" t="s">
        <v>223</v>
      </c>
      <c r="G233" s="1369" t="s">
        <v>143</v>
      </c>
      <c r="H233" s="285" t="s">
        <v>21</v>
      </c>
      <c r="I233" s="16"/>
      <c r="J233" s="311">
        <v>92.7</v>
      </c>
      <c r="K233" s="111">
        <v>525</v>
      </c>
      <c r="L233" s="312"/>
      <c r="M233" s="419" t="s">
        <v>269</v>
      </c>
      <c r="N233" s="665"/>
      <c r="O233" s="504"/>
      <c r="P233" s="507">
        <v>6</v>
      </c>
      <c r="Q233" s="505"/>
    </row>
    <row r="234" spans="1:20" ht="14.15" customHeight="1" x14ac:dyDescent="0.25">
      <c r="A234" s="619"/>
      <c r="B234" s="625"/>
      <c r="C234" s="50"/>
      <c r="D234" s="809"/>
      <c r="E234" s="1187"/>
      <c r="F234" s="798" t="s">
        <v>148</v>
      </c>
      <c r="G234" s="1370"/>
      <c r="H234" s="18" t="s">
        <v>37</v>
      </c>
      <c r="I234" s="18"/>
      <c r="J234" s="350">
        <v>525</v>
      </c>
      <c r="K234" s="121">
        <v>2975</v>
      </c>
      <c r="L234" s="588"/>
      <c r="M234" s="404"/>
      <c r="N234" s="503"/>
      <c r="O234" s="504"/>
      <c r="P234" s="507"/>
      <c r="Q234" s="505"/>
      <c r="R234" s="13"/>
      <c r="T234" s="13"/>
    </row>
    <row r="235" spans="1:20" ht="12.65" customHeight="1" x14ac:dyDescent="0.25">
      <c r="A235" s="619"/>
      <c r="B235" s="625"/>
      <c r="C235" s="50"/>
      <c r="D235" s="809"/>
      <c r="E235" s="1187"/>
      <c r="F235" s="959" t="s">
        <v>40</v>
      </c>
      <c r="G235" s="620"/>
      <c r="H235" s="285"/>
      <c r="I235" s="16"/>
      <c r="J235" s="23"/>
      <c r="K235" s="162"/>
      <c r="L235" s="23"/>
      <c r="M235" s="404"/>
      <c r="N235" s="503"/>
      <c r="O235" s="504"/>
      <c r="P235" s="507"/>
      <c r="Q235" s="505"/>
    </row>
    <row r="236" spans="1:20" ht="11.5" customHeight="1" x14ac:dyDescent="0.25">
      <c r="A236" s="619"/>
      <c r="B236" s="625"/>
      <c r="C236" s="50"/>
      <c r="D236" s="809"/>
      <c r="E236" s="1187"/>
      <c r="F236" s="798" t="s">
        <v>277</v>
      </c>
      <c r="G236" s="620"/>
      <c r="H236" s="285"/>
      <c r="I236" s="16"/>
      <c r="J236" s="23"/>
      <c r="K236" s="162"/>
      <c r="L236" s="23"/>
      <c r="M236" s="404"/>
      <c r="N236" s="503"/>
      <c r="O236" s="504"/>
      <c r="P236" s="507"/>
      <c r="Q236" s="505"/>
    </row>
    <row r="237" spans="1:20" ht="15" customHeight="1" x14ac:dyDescent="0.25">
      <c r="A237" s="619"/>
      <c r="B237" s="625"/>
      <c r="C237" s="50"/>
      <c r="D237" s="812"/>
      <c r="E237" s="1187"/>
      <c r="F237" s="815" t="s">
        <v>224</v>
      </c>
      <c r="G237" s="816"/>
      <c r="H237" s="285"/>
      <c r="I237" s="16"/>
      <c r="J237" s="23"/>
      <c r="K237" s="162"/>
      <c r="L237" s="23"/>
      <c r="M237" s="404"/>
      <c r="N237" s="503"/>
      <c r="O237" s="504"/>
      <c r="P237" s="507"/>
      <c r="Q237" s="505"/>
    </row>
    <row r="238" spans="1:20" ht="15" customHeight="1" thickBot="1" x14ac:dyDescent="0.3">
      <c r="A238" s="63"/>
      <c r="B238" s="35"/>
      <c r="C238" s="45"/>
      <c r="D238" s="820"/>
      <c r="E238" s="819"/>
      <c r="F238" s="817"/>
      <c r="G238" s="818"/>
      <c r="H238" s="138" t="s">
        <v>4</v>
      </c>
      <c r="I238" s="138">
        <f>SUM(I191:I237)</f>
        <v>7697</v>
      </c>
      <c r="J238" s="463">
        <f>SUM(J191:J237)</f>
        <v>9634.5</v>
      </c>
      <c r="K238" s="123">
        <f>SUM(K191:K237)</f>
        <v>13388.3</v>
      </c>
      <c r="L238" s="462">
        <f>SUM(L191:L237)</f>
        <v>8132.9</v>
      </c>
      <c r="M238" s="821"/>
      <c r="N238" s="822"/>
      <c r="O238" s="823"/>
      <c r="P238" s="824"/>
      <c r="Q238" s="822"/>
    </row>
    <row r="239" spans="1:20" ht="15" customHeight="1" thickBot="1" x14ac:dyDescent="0.3">
      <c r="A239" s="21" t="s">
        <v>3</v>
      </c>
      <c r="B239" s="37" t="s">
        <v>5</v>
      </c>
      <c r="C239" s="1245" t="s">
        <v>6</v>
      </c>
      <c r="D239" s="1246"/>
      <c r="E239" s="1246"/>
      <c r="F239" s="1246"/>
      <c r="G239" s="1246"/>
      <c r="H239" s="1247"/>
      <c r="I239" s="436">
        <f t="shared" ref="I239:L239" si="1">I238</f>
        <v>7697</v>
      </c>
      <c r="J239" s="127">
        <f t="shared" si="1"/>
        <v>9634.5</v>
      </c>
      <c r="K239" s="37">
        <f t="shared" si="1"/>
        <v>13388.3</v>
      </c>
      <c r="L239" s="457">
        <f t="shared" si="1"/>
        <v>8132.9</v>
      </c>
      <c r="M239" s="1248"/>
      <c r="N239" s="1249"/>
      <c r="O239" s="1249"/>
      <c r="P239" s="1249"/>
      <c r="Q239" s="1250"/>
    </row>
    <row r="240" spans="1:20" ht="15" customHeight="1" thickBot="1" x14ac:dyDescent="0.3">
      <c r="A240" s="19" t="s">
        <v>3</v>
      </c>
      <c r="B240" s="37" t="s">
        <v>24</v>
      </c>
      <c r="C240" s="1278" t="s">
        <v>70</v>
      </c>
      <c r="D240" s="1279"/>
      <c r="E240" s="1279"/>
      <c r="F240" s="1279"/>
      <c r="G240" s="1279"/>
      <c r="H240" s="1279"/>
      <c r="I240" s="1279"/>
      <c r="J240" s="1279"/>
      <c r="K240" s="1279"/>
      <c r="L240" s="1279"/>
      <c r="M240" s="1279"/>
      <c r="N240" s="1279"/>
      <c r="O240" s="1279"/>
      <c r="P240" s="1279"/>
      <c r="Q240" s="1280"/>
    </row>
    <row r="241" spans="1:18" ht="27" customHeight="1" x14ac:dyDescent="0.25">
      <c r="A241" s="75" t="s">
        <v>3</v>
      </c>
      <c r="B241" s="36" t="s">
        <v>24</v>
      </c>
      <c r="C241" s="46" t="s">
        <v>3</v>
      </c>
      <c r="D241" s="78"/>
      <c r="E241" s="31" t="s">
        <v>68</v>
      </c>
      <c r="F241" s="736" t="s">
        <v>98</v>
      </c>
      <c r="G241" s="32"/>
      <c r="H241" s="22"/>
      <c r="I241" s="22"/>
      <c r="J241" s="377"/>
      <c r="K241" s="128"/>
      <c r="L241" s="395"/>
      <c r="M241" s="416"/>
      <c r="N241" s="179"/>
      <c r="O241" s="377"/>
      <c r="P241" s="380"/>
      <c r="Q241" s="179"/>
    </row>
    <row r="242" spans="1:18" ht="25.5" customHeight="1" x14ac:dyDescent="0.25">
      <c r="A242" s="194"/>
      <c r="B242" s="195"/>
      <c r="C242" s="196"/>
      <c r="D242" s="197" t="s">
        <v>3</v>
      </c>
      <c r="E242" s="1186" t="s">
        <v>66</v>
      </c>
      <c r="F242" s="211" t="s">
        <v>148</v>
      </c>
      <c r="G242" s="1410" t="s">
        <v>93</v>
      </c>
      <c r="H242" s="16" t="s">
        <v>55</v>
      </c>
      <c r="I242" s="18">
        <f>349.1-26.5-44.8</f>
        <v>277.8</v>
      </c>
      <c r="J242" s="455">
        <v>39.299999999999997</v>
      </c>
      <c r="K242" s="137"/>
      <c r="L242" s="183"/>
      <c r="M242" s="404" t="s">
        <v>71</v>
      </c>
      <c r="N242" s="182">
        <v>15.3</v>
      </c>
      <c r="O242" s="137">
        <v>16.100000000000001</v>
      </c>
      <c r="P242" s="137">
        <v>16.8</v>
      </c>
      <c r="Q242" s="182">
        <v>17.600000000000001</v>
      </c>
    </row>
    <row r="243" spans="1:18" ht="15.65" customHeight="1" x14ac:dyDescent="0.25">
      <c r="A243" s="528"/>
      <c r="B243" s="537"/>
      <c r="C243" s="538"/>
      <c r="D243" s="535"/>
      <c r="E243" s="1187"/>
      <c r="F243" s="693" t="s">
        <v>279</v>
      </c>
      <c r="G243" s="1370"/>
      <c r="H243" s="167" t="s">
        <v>21</v>
      </c>
      <c r="I243" s="167">
        <f>207.6+46.3</f>
        <v>253.9</v>
      </c>
      <c r="J243" s="366">
        <v>15.7</v>
      </c>
      <c r="K243" s="162">
        <v>55</v>
      </c>
      <c r="L243" s="588">
        <v>55</v>
      </c>
      <c r="M243" s="454" t="s">
        <v>112</v>
      </c>
      <c r="N243" s="18">
        <v>20</v>
      </c>
      <c r="O243" s="162"/>
      <c r="P243" s="121"/>
      <c r="Q243" s="588"/>
    </row>
    <row r="244" spans="1:18" ht="15.65" customHeight="1" x14ac:dyDescent="0.25">
      <c r="A244" s="528"/>
      <c r="B244" s="537"/>
      <c r="C244" s="538"/>
      <c r="D244" s="535"/>
      <c r="E244" s="1187"/>
      <c r="F244" s="693"/>
      <c r="G244" s="1370"/>
      <c r="H244" s="16" t="s">
        <v>64</v>
      </c>
      <c r="I244" s="167">
        <v>218.4</v>
      </c>
      <c r="J244" s="336">
        <v>100</v>
      </c>
      <c r="K244" s="295">
        <v>100</v>
      </c>
      <c r="L244" s="589">
        <v>100</v>
      </c>
      <c r="M244" s="475"/>
      <c r="N244" s="112"/>
      <c r="O244" s="162"/>
      <c r="P244" s="163"/>
      <c r="Q244" s="112"/>
    </row>
    <row r="245" spans="1:18" ht="14.5" customHeight="1" x14ac:dyDescent="0.25">
      <c r="A245" s="194"/>
      <c r="B245" s="195"/>
      <c r="C245" s="196"/>
      <c r="D245" s="198"/>
      <c r="E245" s="1187"/>
      <c r="F245" s="151"/>
      <c r="G245" s="1370"/>
      <c r="H245" s="167" t="s">
        <v>21</v>
      </c>
      <c r="I245" s="18"/>
      <c r="J245" s="336">
        <v>19.8</v>
      </c>
      <c r="K245" s="163">
        <v>22</v>
      </c>
      <c r="L245" s="112">
        <v>22</v>
      </c>
      <c r="M245" s="475" t="s">
        <v>285</v>
      </c>
      <c r="N245" s="489"/>
      <c r="O245" s="306">
        <v>2</v>
      </c>
      <c r="P245" s="306">
        <v>2</v>
      </c>
      <c r="Q245" s="180">
        <v>2</v>
      </c>
    </row>
    <row r="246" spans="1:18" ht="14.5" customHeight="1" x14ac:dyDescent="0.25">
      <c r="A246" s="528"/>
      <c r="B246" s="537"/>
      <c r="C246" s="538"/>
      <c r="D246" s="535"/>
      <c r="E246" s="527"/>
      <c r="F246" s="151"/>
      <c r="G246" s="1370"/>
      <c r="H246" s="167" t="s">
        <v>21</v>
      </c>
      <c r="I246" s="18"/>
      <c r="J246" s="366">
        <v>397.5</v>
      </c>
      <c r="K246" s="295">
        <v>437.3</v>
      </c>
      <c r="L246" s="182">
        <v>437.3</v>
      </c>
      <c r="M246" s="475"/>
      <c r="N246" s="86"/>
      <c r="O246" s="306"/>
      <c r="P246" s="306"/>
      <c r="Q246" s="86"/>
      <c r="R246" s="13"/>
    </row>
    <row r="247" spans="1:18" ht="16.5" customHeight="1" x14ac:dyDescent="0.25">
      <c r="A247" s="194"/>
      <c r="B247" s="195"/>
      <c r="C247" s="196"/>
      <c r="D247" s="198"/>
      <c r="E247" s="192"/>
      <c r="F247" s="151"/>
      <c r="G247" s="1370"/>
      <c r="H247" s="167" t="s">
        <v>21</v>
      </c>
      <c r="I247" s="668"/>
      <c r="J247" s="366">
        <v>70</v>
      </c>
      <c r="K247" s="295"/>
      <c r="L247" s="182"/>
      <c r="M247" s="417" t="s">
        <v>32</v>
      </c>
      <c r="N247" s="489">
        <v>89</v>
      </c>
      <c r="O247" s="595">
        <v>95</v>
      </c>
      <c r="P247" s="306">
        <v>97</v>
      </c>
      <c r="Q247" s="237">
        <v>102</v>
      </c>
    </row>
    <row r="248" spans="1:18" ht="27.65" customHeight="1" x14ac:dyDescent="0.25">
      <c r="A248" s="194"/>
      <c r="B248" s="195"/>
      <c r="C248" s="196"/>
      <c r="D248" s="198"/>
      <c r="E248" s="192"/>
      <c r="F248" s="151"/>
      <c r="G248" s="1418"/>
      <c r="H248" s="638" t="s">
        <v>21</v>
      </c>
      <c r="I248" s="167"/>
      <c r="J248" s="790">
        <f>128.4-86.2+0.6</f>
        <v>42.8</v>
      </c>
      <c r="K248" s="680">
        <v>42.8</v>
      </c>
      <c r="L248" s="685"/>
      <c r="M248" s="417" t="s">
        <v>166</v>
      </c>
      <c r="N248" s="180">
        <v>7</v>
      </c>
      <c r="O248" s="306">
        <v>4</v>
      </c>
      <c r="P248" s="306">
        <v>4</v>
      </c>
      <c r="Q248" s="180"/>
    </row>
    <row r="249" spans="1:18" ht="32.15" customHeight="1" x14ac:dyDescent="0.25">
      <c r="A249" s="194"/>
      <c r="B249" s="195"/>
      <c r="C249" s="196"/>
      <c r="D249" s="198"/>
      <c r="E249" s="192"/>
      <c r="F249" s="96"/>
      <c r="G249" s="216"/>
      <c r="H249" s="167" t="s">
        <v>64</v>
      </c>
      <c r="I249" s="167"/>
      <c r="J249" s="366">
        <v>9</v>
      </c>
      <c r="K249" s="295"/>
      <c r="L249" s="182"/>
      <c r="M249" s="417" t="s">
        <v>424</v>
      </c>
      <c r="N249" s="108">
        <v>1</v>
      </c>
      <c r="O249" s="332">
        <v>1</v>
      </c>
      <c r="P249" s="338"/>
      <c r="Q249" s="108"/>
    </row>
    <row r="250" spans="1:18" ht="30.65" customHeight="1" x14ac:dyDescent="0.25">
      <c r="A250" s="528"/>
      <c r="B250" s="537"/>
      <c r="C250" s="538"/>
      <c r="D250" s="535"/>
      <c r="E250" s="532"/>
      <c r="F250" s="96"/>
      <c r="G250" s="536"/>
      <c r="H250" s="140" t="s">
        <v>64</v>
      </c>
      <c r="I250" s="16"/>
      <c r="J250" s="291"/>
      <c r="K250" s="163">
        <v>200</v>
      </c>
      <c r="L250" s="115"/>
      <c r="M250" s="417" t="s">
        <v>425</v>
      </c>
      <c r="N250" s="108"/>
      <c r="O250" s="585"/>
      <c r="P250" s="586">
        <v>100</v>
      </c>
      <c r="Q250" s="108"/>
    </row>
    <row r="251" spans="1:18" ht="17.149999999999999" customHeight="1" x14ac:dyDescent="0.25">
      <c r="A251" s="528"/>
      <c r="B251" s="537"/>
      <c r="C251" s="538"/>
      <c r="D251" s="535"/>
      <c r="E251" s="532"/>
      <c r="F251" s="96"/>
      <c r="G251" s="536"/>
      <c r="H251" s="167" t="s">
        <v>64</v>
      </c>
      <c r="I251" s="167"/>
      <c r="J251" s="366">
        <v>75</v>
      </c>
      <c r="K251" s="295">
        <v>70</v>
      </c>
      <c r="L251" s="23">
        <v>70</v>
      </c>
      <c r="M251" s="404" t="s">
        <v>39</v>
      </c>
      <c r="N251" s="108"/>
      <c r="O251" s="585">
        <v>8</v>
      </c>
      <c r="P251" s="586">
        <v>8</v>
      </c>
      <c r="Q251" s="587">
        <v>8</v>
      </c>
    </row>
    <row r="252" spans="1:18" ht="18" customHeight="1" x14ac:dyDescent="0.25">
      <c r="A252" s="194"/>
      <c r="B252" s="195"/>
      <c r="C252" s="196"/>
      <c r="D252" s="202"/>
      <c r="E252" s="210"/>
      <c r="F252" s="753"/>
      <c r="G252" s="101"/>
      <c r="H252" s="77" t="s">
        <v>64</v>
      </c>
      <c r="I252" s="77"/>
      <c r="J252" s="109">
        <v>25.7</v>
      </c>
      <c r="K252" s="296">
        <v>434</v>
      </c>
      <c r="L252" s="634">
        <v>400</v>
      </c>
      <c r="M252" s="418" t="s">
        <v>122</v>
      </c>
      <c r="N252" s="599">
        <v>6</v>
      </c>
      <c r="O252" s="597">
        <v>1</v>
      </c>
      <c r="P252" s="598">
        <v>8</v>
      </c>
      <c r="Q252" s="239">
        <v>8</v>
      </c>
    </row>
    <row r="253" spans="1:18" ht="15" customHeight="1" x14ac:dyDescent="0.25">
      <c r="A253" s="194"/>
      <c r="B253" s="195"/>
      <c r="C253" s="196"/>
      <c r="D253" s="198" t="s">
        <v>5</v>
      </c>
      <c r="E253" s="193" t="s">
        <v>51</v>
      </c>
      <c r="F253" s="693" t="s">
        <v>279</v>
      </c>
      <c r="G253" s="1419" t="s">
        <v>168</v>
      </c>
      <c r="H253" s="16" t="s">
        <v>64</v>
      </c>
      <c r="I253" s="16">
        <v>100</v>
      </c>
      <c r="J253" s="455">
        <v>100</v>
      </c>
      <c r="K253" s="162">
        <v>100</v>
      </c>
      <c r="L253" s="23">
        <v>100</v>
      </c>
      <c r="M253" s="404" t="s">
        <v>58</v>
      </c>
      <c r="N253" s="505">
        <v>0.84</v>
      </c>
      <c r="O253" s="507">
        <v>0.8</v>
      </c>
      <c r="P253" s="372">
        <v>0.8</v>
      </c>
      <c r="Q253" s="505">
        <v>0.8</v>
      </c>
    </row>
    <row r="254" spans="1:18" ht="15" customHeight="1" x14ac:dyDescent="0.25">
      <c r="A254" s="194"/>
      <c r="B254" s="195"/>
      <c r="C254" s="196"/>
      <c r="D254" s="198"/>
      <c r="E254" s="193"/>
      <c r="F254" s="283" t="s">
        <v>148</v>
      </c>
      <c r="G254" s="1420"/>
      <c r="H254" s="222" t="s">
        <v>55</v>
      </c>
      <c r="I254" s="222">
        <v>10.6</v>
      </c>
      <c r="J254" s="124">
        <v>18</v>
      </c>
      <c r="K254" s="355">
        <v>18</v>
      </c>
      <c r="L254" s="634">
        <v>18</v>
      </c>
      <c r="M254" s="404"/>
      <c r="N254" s="86"/>
      <c r="O254" s="305"/>
      <c r="P254" s="305"/>
      <c r="Q254" s="86"/>
    </row>
    <row r="255" spans="1:18" ht="16.5" customHeight="1" x14ac:dyDescent="0.25">
      <c r="A255" s="194"/>
      <c r="B255" s="195"/>
      <c r="C255" s="196"/>
      <c r="D255" s="1358" t="s">
        <v>24</v>
      </c>
      <c r="E255" s="1281" t="s">
        <v>72</v>
      </c>
      <c r="F255" s="211" t="s">
        <v>279</v>
      </c>
      <c r="G255" s="1421" t="s">
        <v>144</v>
      </c>
      <c r="H255" s="76" t="s">
        <v>55</v>
      </c>
      <c r="I255" s="76">
        <v>8</v>
      </c>
      <c r="J255" s="311">
        <v>8</v>
      </c>
      <c r="K255" s="111">
        <v>8</v>
      </c>
      <c r="L255" s="310">
        <v>8</v>
      </c>
      <c r="M255" s="1213" t="s">
        <v>188</v>
      </c>
      <c r="N255" s="85">
        <v>14</v>
      </c>
      <c r="O255" s="300">
        <v>14</v>
      </c>
      <c r="P255" s="308">
        <v>14</v>
      </c>
      <c r="Q255" s="85">
        <v>14</v>
      </c>
    </row>
    <row r="256" spans="1:18" ht="16.5" customHeight="1" x14ac:dyDescent="0.25">
      <c r="A256" s="729"/>
      <c r="B256" s="728"/>
      <c r="C256" s="50"/>
      <c r="D256" s="1360"/>
      <c r="E256" s="1262"/>
      <c r="F256" s="283" t="s">
        <v>315</v>
      </c>
      <c r="G256" s="1419"/>
      <c r="H256" s="77"/>
      <c r="I256" s="16"/>
      <c r="J256" s="124"/>
      <c r="K256" s="296"/>
      <c r="L256" s="242"/>
      <c r="M256" s="1223"/>
      <c r="N256" s="478"/>
      <c r="O256" s="742"/>
      <c r="P256" s="309"/>
      <c r="Q256" s="243"/>
    </row>
    <row r="257" spans="1:17" ht="17.149999999999999" customHeight="1" x14ac:dyDescent="0.25">
      <c r="A257" s="200"/>
      <c r="B257" s="195"/>
      <c r="C257" s="48"/>
      <c r="D257" s="198" t="s">
        <v>28</v>
      </c>
      <c r="E257" s="1186" t="s">
        <v>81</v>
      </c>
      <c r="F257" s="693" t="s">
        <v>279</v>
      </c>
      <c r="G257" s="1419"/>
      <c r="H257" s="16" t="s">
        <v>21</v>
      </c>
      <c r="I257" s="76">
        <v>45</v>
      </c>
      <c r="J257" s="311">
        <v>75</v>
      </c>
      <c r="K257" s="111">
        <v>75</v>
      </c>
      <c r="L257" s="312">
        <v>75</v>
      </c>
      <c r="M257" s="419" t="s">
        <v>189</v>
      </c>
      <c r="N257" s="234">
        <v>10</v>
      </c>
      <c r="O257" s="323">
        <v>10</v>
      </c>
      <c r="P257" s="314">
        <v>10</v>
      </c>
      <c r="Q257" s="234">
        <v>10</v>
      </c>
    </row>
    <row r="258" spans="1:17" ht="17.149999999999999" customHeight="1" x14ac:dyDescent="0.25">
      <c r="A258" s="698"/>
      <c r="B258" s="697"/>
      <c r="C258" s="48"/>
      <c r="D258" s="695"/>
      <c r="E258" s="1221"/>
      <c r="F258" s="283" t="s">
        <v>315</v>
      </c>
      <c r="G258" s="696"/>
      <c r="H258" s="16"/>
      <c r="I258" s="16"/>
      <c r="J258" s="124"/>
      <c r="K258" s="162"/>
      <c r="L258" s="23"/>
      <c r="M258" s="404"/>
      <c r="N258" s="493"/>
      <c r="O258" s="325"/>
      <c r="P258" s="646"/>
      <c r="Q258" s="715"/>
    </row>
    <row r="259" spans="1:17" ht="15" customHeight="1" x14ac:dyDescent="0.25">
      <c r="A259" s="194"/>
      <c r="B259" s="195"/>
      <c r="C259" s="196"/>
      <c r="D259" s="197" t="s">
        <v>29</v>
      </c>
      <c r="E259" s="1192" t="s">
        <v>67</v>
      </c>
      <c r="F259" s="211" t="s">
        <v>279</v>
      </c>
      <c r="G259" s="1369" t="s">
        <v>93</v>
      </c>
      <c r="H259" s="76" t="s">
        <v>55</v>
      </c>
      <c r="I259" s="76">
        <f>610.4+53.8+44.8</f>
        <v>709</v>
      </c>
      <c r="J259" s="113">
        <f>727.4-79</f>
        <v>648.4</v>
      </c>
      <c r="K259" s="111">
        <v>800</v>
      </c>
      <c r="L259" s="114">
        <v>900</v>
      </c>
      <c r="M259" s="419" t="s">
        <v>76</v>
      </c>
      <c r="N259" s="234">
        <v>173</v>
      </c>
      <c r="O259" s="767">
        <v>173</v>
      </c>
      <c r="P259" s="314">
        <v>173</v>
      </c>
      <c r="Q259" s="234">
        <v>173</v>
      </c>
    </row>
    <row r="260" spans="1:17" ht="15" customHeight="1" x14ac:dyDescent="0.25">
      <c r="A260" s="200"/>
      <c r="B260" s="195"/>
      <c r="C260" s="50"/>
      <c r="D260" s="202"/>
      <c r="E260" s="1233"/>
      <c r="F260" s="283" t="s">
        <v>148</v>
      </c>
      <c r="G260" s="1370"/>
      <c r="H260" s="77" t="s">
        <v>57</v>
      </c>
      <c r="I260" s="77">
        <v>15.7</v>
      </c>
      <c r="J260" s="109">
        <f>106.4-8.7</f>
        <v>97.7</v>
      </c>
      <c r="K260" s="296"/>
      <c r="L260" s="28"/>
      <c r="M260" s="411"/>
      <c r="N260" s="233"/>
      <c r="O260" s="508"/>
      <c r="P260" s="508"/>
      <c r="Q260" s="233"/>
    </row>
    <row r="261" spans="1:17" ht="17.25" customHeight="1" x14ac:dyDescent="0.25">
      <c r="A261" s="1230"/>
      <c r="B261" s="1216"/>
      <c r="C261" s="1294"/>
      <c r="D261" s="1415" t="s">
        <v>30</v>
      </c>
      <c r="E261" s="1277" t="s">
        <v>333</v>
      </c>
      <c r="F261" s="754" t="s">
        <v>98</v>
      </c>
      <c r="G261" s="1369" t="s">
        <v>50</v>
      </c>
      <c r="H261" s="16" t="s">
        <v>21</v>
      </c>
      <c r="I261" s="16">
        <v>139.1</v>
      </c>
      <c r="J261" s="124">
        <v>140.69999999999999</v>
      </c>
      <c r="K261" s="162">
        <v>146.1</v>
      </c>
      <c r="L261" s="23">
        <v>194</v>
      </c>
      <c r="M261" s="404" t="s">
        <v>54</v>
      </c>
      <c r="N261" s="510">
        <v>18</v>
      </c>
      <c r="O261" s="314">
        <v>18</v>
      </c>
      <c r="P261" s="314">
        <v>18</v>
      </c>
      <c r="Q261" s="91">
        <v>18</v>
      </c>
    </row>
    <row r="262" spans="1:17" ht="17.25" customHeight="1" x14ac:dyDescent="0.25">
      <c r="A262" s="1230"/>
      <c r="B262" s="1216"/>
      <c r="C262" s="1294"/>
      <c r="D262" s="1416"/>
      <c r="E262" s="1239"/>
      <c r="F262" s="693" t="s">
        <v>224</v>
      </c>
      <c r="G262" s="1370"/>
      <c r="H262" s="140"/>
      <c r="I262" s="16"/>
      <c r="J262" s="124"/>
      <c r="K262" s="163"/>
      <c r="L262" s="633"/>
      <c r="M262" s="417" t="s">
        <v>59</v>
      </c>
      <c r="N262" s="489">
        <v>7</v>
      </c>
      <c r="O262" s="332">
        <v>7</v>
      </c>
      <c r="P262" s="306">
        <v>7</v>
      </c>
      <c r="Q262" s="237">
        <v>7</v>
      </c>
    </row>
    <row r="263" spans="1:17" ht="17.25" customHeight="1" x14ac:dyDescent="0.25">
      <c r="A263" s="1230"/>
      <c r="B263" s="1216"/>
      <c r="C263" s="1294"/>
      <c r="D263" s="1416"/>
      <c r="E263" s="1239"/>
      <c r="F263" s="130" t="s">
        <v>148</v>
      </c>
      <c r="G263" s="1370"/>
      <c r="H263" s="1442" t="s">
        <v>21</v>
      </c>
      <c r="I263" s="1440"/>
      <c r="J263" s="1444">
        <f>30-18</f>
        <v>12</v>
      </c>
      <c r="K263" s="162"/>
      <c r="L263" s="23"/>
      <c r="M263" s="1222" t="s">
        <v>286</v>
      </c>
      <c r="N263" s="513"/>
      <c r="O263" s="332">
        <v>2</v>
      </c>
      <c r="P263" s="484"/>
      <c r="Q263" s="244"/>
    </row>
    <row r="264" spans="1:17" ht="16.5" customHeight="1" x14ac:dyDescent="0.25">
      <c r="A264" s="1230"/>
      <c r="B264" s="1216"/>
      <c r="C264" s="1294"/>
      <c r="D264" s="1417"/>
      <c r="E264" s="1295"/>
      <c r="F264" s="693" t="s">
        <v>279</v>
      </c>
      <c r="G264" s="1371"/>
      <c r="H264" s="1443"/>
      <c r="I264" s="1441"/>
      <c r="J264" s="1445"/>
      <c r="K264" s="713"/>
      <c r="L264" s="686"/>
      <c r="M264" s="1223"/>
      <c r="N264" s="478"/>
      <c r="O264" s="228"/>
      <c r="P264" s="141"/>
      <c r="Q264" s="547"/>
    </row>
    <row r="265" spans="1:17" ht="27.65" customHeight="1" x14ac:dyDescent="0.25">
      <c r="A265" s="200"/>
      <c r="B265" s="195"/>
      <c r="C265" s="47"/>
      <c r="D265" s="110" t="s">
        <v>31</v>
      </c>
      <c r="E265" s="135" t="s">
        <v>194</v>
      </c>
      <c r="F265" s="751" t="s">
        <v>279</v>
      </c>
      <c r="G265" s="1369" t="s">
        <v>93</v>
      </c>
      <c r="H265" s="73" t="s">
        <v>55</v>
      </c>
      <c r="I265" s="77">
        <v>20</v>
      </c>
      <c r="J265" s="375">
        <v>35.200000000000003</v>
      </c>
      <c r="K265" s="296">
        <v>36</v>
      </c>
      <c r="L265" s="28">
        <v>36</v>
      </c>
      <c r="M265" s="412" t="s">
        <v>195</v>
      </c>
      <c r="N265" s="252">
        <v>7</v>
      </c>
      <c r="O265" s="629">
        <v>9</v>
      </c>
      <c r="P265" s="382">
        <v>9</v>
      </c>
      <c r="Q265" s="252">
        <v>9</v>
      </c>
    </row>
    <row r="266" spans="1:17" ht="39.65" customHeight="1" x14ac:dyDescent="0.25">
      <c r="A266" s="278"/>
      <c r="B266" s="279"/>
      <c r="C266" s="220"/>
      <c r="D266" s="276" t="s">
        <v>90</v>
      </c>
      <c r="E266" s="135" t="s">
        <v>270</v>
      </c>
      <c r="F266" s="211" t="s">
        <v>279</v>
      </c>
      <c r="G266" s="1371"/>
      <c r="H266" s="77" t="s">
        <v>55</v>
      </c>
      <c r="I266" s="77"/>
      <c r="J266" s="375">
        <v>20</v>
      </c>
      <c r="K266" s="376">
        <v>20</v>
      </c>
      <c r="L266" s="446">
        <v>20</v>
      </c>
      <c r="M266" s="412" t="s">
        <v>287</v>
      </c>
      <c r="N266" s="509"/>
      <c r="O266" s="605">
        <v>3</v>
      </c>
      <c r="P266" s="606">
        <v>3</v>
      </c>
      <c r="Q266" s="607">
        <v>3</v>
      </c>
    </row>
    <row r="267" spans="1:17" ht="15" customHeight="1" thickBot="1" x14ac:dyDescent="0.3">
      <c r="A267" s="17"/>
      <c r="B267" s="64"/>
      <c r="C267" s="49"/>
      <c r="D267" s="175"/>
      <c r="E267" s="176"/>
      <c r="F267" s="177"/>
      <c r="G267" s="178"/>
      <c r="H267" s="27" t="s">
        <v>4</v>
      </c>
      <c r="I267" s="27">
        <f>SUM(I242:I266)</f>
        <v>1797.5</v>
      </c>
      <c r="J267" s="463">
        <f>SUM(J242:J266)</f>
        <v>1949.8</v>
      </c>
      <c r="K267" s="29">
        <f>SUM(K242:K266)</f>
        <v>2564.1999999999998</v>
      </c>
      <c r="L267" s="460">
        <f>SUM(L242:L266)</f>
        <v>2435.3000000000002</v>
      </c>
      <c r="M267" s="413"/>
      <c r="N267" s="253"/>
      <c r="O267" s="379"/>
      <c r="P267" s="383"/>
      <c r="Q267" s="253"/>
    </row>
    <row r="268" spans="1:17" ht="15.65" customHeight="1" x14ac:dyDescent="0.25">
      <c r="A268" s="80" t="s">
        <v>3</v>
      </c>
      <c r="B268" s="74" t="s">
        <v>24</v>
      </c>
      <c r="C268" s="54" t="s">
        <v>5</v>
      </c>
      <c r="D268" s="78"/>
      <c r="E268" s="172" t="s">
        <v>135</v>
      </c>
      <c r="F268" s="173"/>
      <c r="G268" s="145"/>
      <c r="H268" s="53"/>
      <c r="I268" s="53"/>
      <c r="J268" s="464"/>
      <c r="K268" s="465"/>
      <c r="L268" s="466"/>
      <c r="M268" s="414"/>
      <c r="N268" s="254"/>
      <c r="O268" s="394"/>
      <c r="P268" s="380"/>
      <c r="Q268" s="254"/>
    </row>
    <row r="269" spans="1:17" ht="15" customHeight="1" x14ac:dyDescent="0.25">
      <c r="A269" s="1296"/>
      <c r="B269" s="1297"/>
      <c r="C269" s="1294"/>
      <c r="D269" s="197" t="s">
        <v>3</v>
      </c>
      <c r="E269" s="1192" t="s">
        <v>208</v>
      </c>
      <c r="F269" s="153" t="s">
        <v>131</v>
      </c>
      <c r="G269" s="1369" t="s">
        <v>145</v>
      </c>
      <c r="H269" s="76" t="s">
        <v>48</v>
      </c>
      <c r="I269" s="76">
        <v>1</v>
      </c>
      <c r="J269" s="113"/>
      <c r="K269" s="113"/>
      <c r="L269" s="310"/>
      <c r="M269" s="1422" t="s">
        <v>92</v>
      </c>
      <c r="N269" s="85"/>
      <c r="O269" s="396"/>
      <c r="P269" s="308"/>
      <c r="Q269" s="85"/>
    </row>
    <row r="270" spans="1:17" ht="14.25" customHeight="1" x14ac:dyDescent="0.25">
      <c r="A270" s="1296"/>
      <c r="B270" s="1297"/>
      <c r="C270" s="1294"/>
      <c r="D270" s="198"/>
      <c r="E270" s="1193"/>
      <c r="F270" s="749" t="s">
        <v>98</v>
      </c>
      <c r="G270" s="1370"/>
      <c r="H270" s="16"/>
      <c r="I270" s="16"/>
      <c r="J270" s="124"/>
      <c r="K270" s="124"/>
      <c r="L270" s="15"/>
      <c r="M270" s="1423"/>
      <c r="N270" s="251"/>
      <c r="O270" s="388"/>
      <c r="P270" s="397"/>
      <c r="Q270" s="251"/>
    </row>
    <row r="271" spans="1:17" ht="14.25" customHeight="1" x14ac:dyDescent="0.25">
      <c r="A271" s="1296"/>
      <c r="B271" s="1297"/>
      <c r="C271" s="1294"/>
      <c r="D271" s="198"/>
      <c r="E271" s="1206"/>
      <c r="F271" s="693" t="s">
        <v>148</v>
      </c>
      <c r="G271" s="158"/>
      <c r="H271" s="16"/>
      <c r="I271" s="16"/>
      <c r="J271" s="124"/>
      <c r="K271" s="124"/>
      <c r="L271" s="23"/>
      <c r="M271" s="1217" t="s">
        <v>128</v>
      </c>
      <c r="N271" s="86"/>
      <c r="O271" s="298"/>
      <c r="P271" s="305"/>
      <c r="Q271" s="86"/>
    </row>
    <row r="272" spans="1:17" ht="15" customHeight="1" x14ac:dyDescent="0.25">
      <c r="A272" s="1296"/>
      <c r="B272" s="1297"/>
      <c r="C272" s="1294"/>
      <c r="D272" s="198"/>
      <c r="E272" s="1233"/>
      <c r="F272" s="755" t="s">
        <v>40</v>
      </c>
      <c r="G272" s="101"/>
      <c r="H272" s="1"/>
      <c r="I272" s="165"/>
      <c r="J272" s="363"/>
      <c r="K272" s="363"/>
      <c r="L272" s="225"/>
      <c r="M272" s="1235"/>
      <c r="N272" s="86"/>
      <c r="O272" s="298"/>
      <c r="P272" s="305"/>
      <c r="Q272" s="86"/>
    </row>
    <row r="273" spans="1:17" ht="15.65" customHeight="1" x14ac:dyDescent="0.25">
      <c r="A273" s="217"/>
      <c r="B273" s="218"/>
      <c r="C273" s="215"/>
      <c r="D273" s="1358" t="s">
        <v>5</v>
      </c>
      <c r="E273" s="143" t="s">
        <v>202</v>
      </c>
      <c r="F273" s="129" t="s">
        <v>131</v>
      </c>
      <c r="G273" s="100"/>
      <c r="H273" s="73"/>
      <c r="I273" s="73"/>
      <c r="J273" s="354"/>
      <c r="K273" s="354"/>
      <c r="L273" s="374"/>
      <c r="M273" s="410"/>
      <c r="N273" s="258"/>
      <c r="O273" s="389"/>
      <c r="P273" s="398"/>
      <c r="Q273" s="258"/>
    </row>
    <row r="274" spans="1:17" ht="14.5" customHeight="1" x14ac:dyDescent="0.25">
      <c r="A274" s="217"/>
      <c r="B274" s="218"/>
      <c r="C274" s="215"/>
      <c r="D274" s="1359"/>
      <c r="E274" s="1424" t="s">
        <v>203</v>
      </c>
      <c r="F274" s="130" t="s">
        <v>40</v>
      </c>
      <c r="G274" s="1369" t="s">
        <v>93</v>
      </c>
      <c r="H274" s="435" t="s">
        <v>21</v>
      </c>
      <c r="I274" s="435">
        <f>269.5-267.8+118.3-103.3</f>
        <v>16.7</v>
      </c>
      <c r="J274" s="455"/>
      <c r="K274" s="113"/>
      <c r="L274" s="113"/>
      <c r="M274" s="1234" t="s">
        <v>307</v>
      </c>
      <c r="N274" s="256">
        <v>35</v>
      </c>
      <c r="O274" s="390">
        <v>100</v>
      </c>
      <c r="P274" s="399"/>
      <c r="Q274" s="256"/>
    </row>
    <row r="275" spans="1:17" ht="14.5" customHeight="1" x14ac:dyDescent="0.25">
      <c r="A275" s="217"/>
      <c r="B275" s="218"/>
      <c r="C275" s="215"/>
      <c r="D275" s="1359"/>
      <c r="E275" s="1425"/>
      <c r="F275" s="693" t="s">
        <v>148</v>
      </c>
      <c r="G275" s="1370"/>
      <c r="H275" s="139" t="s">
        <v>55</v>
      </c>
      <c r="I275" s="140">
        <f>113.8+158.7+124.5+150</f>
        <v>547</v>
      </c>
      <c r="J275" s="124">
        <v>928</v>
      </c>
      <c r="K275" s="295"/>
      <c r="L275" s="588"/>
      <c r="M275" s="1218"/>
      <c r="N275" s="257"/>
      <c r="O275" s="391"/>
      <c r="P275" s="146"/>
      <c r="Q275" s="257"/>
    </row>
    <row r="276" spans="1:17" ht="14.5" customHeight="1" x14ac:dyDescent="0.25">
      <c r="A276" s="217"/>
      <c r="B276" s="218"/>
      <c r="C276" s="215"/>
      <c r="D276" s="1359"/>
      <c r="E276" s="1425"/>
      <c r="F276" s="130" t="s">
        <v>279</v>
      </c>
      <c r="G276" s="1370"/>
      <c r="H276" s="18" t="s">
        <v>57</v>
      </c>
      <c r="I276" s="140"/>
      <c r="J276" s="350">
        <f>199.9+30</f>
        <v>229.9</v>
      </c>
      <c r="K276" s="124"/>
      <c r="L276" s="589"/>
      <c r="M276" s="405"/>
      <c r="N276" s="255"/>
      <c r="O276" s="392"/>
      <c r="P276" s="400"/>
      <c r="Q276" s="255"/>
    </row>
    <row r="277" spans="1:17" ht="14.5" customHeight="1" x14ac:dyDescent="0.25">
      <c r="A277" s="217"/>
      <c r="B277" s="218"/>
      <c r="C277" s="215"/>
      <c r="D277" s="1359"/>
      <c r="E277" s="1286"/>
      <c r="F277" s="130"/>
      <c r="G277" s="1370"/>
      <c r="H277" s="674" t="s">
        <v>216</v>
      </c>
      <c r="I277" s="140">
        <v>13.8</v>
      </c>
      <c r="J277" s="350"/>
      <c r="K277" s="295"/>
      <c r="L277" s="589"/>
      <c r="M277" s="406"/>
      <c r="N277" s="255"/>
      <c r="O277" s="392"/>
      <c r="P277" s="400"/>
      <c r="Q277" s="255"/>
    </row>
    <row r="278" spans="1:17" ht="21.65" customHeight="1" x14ac:dyDescent="0.25">
      <c r="A278" s="217"/>
      <c r="B278" s="218"/>
      <c r="C278" s="215"/>
      <c r="D278" s="1359"/>
      <c r="E278" s="1428" t="s">
        <v>205</v>
      </c>
      <c r="F278" s="130"/>
      <c r="G278" s="1370"/>
      <c r="H278" s="18" t="s">
        <v>57</v>
      </c>
      <c r="I278" s="687">
        <v>363.6</v>
      </c>
      <c r="J278" s="688"/>
      <c r="K278" s="689"/>
      <c r="L278" s="689"/>
      <c r="M278" s="407" t="s">
        <v>206</v>
      </c>
      <c r="N278" s="180">
        <v>100</v>
      </c>
      <c r="O278" s="299"/>
      <c r="P278" s="306"/>
      <c r="Q278" s="180"/>
    </row>
    <row r="279" spans="1:17" ht="21.65" customHeight="1" x14ac:dyDescent="0.25">
      <c r="A279" s="217"/>
      <c r="B279" s="218"/>
      <c r="C279" s="215"/>
      <c r="D279" s="1359"/>
      <c r="E279" s="1429"/>
      <c r="F279" s="130"/>
      <c r="G279" s="1370"/>
      <c r="H279" s="995" t="s">
        <v>55</v>
      </c>
      <c r="I279" s="993">
        <v>179.5</v>
      </c>
      <c r="J279" s="688">
        <v>133.1</v>
      </c>
      <c r="K279" s="994">
        <v>133.1</v>
      </c>
      <c r="L279" s="996">
        <v>133.1</v>
      </c>
      <c r="M279" s="405" t="s">
        <v>207</v>
      </c>
      <c r="N279" s="489">
        <v>11</v>
      </c>
      <c r="O279" s="332">
        <v>12</v>
      </c>
      <c r="P279" s="306">
        <v>12</v>
      </c>
      <c r="Q279" s="237">
        <v>12</v>
      </c>
    </row>
    <row r="280" spans="1:17" ht="15.65" customHeight="1" x14ac:dyDescent="0.25">
      <c r="A280" s="217"/>
      <c r="B280" s="218"/>
      <c r="C280" s="215"/>
      <c r="D280" s="1359"/>
      <c r="E280" s="1287" t="s">
        <v>204</v>
      </c>
      <c r="F280" s="130"/>
      <c r="G280" s="1410" t="s">
        <v>142</v>
      </c>
      <c r="H280" s="140" t="s">
        <v>21</v>
      </c>
      <c r="I280" s="167">
        <f>694.8-320-320-39.9</f>
        <v>14.9</v>
      </c>
      <c r="J280" s="366"/>
      <c r="K280" s="163"/>
      <c r="L280" s="589"/>
      <c r="M280" s="1439" t="s">
        <v>307</v>
      </c>
      <c r="N280" s="86">
        <v>30</v>
      </c>
      <c r="O280" s="332">
        <v>100</v>
      </c>
      <c r="P280" s="305"/>
      <c r="Q280" s="86"/>
    </row>
    <row r="281" spans="1:17" ht="15.65" customHeight="1" x14ac:dyDescent="0.25">
      <c r="A281" s="774"/>
      <c r="B281" s="775"/>
      <c r="C281" s="773"/>
      <c r="D281" s="1359"/>
      <c r="E281" s="1288"/>
      <c r="F281" s="130"/>
      <c r="G281" s="1370"/>
      <c r="H281" s="140" t="s">
        <v>328</v>
      </c>
      <c r="I281" s="140"/>
      <c r="J281" s="366">
        <v>67.2</v>
      </c>
      <c r="K281" s="295"/>
      <c r="L281" s="633"/>
      <c r="M281" s="1289"/>
      <c r="N281" s="86"/>
      <c r="O281" s="298"/>
      <c r="P281" s="305"/>
      <c r="Q281" s="86"/>
    </row>
    <row r="282" spans="1:17" ht="15.65" customHeight="1" x14ac:dyDescent="0.25">
      <c r="A282" s="774"/>
      <c r="B282" s="775"/>
      <c r="C282" s="773"/>
      <c r="D282" s="1359"/>
      <c r="E282" s="147"/>
      <c r="F282" s="130"/>
      <c r="G282" s="1411"/>
      <c r="H282" s="140" t="s">
        <v>234</v>
      </c>
      <c r="I282" s="140"/>
      <c r="J282" s="124">
        <v>182.6</v>
      </c>
      <c r="K282" s="124"/>
      <c r="L282" s="633"/>
      <c r="M282" s="1289"/>
      <c r="N282" s="86"/>
      <c r="O282" s="298"/>
      <c r="P282" s="305"/>
      <c r="Q282" s="86"/>
    </row>
    <row r="283" spans="1:17" ht="15.65" customHeight="1" x14ac:dyDescent="0.25">
      <c r="A283" s="217"/>
      <c r="B283" s="218"/>
      <c r="C283" s="215"/>
      <c r="D283" s="1359"/>
      <c r="E283" s="147"/>
      <c r="F283" s="130"/>
      <c r="G283" s="1426" t="s">
        <v>145</v>
      </c>
      <c r="H283" s="167" t="s">
        <v>64</v>
      </c>
      <c r="I283" s="167">
        <f>158.7+230-150</f>
        <v>238.7</v>
      </c>
      <c r="J283" s="366">
        <v>1200</v>
      </c>
      <c r="K283" s="295"/>
      <c r="L283" s="589"/>
      <c r="M283" s="1289"/>
      <c r="N283" s="86"/>
      <c r="O283" s="298"/>
      <c r="P283" s="305"/>
      <c r="Q283" s="86"/>
    </row>
    <row r="284" spans="1:17" ht="15.65" customHeight="1" x14ac:dyDescent="0.25">
      <c r="A284" s="217"/>
      <c r="B284" s="218"/>
      <c r="C284" s="215"/>
      <c r="D284" s="1360"/>
      <c r="E284" s="147"/>
      <c r="F284" s="130"/>
      <c r="G284" s="1427"/>
      <c r="H284" s="77" t="s">
        <v>55</v>
      </c>
      <c r="I284" s="16">
        <f>455.1-158.7-150</f>
        <v>146.4</v>
      </c>
      <c r="J284" s="124">
        <v>196</v>
      </c>
      <c r="K284" s="124"/>
      <c r="L284" s="23"/>
      <c r="M284" s="409"/>
      <c r="N284" s="87"/>
      <c r="O284" s="301"/>
      <c r="P284" s="309"/>
      <c r="Q284" s="87"/>
    </row>
    <row r="285" spans="1:17" ht="15" customHeight="1" x14ac:dyDescent="0.25">
      <c r="A285" s="1296"/>
      <c r="B285" s="1297"/>
      <c r="C285" s="1294"/>
      <c r="D285" s="198" t="s">
        <v>24</v>
      </c>
      <c r="E285" s="1192" t="s">
        <v>91</v>
      </c>
      <c r="F285" s="153" t="s">
        <v>305</v>
      </c>
      <c r="G285" s="209" t="s">
        <v>145</v>
      </c>
      <c r="H285" s="16" t="s">
        <v>48</v>
      </c>
      <c r="I285" s="76">
        <v>11.8</v>
      </c>
      <c r="J285" s="455">
        <v>5.3</v>
      </c>
      <c r="K285" s="137"/>
      <c r="L285" s="583"/>
      <c r="M285" s="405" t="s">
        <v>201</v>
      </c>
      <c r="N285" s="85">
        <v>1</v>
      </c>
      <c r="O285" s="300">
        <v>1</v>
      </c>
      <c r="P285" s="308"/>
      <c r="Q285" s="85"/>
    </row>
    <row r="286" spans="1:17" ht="15" customHeight="1" x14ac:dyDescent="0.25">
      <c r="A286" s="1296"/>
      <c r="B286" s="1297"/>
      <c r="C286" s="1294"/>
      <c r="D286" s="624"/>
      <c r="E286" s="1193"/>
      <c r="F286" s="749" t="s">
        <v>304</v>
      </c>
      <c r="G286" s="1410" t="s">
        <v>323</v>
      </c>
      <c r="H286" s="18" t="s">
        <v>21</v>
      </c>
      <c r="I286" s="18"/>
      <c r="J286" s="366"/>
      <c r="K286" s="163"/>
      <c r="L286" s="633"/>
      <c r="M286" s="405"/>
      <c r="N286" s="86"/>
      <c r="O286" s="298"/>
      <c r="P286" s="305"/>
      <c r="Q286" s="86"/>
    </row>
    <row r="287" spans="1:17" ht="15" customHeight="1" x14ac:dyDescent="0.25">
      <c r="A287" s="1296"/>
      <c r="B287" s="1297"/>
      <c r="C287" s="1294"/>
      <c r="D287" s="624"/>
      <c r="E287" s="1193"/>
      <c r="F287" s="749" t="s">
        <v>40</v>
      </c>
      <c r="G287" s="1370"/>
      <c r="H287" s="18" t="s">
        <v>37</v>
      </c>
      <c r="I287" s="18">
        <f>61.7+16.6</f>
        <v>78.3</v>
      </c>
      <c r="J287" s="292">
        <v>46.5</v>
      </c>
      <c r="K287" s="163"/>
      <c r="L287" s="633"/>
      <c r="M287" s="405"/>
      <c r="N287" s="86"/>
      <c r="O287" s="298"/>
      <c r="P287" s="305"/>
      <c r="Q287" s="86"/>
    </row>
    <row r="288" spans="1:17" ht="15" customHeight="1" x14ac:dyDescent="0.25">
      <c r="A288" s="1296"/>
      <c r="B288" s="1297"/>
      <c r="C288" s="1294"/>
      <c r="D288" s="727"/>
      <c r="E288" s="1193"/>
      <c r="F288" s="693" t="s">
        <v>453</v>
      </c>
      <c r="G288" s="1370"/>
      <c r="H288" s="18"/>
      <c r="I288" s="18"/>
      <c r="J288" s="639"/>
      <c r="K288" s="163"/>
      <c r="L288" s="633"/>
      <c r="M288" s="405"/>
      <c r="N288" s="86"/>
      <c r="O288" s="298"/>
      <c r="P288" s="305"/>
      <c r="Q288" s="86"/>
    </row>
    <row r="289" spans="1:18" ht="14.15" customHeight="1" x14ac:dyDescent="0.25">
      <c r="A289" s="1296"/>
      <c r="B289" s="1297"/>
      <c r="C289" s="1294"/>
      <c r="D289" s="198"/>
      <c r="E289" s="1193"/>
      <c r="F289" s="749" t="s">
        <v>118</v>
      </c>
      <c r="G289" s="1370"/>
      <c r="H289" s="667"/>
      <c r="I289" s="668"/>
      <c r="J289" s="669"/>
      <c r="K289" s="295"/>
      <c r="L289" s="589"/>
      <c r="M289" s="165"/>
      <c r="N289" s="225"/>
      <c r="O289" s="250"/>
      <c r="P289" s="307"/>
      <c r="Q289" s="225"/>
    </row>
    <row r="290" spans="1:18" ht="15" customHeight="1" x14ac:dyDescent="0.25">
      <c r="A290" s="1296"/>
      <c r="B290" s="1297"/>
      <c r="C290" s="1294"/>
      <c r="D290" s="198"/>
      <c r="E290" s="1232"/>
      <c r="F290" s="756" t="s">
        <v>279</v>
      </c>
      <c r="G290" s="1371"/>
      <c r="H290" s="651"/>
      <c r="I290" s="643"/>
      <c r="J290" s="642"/>
      <c r="K290" s="664"/>
      <c r="M290" s="409"/>
      <c r="N290" s="87"/>
      <c r="O290" s="301"/>
      <c r="P290" s="309"/>
      <c r="Q290" s="87"/>
    </row>
    <row r="291" spans="1:18" ht="14.25" customHeight="1" x14ac:dyDescent="0.25">
      <c r="A291" s="1230"/>
      <c r="B291" s="1216"/>
      <c r="C291" s="1294"/>
      <c r="D291" s="1415" t="s">
        <v>28</v>
      </c>
      <c r="E291" s="1192" t="s">
        <v>116</v>
      </c>
      <c r="F291" s="153" t="s">
        <v>304</v>
      </c>
      <c r="G291" s="1369" t="s">
        <v>167</v>
      </c>
      <c r="H291" s="76" t="s">
        <v>21</v>
      </c>
      <c r="I291" s="435"/>
      <c r="J291" s="113">
        <v>1.1000000000000001</v>
      </c>
      <c r="K291" s="137"/>
      <c r="L291" s="114"/>
      <c r="M291" s="408" t="s">
        <v>197</v>
      </c>
      <c r="N291" s="89"/>
      <c r="O291" s="365">
        <v>1</v>
      </c>
      <c r="P291" s="103"/>
      <c r="Q291" s="281"/>
    </row>
    <row r="292" spans="1:18" ht="14.25" customHeight="1" x14ac:dyDescent="0.25">
      <c r="A292" s="1230"/>
      <c r="B292" s="1216"/>
      <c r="C292" s="1294"/>
      <c r="D292" s="1416"/>
      <c r="E292" s="1193"/>
      <c r="F292" s="749" t="s">
        <v>279</v>
      </c>
      <c r="G292" s="1370"/>
      <c r="H292" s="18" t="s">
        <v>48</v>
      </c>
      <c r="I292" s="16">
        <f>6.1-1.1</f>
        <v>5</v>
      </c>
      <c r="J292" s="366"/>
      <c r="K292" s="124"/>
      <c r="L292" s="589"/>
      <c r="M292" s="405"/>
      <c r="N292" s="107"/>
      <c r="O292" s="302"/>
      <c r="P292" s="105"/>
      <c r="Q292" s="107"/>
    </row>
    <row r="293" spans="1:18" ht="13.5" customHeight="1" x14ac:dyDescent="0.25">
      <c r="A293" s="1230"/>
      <c r="B293" s="1216"/>
      <c r="C293" s="1294"/>
      <c r="D293" s="1416"/>
      <c r="E293" s="1193"/>
      <c r="F293" s="283" t="s">
        <v>454</v>
      </c>
      <c r="G293" s="1371"/>
      <c r="H293" s="222" t="s">
        <v>150</v>
      </c>
      <c r="I293" s="222">
        <f>34.2-5.6</f>
        <v>28.6</v>
      </c>
      <c r="J293" s="109">
        <v>13.2</v>
      </c>
      <c r="K293" s="355"/>
      <c r="L293" s="28"/>
      <c r="M293" s="409"/>
      <c r="N293" s="122"/>
      <c r="O293" s="393"/>
      <c r="P293" s="401"/>
      <c r="Q293" s="122"/>
    </row>
    <row r="294" spans="1:18" ht="14.25" customHeight="1" x14ac:dyDescent="0.25">
      <c r="A294" s="1230"/>
      <c r="B294" s="1216"/>
      <c r="C294" s="1294"/>
      <c r="D294" s="1415" t="s">
        <v>29</v>
      </c>
      <c r="E294" s="1192" t="s">
        <v>187</v>
      </c>
      <c r="F294" s="211" t="s">
        <v>148</v>
      </c>
      <c r="G294" s="1430" t="s">
        <v>146</v>
      </c>
      <c r="H294" s="16" t="s">
        <v>37</v>
      </c>
      <c r="I294" s="16">
        <v>36.5</v>
      </c>
      <c r="J294" s="124">
        <v>32.1</v>
      </c>
      <c r="K294" s="124"/>
      <c r="L294" s="23"/>
      <c r="M294" s="405" t="s">
        <v>117</v>
      </c>
      <c r="N294" s="91"/>
      <c r="O294" s="378">
        <v>1</v>
      </c>
      <c r="P294" s="381"/>
      <c r="Q294" s="91"/>
    </row>
    <row r="295" spans="1:18" ht="13.5" customHeight="1" x14ac:dyDescent="0.25">
      <c r="A295" s="1230"/>
      <c r="B295" s="1216"/>
      <c r="C295" s="1294"/>
      <c r="D295" s="1416"/>
      <c r="E295" s="1193"/>
      <c r="F295" s="693" t="s">
        <v>98</v>
      </c>
      <c r="G295" s="1431"/>
      <c r="H295" s="16"/>
      <c r="I295" s="16"/>
      <c r="J295" s="124"/>
      <c r="K295" s="124"/>
      <c r="L295" s="23"/>
      <c r="M295" s="405"/>
      <c r="N295" s="86"/>
      <c r="O295" s="298"/>
      <c r="P295" s="305"/>
      <c r="Q295" s="86"/>
    </row>
    <row r="296" spans="1:18" ht="14.25" customHeight="1" x14ac:dyDescent="0.3">
      <c r="A296" s="1230"/>
      <c r="B296" s="1216"/>
      <c r="C296" s="1294"/>
      <c r="D296" s="1417"/>
      <c r="E296" s="1232"/>
      <c r="F296" s="268" t="s">
        <v>279</v>
      </c>
      <c r="G296" s="98"/>
      <c r="H296" s="77"/>
      <c r="I296" s="77"/>
      <c r="J296" s="109"/>
      <c r="K296" s="109"/>
      <c r="L296" s="28"/>
      <c r="M296" s="409"/>
      <c r="N296" s="87"/>
      <c r="O296" s="301"/>
      <c r="P296" s="309"/>
      <c r="Q296" s="87"/>
    </row>
    <row r="297" spans="1:18" ht="29.5" customHeight="1" x14ac:dyDescent="0.25">
      <c r="A297" s="1230"/>
      <c r="B297" s="1216"/>
      <c r="C297" s="1294"/>
      <c r="D297" s="1415" t="s">
        <v>30</v>
      </c>
      <c r="E297" s="1192" t="s">
        <v>95</v>
      </c>
      <c r="F297" s="211" t="s">
        <v>148</v>
      </c>
      <c r="G297" s="1369" t="s">
        <v>93</v>
      </c>
      <c r="H297" s="76" t="s">
        <v>55</v>
      </c>
      <c r="I297" s="76">
        <f>57.2+26.5</f>
        <v>83.7</v>
      </c>
      <c r="J297" s="113">
        <v>156</v>
      </c>
      <c r="K297" s="111">
        <f>+J297</f>
        <v>156</v>
      </c>
      <c r="L297" s="114">
        <f>+K297</f>
        <v>156</v>
      </c>
      <c r="M297" s="403" t="s">
        <v>97</v>
      </c>
      <c r="N297" s="88">
        <v>16</v>
      </c>
      <c r="O297" s="331">
        <v>16</v>
      </c>
      <c r="P297" s="337">
        <v>16</v>
      </c>
      <c r="Q297" s="88">
        <v>16</v>
      </c>
    </row>
    <row r="298" spans="1:18" ht="27.65" customHeight="1" x14ac:dyDescent="0.25">
      <c r="A298" s="1230"/>
      <c r="B298" s="1216"/>
      <c r="C298" s="1294"/>
      <c r="D298" s="1416"/>
      <c r="E298" s="1193"/>
      <c r="F298" s="268" t="s">
        <v>118</v>
      </c>
      <c r="G298" s="1370"/>
      <c r="H298" s="16"/>
      <c r="I298" s="16"/>
      <c r="J298" s="124"/>
      <c r="K298" s="163"/>
      <c r="L298" s="23"/>
      <c r="M298" s="405" t="s">
        <v>164</v>
      </c>
      <c r="N298" s="86">
        <v>5</v>
      </c>
      <c r="O298" s="298">
        <v>5</v>
      </c>
      <c r="P298" s="305">
        <v>5</v>
      </c>
      <c r="Q298" s="86">
        <v>5</v>
      </c>
    </row>
    <row r="299" spans="1:18" ht="17.149999999999999" customHeight="1" x14ac:dyDescent="0.25">
      <c r="A299" s="1230"/>
      <c r="B299" s="1216"/>
      <c r="C299" s="1294"/>
      <c r="D299" s="1416"/>
      <c r="E299" s="1193"/>
      <c r="F299" s="268" t="s">
        <v>279</v>
      </c>
      <c r="G299" s="1370"/>
      <c r="H299" s="18" t="s">
        <v>55</v>
      </c>
      <c r="I299" s="167">
        <v>40.9</v>
      </c>
      <c r="J299" s="366"/>
      <c r="K299" s="162"/>
      <c r="L299" s="589"/>
      <c r="M299" s="779" t="s">
        <v>196</v>
      </c>
      <c r="N299" s="108">
        <v>8</v>
      </c>
      <c r="O299" s="332">
        <v>5</v>
      </c>
      <c r="P299" s="338"/>
      <c r="Q299" s="244"/>
    </row>
    <row r="300" spans="1:18" ht="17.899999999999999" customHeight="1" x14ac:dyDescent="0.25">
      <c r="A300" s="1230"/>
      <c r="B300" s="1216"/>
      <c r="C300" s="1294"/>
      <c r="D300" s="1417"/>
      <c r="E300" s="1232"/>
      <c r="F300" s="693" t="s">
        <v>224</v>
      </c>
      <c r="G300" s="1371"/>
      <c r="H300" s="222" t="s">
        <v>57</v>
      </c>
      <c r="J300" s="632">
        <v>36.700000000000003</v>
      </c>
      <c r="K300" s="355"/>
      <c r="L300" s="28"/>
      <c r="M300" s="168"/>
      <c r="N300" s="168"/>
      <c r="O300" s="228"/>
      <c r="P300" s="604"/>
      <c r="Q300" s="604"/>
      <c r="R300" s="869"/>
    </row>
    <row r="301" spans="1:18" ht="19.5" customHeight="1" x14ac:dyDescent="0.25">
      <c r="A301" s="1230"/>
      <c r="B301" s="1216"/>
      <c r="C301" s="1294"/>
      <c r="D301" s="1415" t="s">
        <v>31</v>
      </c>
      <c r="E301" s="1192" t="s">
        <v>288</v>
      </c>
      <c r="F301" s="743" t="s">
        <v>148</v>
      </c>
      <c r="G301" s="1369" t="s">
        <v>93</v>
      </c>
      <c r="H301" s="76" t="s">
        <v>21</v>
      </c>
      <c r="I301" s="76">
        <v>3.4</v>
      </c>
      <c r="J301" s="113">
        <v>2.7</v>
      </c>
      <c r="K301" s="111">
        <v>3.4</v>
      </c>
      <c r="L301" s="114">
        <v>3.4</v>
      </c>
      <c r="M301" s="1213" t="s">
        <v>289</v>
      </c>
      <c r="N301" s="85">
        <v>3</v>
      </c>
      <c r="O301" s="300">
        <v>4</v>
      </c>
      <c r="P301" s="308">
        <v>5</v>
      </c>
      <c r="Q301" s="85">
        <v>5</v>
      </c>
    </row>
    <row r="302" spans="1:18" ht="19.5" customHeight="1" x14ac:dyDescent="0.25">
      <c r="A302" s="1230"/>
      <c r="B302" s="1216"/>
      <c r="C302" s="1294"/>
      <c r="D302" s="1416"/>
      <c r="E302" s="1193"/>
      <c r="F302" s="268" t="s">
        <v>279</v>
      </c>
      <c r="G302" s="1370"/>
      <c r="H302" s="16"/>
      <c r="I302" s="16"/>
      <c r="J302" s="124"/>
      <c r="K302" s="162"/>
      <c r="L302" s="23"/>
      <c r="M302" s="1214"/>
      <c r="N302" s="86"/>
      <c r="O302" s="298"/>
      <c r="P302" s="305"/>
      <c r="Q302" s="86"/>
    </row>
    <row r="303" spans="1:18" ht="19.5" customHeight="1" x14ac:dyDescent="0.25">
      <c r="A303" s="1230"/>
      <c r="B303" s="1216"/>
      <c r="C303" s="1294"/>
      <c r="D303" s="1417"/>
      <c r="E303" s="1232"/>
      <c r="F303" s="757" t="s">
        <v>118</v>
      </c>
      <c r="G303" s="1371"/>
      <c r="H303" s="77"/>
      <c r="I303" s="77"/>
      <c r="J303" s="109"/>
      <c r="K303" s="296"/>
      <c r="L303" s="28"/>
      <c r="M303" s="1223"/>
      <c r="N303" s="87"/>
      <c r="O303" s="301"/>
      <c r="P303" s="309"/>
      <c r="Q303" s="87"/>
    </row>
    <row r="304" spans="1:18" ht="25.5" customHeight="1" x14ac:dyDescent="0.25">
      <c r="A304" s="267"/>
      <c r="B304" s="266"/>
      <c r="C304" s="269"/>
      <c r="D304" s="1415" t="s">
        <v>90</v>
      </c>
      <c r="E304" s="1192" t="s">
        <v>239</v>
      </c>
      <c r="F304" s="56" t="s">
        <v>316</v>
      </c>
      <c r="G304" s="529" t="s">
        <v>144</v>
      </c>
      <c r="H304" s="76" t="s">
        <v>21</v>
      </c>
      <c r="I304" s="435">
        <f>40+4</f>
        <v>44</v>
      </c>
      <c r="J304" s="124">
        <v>200</v>
      </c>
      <c r="K304" s="162"/>
      <c r="L304" s="23"/>
      <c r="M304" s="403" t="s">
        <v>240</v>
      </c>
      <c r="N304" s="86">
        <v>1</v>
      </c>
      <c r="O304" s="298">
        <v>1</v>
      </c>
      <c r="P304" s="305"/>
      <c r="Q304" s="86"/>
    </row>
    <row r="305" spans="1:47" ht="16" customHeight="1" x14ac:dyDescent="0.25">
      <c r="A305" s="278"/>
      <c r="B305" s="279"/>
      <c r="C305" s="269"/>
      <c r="D305" s="1416"/>
      <c r="E305" s="1193"/>
      <c r="F305" s="142" t="s">
        <v>279</v>
      </c>
      <c r="G305" s="100"/>
      <c r="H305" s="167" t="s">
        <v>48</v>
      </c>
      <c r="I305" s="167"/>
      <c r="J305" s="366">
        <v>32.200000000000003</v>
      </c>
      <c r="K305" s="295"/>
      <c r="L305" s="589"/>
      <c r="M305" s="404" t="s">
        <v>426</v>
      </c>
      <c r="N305" s="108">
        <v>1</v>
      </c>
      <c r="O305" s="332">
        <v>1</v>
      </c>
      <c r="P305" s="338"/>
      <c r="Q305" s="237"/>
    </row>
    <row r="306" spans="1:47" ht="16" customHeight="1" x14ac:dyDescent="0.25">
      <c r="A306" s="278"/>
      <c r="B306" s="279"/>
      <c r="C306" s="269"/>
      <c r="D306" s="1416"/>
      <c r="E306" s="1193"/>
      <c r="F306" s="142" t="s">
        <v>148</v>
      </c>
      <c r="G306" s="100"/>
      <c r="H306" s="16"/>
      <c r="I306" s="140"/>
      <c r="J306" s="336"/>
      <c r="K306" s="163"/>
      <c r="L306" s="633"/>
      <c r="M306" s="417" t="s">
        <v>310</v>
      </c>
      <c r="N306" s="489"/>
      <c r="O306" s="299">
        <v>5</v>
      </c>
      <c r="P306" s="306"/>
      <c r="Q306" s="86"/>
    </row>
    <row r="307" spans="1:47" ht="16" customHeight="1" x14ac:dyDescent="0.25">
      <c r="A307" s="278"/>
      <c r="B307" s="279"/>
      <c r="C307" s="269"/>
      <c r="D307" s="1416"/>
      <c r="E307" s="1193"/>
      <c r="F307" s="142"/>
      <c r="G307" s="100"/>
      <c r="H307" s="18" t="s">
        <v>21</v>
      </c>
      <c r="I307" s="167"/>
      <c r="J307" s="366">
        <v>66.400000000000006</v>
      </c>
      <c r="K307" s="162"/>
      <c r="L307" s="589"/>
      <c r="M307" s="404" t="s">
        <v>311</v>
      </c>
      <c r="N307" s="513"/>
      <c r="O307" s="511">
        <v>5</v>
      </c>
      <c r="P307" s="306"/>
      <c r="Q307" s="244"/>
    </row>
    <row r="308" spans="1:47" ht="16" customHeight="1" x14ac:dyDescent="0.25">
      <c r="A308" s="278"/>
      <c r="B308" s="279"/>
      <c r="C308" s="269"/>
      <c r="D308" s="1416"/>
      <c r="E308" s="1193"/>
      <c r="F308" s="142"/>
      <c r="G308" s="608"/>
      <c r="H308" s="167"/>
      <c r="I308" s="16"/>
      <c r="J308" s="366"/>
      <c r="K308" s="121"/>
      <c r="L308" s="589"/>
      <c r="M308" s="417" t="s">
        <v>312</v>
      </c>
      <c r="N308" s="513"/>
      <c r="O308" s="511">
        <v>2</v>
      </c>
      <c r="P308" s="514"/>
      <c r="Q308" s="244"/>
    </row>
    <row r="309" spans="1:47" ht="31.4" customHeight="1" x14ac:dyDescent="0.25">
      <c r="A309" s="278"/>
      <c r="B309" s="279"/>
      <c r="C309" s="269"/>
      <c r="D309" s="1417"/>
      <c r="E309" s="1193"/>
      <c r="F309" s="142"/>
      <c r="G309" s="530" t="s">
        <v>93</v>
      </c>
      <c r="H309" s="16" t="s">
        <v>21</v>
      </c>
      <c r="I309" s="222"/>
      <c r="J309" s="936">
        <f>31.9-11.9</f>
        <v>20</v>
      </c>
      <c r="K309" s="355">
        <v>54.6</v>
      </c>
      <c r="L309" s="23">
        <v>54.6</v>
      </c>
      <c r="M309" s="424" t="s">
        <v>271</v>
      </c>
      <c r="N309" s="513"/>
      <c r="O309" s="333">
        <v>1</v>
      </c>
      <c r="P309" s="339">
        <v>1</v>
      </c>
      <c r="Q309" s="244">
        <v>1</v>
      </c>
    </row>
    <row r="310" spans="1:47" ht="15" customHeight="1" x14ac:dyDescent="0.25">
      <c r="A310" s="539"/>
      <c r="B310" s="533"/>
      <c r="C310" s="269"/>
      <c r="D310" s="1358" t="s">
        <v>133</v>
      </c>
      <c r="E310" s="1186" t="s">
        <v>429</v>
      </c>
      <c r="F310" s="797" t="s">
        <v>277</v>
      </c>
      <c r="G310" s="1369" t="s">
        <v>93</v>
      </c>
      <c r="H310" s="435" t="s">
        <v>55</v>
      </c>
      <c r="I310" s="690"/>
      <c r="J310" s="124">
        <v>67.099999999999994</v>
      </c>
      <c r="K310" s="137"/>
      <c r="L310" s="312"/>
      <c r="M310" s="419" t="s">
        <v>39</v>
      </c>
      <c r="N310" s="476"/>
      <c r="O310" s="609">
        <v>1</v>
      </c>
      <c r="P310" s="610"/>
      <c r="Q310" s="611"/>
    </row>
    <row r="311" spans="1:47" ht="16.5" customHeight="1" x14ac:dyDescent="0.25">
      <c r="A311" s="539"/>
      <c r="B311" s="533"/>
      <c r="C311" s="269"/>
      <c r="D311" s="1359"/>
      <c r="E311" s="1187"/>
      <c r="F311" s="959" t="s">
        <v>40</v>
      </c>
      <c r="G311" s="1370"/>
      <c r="H311" s="16" t="s">
        <v>55</v>
      </c>
      <c r="I311" s="691"/>
      <c r="J311" s="350"/>
      <c r="K311" s="295">
        <v>622.1</v>
      </c>
      <c r="L311" s="588">
        <v>539.4</v>
      </c>
      <c r="M311" s="454" t="s">
        <v>307</v>
      </c>
      <c r="N311" s="613"/>
      <c r="O311" s="612"/>
      <c r="P311" s="614">
        <v>50</v>
      </c>
      <c r="Q311" s="615">
        <v>100</v>
      </c>
    </row>
    <row r="312" spans="1:47" ht="16" customHeight="1" x14ac:dyDescent="0.25">
      <c r="A312" s="539"/>
      <c r="B312" s="533"/>
      <c r="C312" s="269"/>
      <c r="D312" s="1359"/>
      <c r="E312" s="1187"/>
      <c r="F312" s="130" t="s">
        <v>148</v>
      </c>
      <c r="G312" s="813"/>
      <c r="H312" s="18" t="s">
        <v>21</v>
      </c>
      <c r="I312" s="786"/>
      <c r="J312" s="787"/>
      <c r="K312" s="296">
        <v>257.89999999999998</v>
      </c>
      <c r="L312" s="634">
        <v>340.6</v>
      </c>
      <c r="M312" s="814"/>
      <c r="N312" s="741"/>
      <c r="O312" s="298"/>
      <c r="P312" s="305"/>
      <c r="Q312" s="644"/>
    </row>
    <row r="313" spans="1:47" ht="15" customHeight="1" thickBot="1" x14ac:dyDescent="0.3">
      <c r="A313" s="17"/>
      <c r="B313" s="64"/>
      <c r="C313" s="49"/>
      <c r="D313" s="827"/>
      <c r="E313" s="828"/>
      <c r="F313" s="825"/>
      <c r="G313" s="826"/>
      <c r="H313" s="138" t="s">
        <v>4</v>
      </c>
      <c r="I313" s="27">
        <f>SUM(I269:I312)</f>
        <v>1853.8</v>
      </c>
      <c r="J313" s="463">
        <f>SUM(J269:J312)</f>
        <v>3616.1</v>
      </c>
      <c r="K313" s="123">
        <f>SUM(K269:K312)</f>
        <v>1227.0999999999999</v>
      </c>
      <c r="L313" s="460">
        <f>SUM(L269:L312)</f>
        <v>1227.0999999999999</v>
      </c>
      <c r="M313" s="413"/>
      <c r="N313" s="829"/>
      <c r="O313" s="512"/>
      <c r="P313" s="402"/>
      <c r="Q313" s="830"/>
    </row>
    <row r="314" spans="1:47" ht="15" customHeight="1" thickBot="1" x14ac:dyDescent="0.3">
      <c r="A314" s="21" t="s">
        <v>3</v>
      </c>
      <c r="B314" s="20" t="s">
        <v>24</v>
      </c>
      <c r="C314" s="1246" t="s">
        <v>6</v>
      </c>
      <c r="D314" s="1246"/>
      <c r="E314" s="1246"/>
      <c r="F314" s="1246"/>
      <c r="G314" s="1246"/>
      <c r="H314" s="1247"/>
      <c r="I314" s="415">
        <f>I313+I267</f>
        <v>3651.3</v>
      </c>
      <c r="J314" s="468">
        <f>J313+J267</f>
        <v>5565.9</v>
      </c>
      <c r="K314" s="64">
        <f>K313+K267</f>
        <v>3791.3</v>
      </c>
      <c r="L314" s="467">
        <f>L313+L267</f>
        <v>3662.4</v>
      </c>
      <c r="M314" s="1248"/>
      <c r="N314" s="1249"/>
      <c r="O314" s="1249"/>
      <c r="P314" s="1249"/>
      <c r="Q314" s="1250"/>
    </row>
    <row r="315" spans="1:47" ht="15" customHeight="1" thickBot="1" x14ac:dyDescent="0.3">
      <c r="A315" s="21" t="s">
        <v>3</v>
      </c>
      <c r="B315" s="1311" t="s">
        <v>7</v>
      </c>
      <c r="C315" s="1312"/>
      <c r="D315" s="1312"/>
      <c r="E315" s="1312"/>
      <c r="F315" s="1312"/>
      <c r="G315" s="1312"/>
      <c r="H315" s="1313"/>
      <c r="I315" s="169">
        <f>I314+I239+I188</f>
        <v>34746</v>
      </c>
      <c r="J315" s="19">
        <f>J314+J239+J188</f>
        <v>44505.1</v>
      </c>
      <c r="K315" s="386">
        <f>K314+K239+K188</f>
        <v>36949.5</v>
      </c>
      <c r="L315" s="384">
        <f>L314+L239+L188</f>
        <v>26904</v>
      </c>
      <c r="M315" s="1314"/>
      <c r="N315" s="1315"/>
      <c r="O315" s="1315"/>
      <c r="P315" s="1315"/>
      <c r="Q315" s="1316"/>
    </row>
    <row r="316" spans="1:47" ht="15" customHeight="1" thickBot="1" x14ac:dyDescent="0.3">
      <c r="A316" s="24" t="s">
        <v>30</v>
      </c>
      <c r="B316" s="1317" t="s">
        <v>46</v>
      </c>
      <c r="C316" s="1318"/>
      <c r="D316" s="1318"/>
      <c r="E316" s="1318"/>
      <c r="F316" s="1318"/>
      <c r="G316" s="1318"/>
      <c r="H316" s="1319"/>
      <c r="I316" s="170">
        <f>SUM(I315)</f>
        <v>34746</v>
      </c>
      <c r="J316" s="24">
        <f t="shared" ref="J316:L316" si="2">SUM(J315)</f>
        <v>44505.1</v>
      </c>
      <c r="K316" s="387">
        <f t="shared" si="2"/>
        <v>36949.5</v>
      </c>
      <c r="L316" s="385">
        <f t="shared" si="2"/>
        <v>26904</v>
      </c>
      <c r="M316" s="1320"/>
      <c r="N316" s="1321"/>
      <c r="O316" s="1321"/>
      <c r="P316" s="1321"/>
      <c r="Q316" s="1322"/>
    </row>
    <row r="317" spans="1:47" s="260" customFormat="1" ht="13.5" customHeight="1" x14ac:dyDescent="0.25">
      <c r="A317" s="1301" t="s">
        <v>415</v>
      </c>
      <c r="B317" s="1301"/>
      <c r="C317" s="1301"/>
      <c r="D317" s="1301"/>
      <c r="E317" s="1301"/>
      <c r="F317" s="1301"/>
      <c r="G317" s="1301"/>
      <c r="H317" s="1301"/>
      <c r="I317" s="1301"/>
      <c r="J317" s="1301"/>
      <c r="K317" s="1301"/>
      <c r="L317" s="1301"/>
      <c r="M317" s="1301"/>
      <c r="N317" s="1301"/>
      <c r="O317" s="458"/>
      <c r="P317" s="458"/>
      <c r="Q317" s="458"/>
      <c r="S317" s="259"/>
    </row>
    <row r="318" spans="1:47" s="470" customFormat="1" ht="46" customHeight="1" x14ac:dyDescent="0.25">
      <c r="A318" s="1357" t="s">
        <v>416</v>
      </c>
      <c r="B318" s="1357"/>
      <c r="C318" s="1357"/>
      <c r="D318" s="1357"/>
      <c r="E318" s="1357"/>
      <c r="F318" s="1357"/>
      <c r="G318" s="1357"/>
      <c r="H318" s="1357"/>
      <c r="I318" s="1357"/>
      <c r="J318" s="1357"/>
      <c r="K318" s="1357"/>
      <c r="L318" s="1357"/>
      <c r="M318" s="1357"/>
      <c r="N318" s="1357"/>
      <c r="O318" s="1357"/>
      <c r="P318" s="1357"/>
      <c r="Q318" s="1357"/>
      <c r="R318" s="469"/>
      <c r="S318" s="469"/>
      <c r="T318" s="469"/>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14.25" customHeight="1" x14ac:dyDescent="0.25">
      <c r="A319" s="136"/>
      <c r="B319" s="136"/>
      <c r="C319" s="136"/>
      <c r="D319" s="136"/>
      <c r="E319" s="136"/>
      <c r="F319" s="136"/>
      <c r="G319" s="136"/>
      <c r="H319" s="136"/>
      <c r="I319" s="25"/>
      <c r="J319" s="25"/>
      <c r="K319" s="25"/>
      <c r="L319" s="25"/>
      <c r="M319" s="25"/>
      <c r="N319" s="25"/>
      <c r="O319" s="25"/>
      <c r="P319" s="25"/>
      <c r="Q319" s="25"/>
    </row>
    <row r="320" spans="1:47" s="5" customFormat="1" ht="15" customHeight="1" thickBot="1" x14ac:dyDescent="0.3">
      <c r="A320" s="1323" t="s">
        <v>10</v>
      </c>
      <c r="B320" s="1323"/>
      <c r="C320" s="1323"/>
      <c r="D320" s="1323"/>
      <c r="E320" s="1323"/>
      <c r="F320" s="1323"/>
      <c r="G320" s="1323"/>
      <c r="H320" s="1323"/>
      <c r="I320" s="1323"/>
      <c r="J320" s="286"/>
      <c r="K320" s="286"/>
      <c r="L320" s="286"/>
      <c r="M320" s="25"/>
      <c r="N320" s="25"/>
      <c r="O320" s="25"/>
      <c r="P320" s="25"/>
      <c r="Q320" s="25"/>
      <c r="R320" s="1"/>
      <c r="S320" s="1"/>
      <c r="T320" s="1"/>
      <c r="U320" s="1"/>
      <c r="V320" s="1"/>
      <c r="W320" s="1"/>
      <c r="X320" s="1"/>
      <c r="Y320" s="1"/>
      <c r="Z320" s="1"/>
      <c r="AA320" s="1"/>
      <c r="AB320" s="1"/>
      <c r="AC320" s="1"/>
      <c r="AD320" s="1"/>
      <c r="AE320" s="1"/>
      <c r="AF320" s="1"/>
      <c r="AG320" s="1"/>
      <c r="AH320" s="1"/>
      <c r="AI320" s="1"/>
      <c r="AJ320" s="1"/>
      <c r="AK320" s="1"/>
    </row>
    <row r="321" spans="1:17" ht="81" customHeight="1" thickBot="1" x14ac:dyDescent="0.3">
      <c r="A321" s="1302" t="s">
        <v>8</v>
      </c>
      <c r="B321" s="1303"/>
      <c r="C321" s="1303"/>
      <c r="D321" s="1303"/>
      <c r="E321" s="1303"/>
      <c r="F321" s="1303"/>
      <c r="G321" s="1303"/>
      <c r="H321" s="1304"/>
      <c r="I321" s="471" t="s">
        <v>252</v>
      </c>
      <c r="J321" s="472" t="s">
        <v>248</v>
      </c>
      <c r="K321" s="473" t="s">
        <v>414</v>
      </c>
      <c r="L321" s="474" t="s">
        <v>250</v>
      </c>
      <c r="M321" s="10"/>
      <c r="N321" s="10"/>
      <c r="O321" s="10"/>
      <c r="P321" s="10"/>
      <c r="Q321" s="10"/>
    </row>
    <row r="322" spans="1:17" ht="14.25" customHeight="1" x14ac:dyDescent="0.25">
      <c r="A322" s="1305" t="s">
        <v>11</v>
      </c>
      <c r="B322" s="1306"/>
      <c r="C322" s="1306"/>
      <c r="D322" s="1306"/>
      <c r="E322" s="1306"/>
      <c r="F322" s="1306"/>
      <c r="G322" s="1306"/>
      <c r="H322" s="1307"/>
      <c r="I322" s="58">
        <f>I323+I336+I337+I338+I334+I335</f>
        <v>32038</v>
      </c>
      <c r="J322" s="58">
        <f>J323+J336+J337+J338+J334+J335</f>
        <v>39863.800000000003</v>
      </c>
      <c r="K322" s="58">
        <f>K323+K336+K337+K338+K334+K335</f>
        <v>27747.5</v>
      </c>
      <c r="L322" s="58">
        <f>L323+L336+L337+L338+L334+L335</f>
        <v>25354.6</v>
      </c>
      <c r="M322" s="10"/>
      <c r="N322" s="10"/>
      <c r="O322" s="10"/>
      <c r="P322" s="10"/>
      <c r="Q322" s="10"/>
    </row>
    <row r="323" spans="1:17" ht="16.5" customHeight="1" x14ac:dyDescent="0.25">
      <c r="A323" s="1308" t="s">
        <v>60</v>
      </c>
      <c r="B323" s="1309"/>
      <c r="C323" s="1309"/>
      <c r="D323" s="1309"/>
      <c r="E323" s="1309"/>
      <c r="F323" s="1309"/>
      <c r="G323" s="1309"/>
      <c r="H323" s="1310"/>
      <c r="I323" s="57">
        <f>SUM(I324:I333)</f>
        <v>29907.1</v>
      </c>
      <c r="J323" s="57">
        <f>SUM(J324:J333)</f>
        <v>34377.699999999997</v>
      </c>
      <c r="K323" s="57">
        <f>SUM(K324:K333)</f>
        <v>27747.5</v>
      </c>
      <c r="L323" s="57">
        <f>SUM(L324:L333)</f>
        <v>25354.6</v>
      </c>
      <c r="M323" s="10"/>
      <c r="N323" s="10"/>
      <c r="O323" s="10"/>
      <c r="P323" s="10"/>
      <c r="Q323" s="10"/>
    </row>
    <row r="324" spans="1:17" ht="14.25" customHeight="1" x14ac:dyDescent="0.25">
      <c r="A324" s="1354" t="s">
        <v>16</v>
      </c>
      <c r="B324" s="1355"/>
      <c r="C324" s="1355"/>
      <c r="D324" s="1355"/>
      <c r="E324" s="1355"/>
      <c r="F324" s="1355"/>
      <c r="G324" s="1355"/>
      <c r="H324" s="1356"/>
      <c r="I324" s="77">
        <f>SUMIF(H17:H316,"SB",I17:I316)</f>
        <v>10728.7</v>
      </c>
      <c r="J324" s="77">
        <f>SUMIF(H17:H316,"SB",J17:J316)</f>
        <v>9888.4</v>
      </c>
      <c r="K324" s="77">
        <f>SUMIF(H17:H316,"SB",K17:K316)</f>
        <v>15719.9</v>
      </c>
      <c r="L324" s="77">
        <f>SUMIF(H17:H316,"SB",L17:L316)</f>
        <v>14059</v>
      </c>
      <c r="M324" s="13"/>
      <c r="N324" s="10"/>
      <c r="O324" s="10"/>
      <c r="P324" s="10"/>
      <c r="Q324" s="10"/>
    </row>
    <row r="325" spans="1:17" ht="14.25" customHeight="1" x14ac:dyDescent="0.25">
      <c r="A325" s="1298" t="s">
        <v>329</v>
      </c>
      <c r="B325" s="1299"/>
      <c r="C325" s="1299"/>
      <c r="D325" s="1299"/>
      <c r="E325" s="1299"/>
      <c r="F325" s="1299"/>
      <c r="G325" s="1299"/>
      <c r="H325" s="1300"/>
      <c r="I325" s="77">
        <f>SUMIF(H17:H316,"SB(ŽP)",I17:I316)</f>
        <v>830.5</v>
      </c>
      <c r="J325" s="77">
        <f>SUMIF(H17:H316,"SB(ŽP)",J17:J316)</f>
        <v>837.2</v>
      </c>
      <c r="K325" s="77">
        <f>SUMIF(H17:H316,"SB(ŽP)",K17:K316)</f>
        <v>207.5</v>
      </c>
      <c r="L325" s="77">
        <f>SUMIF(H17:H316,"SB(ŽP)",L17:L316)</f>
        <v>881.3</v>
      </c>
      <c r="M325" s="13"/>
      <c r="N325" s="10"/>
      <c r="O325" s="10"/>
      <c r="P325" s="10"/>
      <c r="Q325" s="10"/>
    </row>
    <row r="326" spans="1:17" ht="14.25" customHeight="1" x14ac:dyDescent="0.25">
      <c r="A326" s="1298" t="s">
        <v>213</v>
      </c>
      <c r="B326" s="1299"/>
      <c r="C326" s="1299"/>
      <c r="D326" s="1299"/>
      <c r="E326" s="1299"/>
      <c r="F326" s="1299"/>
      <c r="G326" s="1299"/>
      <c r="H326" s="1300"/>
      <c r="I326" s="77">
        <f>SUMIF(H17:H316,"SB(P)",I17:I316)</f>
        <v>422.4</v>
      </c>
      <c r="J326" s="77">
        <f>SUMIF(H17:H316,"SB(P)",J17:J316)</f>
        <v>0</v>
      </c>
      <c r="K326" s="77">
        <f>SUMIF(H17:H316,"SB(P)",K17:K316)</f>
        <v>0</v>
      </c>
      <c r="L326" s="77">
        <f>SUMIF(H17:H316,"SB(P)",L17:L316)</f>
        <v>0</v>
      </c>
      <c r="M326" s="13"/>
      <c r="N326" s="10"/>
      <c r="O326" s="10"/>
      <c r="P326" s="10"/>
      <c r="Q326" s="10"/>
    </row>
    <row r="327" spans="1:17" ht="14.25" customHeight="1" x14ac:dyDescent="0.25">
      <c r="A327" s="1298" t="s">
        <v>217</v>
      </c>
      <c r="B327" s="1299"/>
      <c r="C327" s="1299"/>
      <c r="D327" s="1299"/>
      <c r="E327" s="1299"/>
      <c r="F327" s="1299"/>
      <c r="G327" s="1299"/>
      <c r="H327" s="1300"/>
      <c r="I327" s="77">
        <f>SUMIF(H17:H316,"SB(K)",I17:I316)</f>
        <v>427.9</v>
      </c>
      <c r="J327" s="77">
        <f>SUMIF(H17:H316,"SB(K)",J17:J316)</f>
        <v>0</v>
      </c>
      <c r="K327" s="77">
        <f>SUMIF(H17:H316,"SB(K)",K17:K316)</f>
        <v>0</v>
      </c>
      <c r="L327" s="77">
        <f>SUMIF(H17:H316,"SB(K)",L17:L316)</f>
        <v>0</v>
      </c>
      <c r="M327" s="13"/>
      <c r="N327" s="10"/>
      <c r="O327" s="10"/>
      <c r="P327" s="10"/>
      <c r="Q327" s="10"/>
    </row>
    <row r="328" spans="1:17" ht="14.25" customHeight="1" x14ac:dyDescent="0.25">
      <c r="A328" s="1324" t="s">
        <v>56</v>
      </c>
      <c r="B328" s="1325"/>
      <c r="C328" s="1325"/>
      <c r="D328" s="1325"/>
      <c r="E328" s="1325"/>
      <c r="F328" s="1325"/>
      <c r="G328" s="1325"/>
      <c r="H328" s="1326"/>
      <c r="I328" s="77">
        <f>SUMIF(H17:H316,"SB(VR)",I17:I316)</f>
        <v>2074.5</v>
      </c>
      <c r="J328" s="77">
        <f>SUMIF(H17:H316,"SB(VR)",J17:J316)</f>
        <v>2324</v>
      </c>
      <c r="K328" s="77">
        <f>SUMIF(H17:H316,"SB(VR)",K17:K316)</f>
        <v>2349</v>
      </c>
      <c r="L328" s="77">
        <f>SUMIF(H17:H316,"SB(VR)",L17:L316)</f>
        <v>2365</v>
      </c>
      <c r="M328" s="10"/>
      <c r="N328" s="10"/>
      <c r="O328" s="10"/>
      <c r="P328" s="10"/>
      <c r="Q328" s="10"/>
    </row>
    <row r="329" spans="1:17" ht="14.25" customHeight="1" x14ac:dyDescent="0.25">
      <c r="A329" s="1298" t="s">
        <v>215</v>
      </c>
      <c r="B329" s="1299"/>
      <c r="C329" s="1299"/>
      <c r="D329" s="1299"/>
      <c r="E329" s="1299"/>
      <c r="F329" s="1299"/>
      <c r="G329" s="1299"/>
      <c r="H329" s="1300"/>
      <c r="I329" s="77">
        <f>SUMIF(H17:H316,"SB(SPI)",I17:I316)</f>
        <v>150</v>
      </c>
      <c r="J329" s="77">
        <f>SUMIF(H17:H316,"SB(SPI)",J17:J316)</f>
        <v>0</v>
      </c>
      <c r="K329" s="77">
        <f>SUMIF(H17:H316,"SB(SPI)",K17:K316)</f>
        <v>0</v>
      </c>
      <c r="L329" s="77">
        <f>SUMIF(H17:H316,"SB(SPI)",L17:L316)</f>
        <v>0</v>
      </c>
      <c r="M329" s="10"/>
      <c r="N329" s="10"/>
      <c r="O329" s="10"/>
      <c r="P329" s="10"/>
      <c r="Q329" s="10"/>
    </row>
    <row r="330" spans="1:17" ht="14.25" customHeight="1" x14ac:dyDescent="0.25">
      <c r="A330" s="1346" t="s">
        <v>417</v>
      </c>
      <c r="B330" s="1347"/>
      <c r="C330" s="1347"/>
      <c r="D330" s="1347"/>
      <c r="E330" s="1347"/>
      <c r="F330" s="1347"/>
      <c r="G330" s="1347"/>
      <c r="H330" s="1348"/>
      <c r="I330" s="14">
        <f>SUMIF(H17:H316,"SB(ES)",I17:I316)</f>
        <v>586.1</v>
      </c>
      <c r="J330" s="14">
        <f>SUMIF(H17:H316,"SB(ES)",J17:J316)</f>
        <v>1050.5999999999999</v>
      </c>
      <c r="K330" s="14">
        <f>SUMIF(H17:H316,"SB(ES)",K17:K316)</f>
        <v>430.2</v>
      </c>
      <c r="L330" s="14">
        <f>SUMIF(H17:H316,"SB(ES)",L17:L316)</f>
        <v>0</v>
      </c>
      <c r="M330" s="10"/>
      <c r="N330" s="10"/>
      <c r="O330" s="10"/>
      <c r="P330" s="10"/>
      <c r="Q330" s="10"/>
    </row>
    <row r="331" spans="1:17" ht="14.25" customHeight="1" x14ac:dyDescent="0.25">
      <c r="A331" s="1346" t="s">
        <v>101</v>
      </c>
      <c r="B331" s="1347"/>
      <c r="C331" s="1347"/>
      <c r="D331" s="1347"/>
      <c r="E331" s="1347"/>
      <c r="F331" s="1347"/>
      <c r="G331" s="1347"/>
      <c r="H331" s="1348"/>
      <c r="I331" s="14">
        <f>SUMIF(H17:H316,"SB(VB)",I17:I316)</f>
        <v>9504.2000000000007</v>
      </c>
      <c r="J331" s="14">
        <f>SUMIF(H17:H316,"SB(VB)",J17:J316)</f>
        <v>14208</v>
      </c>
      <c r="K331" s="14">
        <f>SUMIF(H17:H316,"SB(VB)",K17:K316)</f>
        <v>2983.6</v>
      </c>
      <c r="L331" s="14">
        <f>SUMIF(H17:H316,"SB(VB)",L17:L316)</f>
        <v>0</v>
      </c>
      <c r="M331" s="10"/>
      <c r="N331" s="10"/>
      <c r="O331" s="10"/>
      <c r="P331" s="10"/>
      <c r="Q331" s="10"/>
    </row>
    <row r="332" spans="1:17" ht="15.75" customHeight="1" x14ac:dyDescent="0.25">
      <c r="A332" s="1298" t="s">
        <v>418</v>
      </c>
      <c r="B332" s="1299"/>
      <c r="C332" s="1299"/>
      <c r="D332" s="1299"/>
      <c r="E332" s="1299"/>
      <c r="F332" s="1299"/>
      <c r="G332" s="1299"/>
      <c r="H332" s="1300"/>
      <c r="I332" s="14">
        <f>SUMIF(H17:H316,"SB(KPP)",I17:I316)</f>
        <v>5154.2</v>
      </c>
      <c r="J332" s="14">
        <f>SUMIF(H17:H316,"SB(KPP)",J17:J316)</f>
        <v>6056.3</v>
      </c>
      <c r="K332" s="14">
        <f>SUMIF(H17:H316,"SB(KPP)",K17:K316)</f>
        <v>6057.3</v>
      </c>
      <c r="L332" s="14">
        <f>SUMIF(H17:H316,"SB(KPP)",L17:L316)</f>
        <v>8049.3</v>
      </c>
      <c r="M332" s="10"/>
      <c r="N332" s="10"/>
      <c r="O332" s="10"/>
      <c r="P332" s="10"/>
      <c r="Q332" s="10"/>
    </row>
    <row r="333" spans="1:17" ht="27" customHeight="1" x14ac:dyDescent="0.25">
      <c r="A333" s="1298" t="s">
        <v>151</v>
      </c>
      <c r="B333" s="1299"/>
      <c r="C333" s="1299"/>
      <c r="D333" s="1299"/>
      <c r="E333" s="1299"/>
      <c r="F333" s="1299"/>
      <c r="G333" s="1299"/>
      <c r="H333" s="1300"/>
      <c r="I333" s="14">
        <f>SUMIF(H17:H316,"SB(ESA)",I17:I316)</f>
        <v>28.6</v>
      </c>
      <c r="J333" s="14">
        <f>SUMIF(H17:H316,"SB(ESA)",J17:J316)</f>
        <v>13.2</v>
      </c>
      <c r="K333" s="14">
        <f>SUMIF(H17:H316,"SB(ESA)",K17:K316)</f>
        <v>0</v>
      </c>
      <c r="L333" s="14">
        <f>SUMIF(H17:H316,"SB(ESA)",L17:L316)</f>
        <v>0</v>
      </c>
      <c r="M333" s="10"/>
      <c r="N333" s="10"/>
      <c r="O333" s="10"/>
      <c r="P333" s="10"/>
      <c r="Q333" s="10"/>
    </row>
    <row r="334" spans="1:17" ht="15.75" customHeight="1" x14ac:dyDescent="0.25">
      <c r="A334" s="1339" t="s">
        <v>114</v>
      </c>
      <c r="B334" s="1352"/>
      <c r="C334" s="1352"/>
      <c r="D334" s="1352"/>
      <c r="E334" s="1352"/>
      <c r="F334" s="1352"/>
      <c r="G334" s="1352"/>
      <c r="H334" s="1353"/>
      <c r="I334" s="38">
        <f>SUMIF(H17:H316,"KPP",I17:I316)</f>
        <v>0</v>
      </c>
      <c r="J334" s="38">
        <f>SUMIF(H17:H316,"KPP",J17:J316)</f>
        <v>0</v>
      </c>
      <c r="K334" s="38">
        <f>SUMIF(H17:H316,"KPP",K17:K316)</f>
        <v>0</v>
      </c>
      <c r="L334" s="38">
        <f>SUMIF(H17:H316,"KPP",L17:L316)</f>
        <v>0</v>
      </c>
      <c r="M334" s="10"/>
      <c r="N334" s="10"/>
      <c r="O334" s="10"/>
      <c r="P334" s="10"/>
      <c r="Q334" s="10"/>
    </row>
    <row r="335" spans="1:17" ht="15.75" customHeight="1" x14ac:dyDescent="0.25">
      <c r="A335" s="1339" t="s">
        <v>211</v>
      </c>
      <c r="B335" s="1352"/>
      <c r="C335" s="1352"/>
      <c r="D335" s="1352"/>
      <c r="E335" s="1352"/>
      <c r="F335" s="1352"/>
      <c r="G335" s="1352"/>
      <c r="H335" s="1353"/>
      <c r="I335" s="38">
        <f>SUMIF(H17:H316,"SB(ESL)",I17:I316)</f>
        <v>59.5</v>
      </c>
      <c r="J335" s="38">
        <f>SUMIF(H17:H316,"SB(ESL)",J17:J316)</f>
        <v>80.8</v>
      </c>
      <c r="K335" s="38">
        <f>SUMIF(H17:H316,"SB(ESL)",K17:K316)</f>
        <v>0</v>
      </c>
      <c r="L335" s="38">
        <f>SUMIF(H17:H316,"SB(ESL)",L17:L316)</f>
        <v>0</v>
      </c>
      <c r="M335" s="10"/>
      <c r="N335" s="10"/>
      <c r="O335" s="10"/>
      <c r="P335" s="10"/>
      <c r="Q335" s="10"/>
    </row>
    <row r="336" spans="1:17" ht="14.25" customHeight="1" x14ac:dyDescent="0.25">
      <c r="A336" s="1336" t="s">
        <v>62</v>
      </c>
      <c r="B336" s="1337"/>
      <c r="C336" s="1337"/>
      <c r="D336" s="1337"/>
      <c r="E336" s="1337"/>
      <c r="F336" s="1337"/>
      <c r="G336" s="1337"/>
      <c r="H336" s="1338"/>
      <c r="I336" s="38">
        <f>SUMIF(H17:H316,"SB(VRL)",I17:I316)</f>
        <v>427.7</v>
      </c>
      <c r="J336" s="38">
        <f>SUMIF(H17:H316,"SB(VRL)",J17:J316)</f>
        <v>644.9</v>
      </c>
      <c r="K336" s="38">
        <f>SUMIF(H17:H316,"SB(VRL)",K17:K316)</f>
        <v>0</v>
      </c>
      <c r="L336" s="38">
        <f>SUMIF(H17:H316,"SB(VRL)",L17:L316)</f>
        <v>0</v>
      </c>
      <c r="M336" s="10"/>
      <c r="N336" s="10"/>
      <c r="O336" s="10"/>
      <c r="P336" s="10"/>
      <c r="Q336" s="10"/>
    </row>
    <row r="337" spans="1:17" ht="14.25" customHeight="1" x14ac:dyDescent="0.25">
      <c r="A337" s="1339" t="s">
        <v>63</v>
      </c>
      <c r="B337" s="1337"/>
      <c r="C337" s="1337"/>
      <c r="D337" s="1337"/>
      <c r="E337" s="1337"/>
      <c r="F337" s="1337"/>
      <c r="G337" s="1337"/>
      <c r="H337" s="1338"/>
      <c r="I337" s="38">
        <f>SUMIF(H17:H316,"SB(ŽPL)",I17:I316)</f>
        <v>5.7</v>
      </c>
      <c r="J337" s="38">
        <f>SUMIF(H17:H316,"SB(ŽPL)",J17:J316)</f>
        <v>1016</v>
      </c>
      <c r="K337" s="38">
        <f>SUMIF(H17:H316,"SB(ŽPL)",K17:K316)</f>
        <v>0</v>
      </c>
      <c r="L337" s="38">
        <f>SUMIF(H17:H316,"SB(ŽPL)",L17:L316)</f>
        <v>0</v>
      </c>
      <c r="M337" s="10"/>
      <c r="N337" s="10"/>
      <c r="O337" s="10"/>
      <c r="P337" s="10"/>
      <c r="Q337" s="10"/>
    </row>
    <row r="338" spans="1:17" ht="14.25" customHeight="1" x14ac:dyDescent="0.25">
      <c r="A338" s="1340" t="s">
        <v>85</v>
      </c>
      <c r="B338" s="1341"/>
      <c r="C338" s="1341"/>
      <c r="D338" s="1341"/>
      <c r="E338" s="1341"/>
      <c r="F338" s="1341"/>
      <c r="G338" s="1341"/>
      <c r="H338" s="1342"/>
      <c r="I338" s="38">
        <f>SUMIF(H17:H316,"SB(L)",I17:I316)</f>
        <v>1638</v>
      </c>
      <c r="J338" s="38">
        <f>SUMIF(H17:H316,"SB(L)",J17:J316)</f>
        <v>3744.4</v>
      </c>
      <c r="K338" s="38">
        <f>SUMIF(H17:H316,"SB(L)",K17:K316)</f>
        <v>0</v>
      </c>
      <c r="L338" s="38">
        <f>SUMIF(H17:H316,"SB(L)",L17:L316)</f>
        <v>0</v>
      </c>
      <c r="M338" s="10"/>
      <c r="N338" s="10"/>
      <c r="O338" s="10"/>
      <c r="P338" s="10"/>
      <c r="Q338" s="10"/>
    </row>
    <row r="339" spans="1:17" ht="14.25" customHeight="1" x14ac:dyDescent="0.25">
      <c r="A339" s="1343" t="s">
        <v>12</v>
      </c>
      <c r="B339" s="1344"/>
      <c r="C339" s="1344"/>
      <c r="D339" s="1344"/>
      <c r="E339" s="1344"/>
      <c r="F339" s="1344"/>
      <c r="G339" s="1344"/>
      <c r="H339" s="1345"/>
      <c r="I339" s="39">
        <f t="shared" ref="I339:L339" si="3">I341+I342+I343+I340</f>
        <v>2708</v>
      </c>
      <c r="J339" s="39">
        <f t="shared" ref="J339:K339" si="4">J341+J342+J343+J340</f>
        <v>4641.3</v>
      </c>
      <c r="K339" s="39">
        <f t="shared" si="4"/>
        <v>9202</v>
      </c>
      <c r="L339" s="39">
        <f t="shared" si="3"/>
        <v>1549.4</v>
      </c>
      <c r="M339" s="10"/>
      <c r="N339" s="10"/>
      <c r="O339" s="10"/>
      <c r="P339" s="10"/>
      <c r="Q339" s="10"/>
    </row>
    <row r="340" spans="1:17" ht="14.25" customHeight="1" x14ac:dyDescent="0.25">
      <c r="A340" s="1346" t="s">
        <v>17</v>
      </c>
      <c r="B340" s="1347"/>
      <c r="C340" s="1347"/>
      <c r="D340" s="1347"/>
      <c r="E340" s="1347"/>
      <c r="F340" s="1347"/>
      <c r="G340" s="1347"/>
      <c r="H340" s="1348"/>
      <c r="I340" s="14">
        <f>SUMIF(H17:H316,"ES",I17:I316)</f>
        <v>114.8</v>
      </c>
      <c r="J340" s="14">
        <f>SUMIF(H17:H316,"ES",J17:J316)</f>
        <v>603.6</v>
      </c>
      <c r="K340" s="14">
        <f>SUMIF(H17:H316,"ES",K17:K316)</f>
        <v>2975</v>
      </c>
      <c r="L340" s="14">
        <f>SUMIF(H17:H316,"ES",L17:L316)</f>
        <v>0</v>
      </c>
      <c r="M340" s="10"/>
      <c r="N340" s="10"/>
      <c r="O340" s="10"/>
      <c r="P340" s="10"/>
      <c r="Q340" s="10"/>
    </row>
    <row r="341" spans="1:17" ht="14.25" customHeight="1" x14ac:dyDescent="0.25">
      <c r="A341" s="1349" t="s">
        <v>18</v>
      </c>
      <c r="B341" s="1350"/>
      <c r="C341" s="1350"/>
      <c r="D341" s="1350"/>
      <c r="E341" s="1350"/>
      <c r="F341" s="1350"/>
      <c r="G341" s="1350"/>
      <c r="H341" s="1351"/>
      <c r="I341" s="14">
        <f>SUMIF(H17:H316,"KVJUD",I17:I316)</f>
        <v>900</v>
      </c>
      <c r="J341" s="14">
        <f>SUMIF(H17:H316,"KVJUD",J17:J316)</f>
        <v>1800</v>
      </c>
      <c r="K341" s="14">
        <f>SUMIF(H17:H316,"KVJUD",K17:K316)</f>
        <v>1800</v>
      </c>
      <c r="L341" s="14">
        <f>SUMIF(H17:H316,"KVJUD",L17:L316)</f>
        <v>1500</v>
      </c>
      <c r="M341" s="13"/>
      <c r="N341" s="13"/>
      <c r="O341" s="13"/>
      <c r="P341" s="13"/>
      <c r="Q341" s="13"/>
    </row>
    <row r="342" spans="1:17" ht="14.25" customHeight="1" x14ac:dyDescent="0.25">
      <c r="A342" s="1324" t="s">
        <v>19</v>
      </c>
      <c r="B342" s="1325"/>
      <c r="C342" s="1325"/>
      <c r="D342" s="1325"/>
      <c r="E342" s="1325"/>
      <c r="F342" s="1325"/>
      <c r="G342" s="1325"/>
      <c r="H342" s="1326"/>
      <c r="I342" s="14">
        <f>SUMIF(H17:H316,"LRVB",I17:I316)</f>
        <v>1500</v>
      </c>
      <c r="J342" s="14">
        <f>SUMIF(H17:H316,"LRVB",J17:J316)</f>
        <v>1597.1</v>
      </c>
      <c r="K342" s="14">
        <f>SUMIF(H17:H316,"LRVB",K17:K316)</f>
        <v>4427</v>
      </c>
      <c r="L342" s="14">
        <f>SUMIF(H17:H316,"LRVB",L17:L316)</f>
        <v>0</v>
      </c>
      <c r="M342" s="13"/>
      <c r="N342" s="13"/>
      <c r="O342" s="13"/>
      <c r="P342" s="13"/>
      <c r="Q342" s="13"/>
    </row>
    <row r="343" spans="1:17" ht="14.25" customHeight="1" x14ac:dyDescent="0.25">
      <c r="A343" s="1327" t="s">
        <v>20</v>
      </c>
      <c r="B343" s="1328"/>
      <c r="C343" s="1328"/>
      <c r="D343" s="1328"/>
      <c r="E343" s="1328"/>
      <c r="F343" s="1328"/>
      <c r="G343" s="1328"/>
      <c r="H343" s="1329"/>
      <c r="I343" s="14">
        <f>SUMIF(H17:H316,"Kt",I17:I316)</f>
        <v>193.2</v>
      </c>
      <c r="J343" s="14">
        <f>SUMIF(H17:H316,"Kt",J17:J316)</f>
        <v>640.6</v>
      </c>
      <c r="K343" s="14">
        <f>SUMIF(H17:H316,"Kt",K17:K316)</f>
        <v>0</v>
      </c>
      <c r="L343" s="14">
        <f>SUMIF(H17:H316,"Kt",L17:L316)</f>
        <v>49.4</v>
      </c>
      <c r="M343" s="13"/>
      <c r="N343" s="13"/>
      <c r="O343" s="13"/>
      <c r="P343" s="13"/>
      <c r="Q343" s="13"/>
    </row>
    <row r="344" spans="1:17" ht="14.25" customHeight="1" thickBot="1" x14ac:dyDescent="0.3">
      <c r="A344" s="1330" t="s">
        <v>13</v>
      </c>
      <c r="B344" s="1331"/>
      <c r="C344" s="1331"/>
      <c r="D344" s="1331"/>
      <c r="E344" s="1331"/>
      <c r="F344" s="1331"/>
      <c r="G344" s="1331"/>
      <c r="H344" s="1332"/>
      <c r="I344" s="40">
        <f>SUM(I322,I339)</f>
        <v>34746</v>
      </c>
      <c r="J344" s="40">
        <f>SUM(J322,J339)</f>
        <v>44505.1</v>
      </c>
      <c r="K344" s="40">
        <f>SUM(K322,K339)</f>
        <v>36949.5</v>
      </c>
      <c r="L344" s="40">
        <f>SUM(L322,L339)</f>
        <v>26904</v>
      </c>
      <c r="M344" s="13"/>
      <c r="N344" s="13"/>
      <c r="O344" s="13"/>
      <c r="P344" s="13"/>
      <c r="Q344" s="13"/>
    </row>
    <row r="345" spans="1:17" x14ac:dyDescent="0.25">
      <c r="G345" s="184"/>
      <c r="H345" s="185"/>
      <c r="I345" s="186"/>
      <c r="J345" s="186"/>
      <c r="K345" s="186"/>
      <c r="L345" s="186"/>
      <c r="M345" s="4"/>
    </row>
    <row r="346" spans="1:17" x14ac:dyDescent="0.25">
      <c r="I346" s="10"/>
      <c r="J346" s="10"/>
      <c r="K346" s="10"/>
      <c r="L346" s="10"/>
    </row>
    <row r="347" spans="1:17" x14ac:dyDescent="0.25">
      <c r="I347" s="10"/>
      <c r="J347" s="10"/>
      <c r="K347" s="10"/>
      <c r="L347" s="10"/>
    </row>
    <row r="348" spans="1:17" x14ac:dyDescent="0.25">
      <c r="H348" s="187"/>
      <c r="I348" s="10"/>
      <c r="J348" s="10"/>
      <c r="K348" s="10"/>
      <c r="L348" s="10"/>
    </row>
    <row r="349" spans="1:17" x14ac:dyDescent="0.25">
      <c r="M349" s="10"/>
    </row>
    <row r="350" spans="1:17" x14ac:dyDescent="0.25">
      <c r="J350" s="10"/>
      <c r="K350" s="10"/>
      <c r="L350" s="10"/>
    </row>
    <row r="351" spans="1:17" x14ac:dyDescent="0.25">
      <c r="I351" s="10"/>
      <c r="J351" s="10"/>
      <c r="K351" s="10"/>
      <c r="L351" s="10"/>
    </row>
    <row r="352" spans="1:17" s="2" customFormat="1" x14ac:dyDescent="0.25">
      <c r="D352" s="71"/>
      <c r="F352" s="97"/>
      <c r="G352" s="8"/>
      <c r="H352" s="3"/>
      <c r="M352" s="10"/>
    </row>
    <row r="353" spans="1:17" x14ac:dyDescent="0.25">
      <c r="A353" s="1"/>
      <c r="B353" s="1"/>
      <c r="C353" s="1"/>
      <c r="I353" s="10"/>
      <c r="J353" s="10"/>
      <c r="K353" s="10"/>
      <c r="L353" s="10"/>
      <c r="N353" s="1"/>
      <c r="O353" s="1"/>
      <c r="P353" s="1"/>
      <c r="Q353" s="1"/>
    </row>
    <row r="355" spans="1:17" s="2" customFormat="1" x14ac:dyDescent="0.25">
      <c r="D355" s="71"/>
      <c r="F355" s="97"/>
      <c r="G355" s="8"/>
      <c r="H355" s="3"/>
      <c r="M355" s="10"/>
    </row>
    <row r="358" spans="1:17" s="2" customFormat="1" x14ac:dyDescent="0.25">
      <c r="D358" s="71"/>
      <c r="F358" s="97"/>
      <c r="G358" s="8"/>
      <c r="H358" s="3"/>
      <c r="M358" s="10"/>
    </row>
  </sheetData>
  <mergeCells count="300">
    <mergeCell ref="G185:G186"/>
    <mergeCell ref="G182:G183"/>
    <mergeCell ref="M138:M139"/>
    <mergeCell ref="G17:G19"/>
    <mergeCell ref="G20:G22"/>
    <mergeCell ref="G36:G41"/>
    <mergeCell ref="P7:Q7"/>
    <mergeCell ref="M314:Q314"/>
    <mergeCell ref="M315:Q315"/>
    <mergeCell ref="O192:O193"/>
    <mergeCell ref="G213:G214"/>
    <mergeCell ref="M213:M214"/>
    <mergeCell ref="C189:Q189"/>
    <mergeCell ref="D140:D141"/>
    <mergeCell ref="E140:E141"/>
    <mergeCell ref="D136:D137"/>
    <mergeCell ref="E136:E137"/>
    <mergeCell ref="M62:M63"/>
    <mergeCell ref="M126:M128"/>
    <mergeCell ref="C26:C33"/>
    <mergeCell ref="D26:D33"/>
    <mergeCell ref="E26:E31"/>
    <mergeCell ref="G26:G32"/>
    <mergeCell ref="C126:C128"/>
    <mergeCell ref="M316:Q316"/>
    <mergeCell ref="C240:Q240"/>
    <mergeCell ref="G265:G266"/>
    <mergeCell ref="M280:M283"/>
    <mergeCell ref="G286:G290"/>
    <mergeCell ref="M255:M256"/>
    <mergeCell ref="G199:G200"/>
    <mergeCell ref="M263:M264"/>
    <mergeCell ref="I263:I264"/>
    <mergeCell ref="H263:H264"/>
    <mergeCell ref="J263:J264"/>
    <mergeCell ref="E257:E258"/>
    <mergeCell ref="M207:M208"/>
    <mergeCell ref="G218:G221"/>
    <mergeCell ref="N207:N208"/>
    <mergeCell ref="E200:E202"/>
    <mergeCell ref="C314:H314"/>
    <mergeCell ref="B315:H315"/>
    <mergeCell ref="Q207:Q208"/>
    <mergeCell ref="D310:D312"/>
    <mergeCell ref="E310:E312"/>
    <mergeCell ref="E222:E223"/>
    <mergeCell ref="G222:G223"/>
    <mergeCell ref="E213:E214"/>
    <mergeCell ref="E215:E216"/>
    <mergeCell ref="G215:G216"/>
    <mergeCell ref="M239:Q239"/>
    <mergeCell ref="G228:G229"/>
    <mergeCell ref="D304:D309"/>
    <mergeCell ref="E304:E309"/>
    <mergeCell ref="E203:E204"/>
    <mergeCell ref="G310:G311"/>
    <mergeCell ref="G191:G193"/>
    <mergeCell ref="E192:E193"/>
    <mergeCell ref="E197:E198"/>
    <mergeCell ref="E233:E237"/>
    <mergeCell ref="G233:G234"/>
    <mergeCell ref="C239:H239"/>
    <mergeCell ref="E205:E206"/>
    <mergeCell ref="P192:P193"/>
    <mergeCell ref="M205:M206"/>
    <mergeCell ref="Q192:Q193"/>
    <mergeCell ref="N192:N193"/>
    <mergeCell ref="O207:O208"/>
    <mergeCell ref="A344:H344"/>
    <mergeCell ref="M39:M41"/>
    <mergeCell ref="N39:N41"/>
    <mergeCell ref="E242:E245"/>
    <mergeCell ref="A338:H338"/>
    <mergeCell ref="A339:H339"/>
    <mergeCell ref="A340:H340"/>
    <mergeCell ref="A341:H341"/>
    <mergeCell ref="A342:H342"/>
    <mergeCell ref="A343:H343"/>
    <mergeCell ref="A332:H332"/>
    <mergeCell ref="A333:H333"/>
    <mergeCell ref="A334:H334"/>
    <mergeCell ref="A335:H335"/>
    <mergeCell ref="A336:H336"/>
    <mergeCell ref="A337:H337"/>
    <mergeCell ref="A326:H326"/>
    <mergeCell ref="A327:H327"/>
    <mergeCell ref="A297:A300"/>
    <mergeCell ref="D224:D227"/>
    <mergeCell ref="E224:E227"/>
    <mergeCell ref="G224:G227"/>
    <mergeCell ref="G177:G179"/>
    <mergeCell ref="M197:M198"/>
    <mergeCell ref="A331:H331"/>
    <mergeCell ref="A320:I320"/>
    <mergeCell ref="A321:H321"/>
    <mergeCell ref="A322:H322"/>
    <mergeCell ref="A323:H323"/>
    <mergeCell ref="A324:H324"/>
    <mergeCell ref="D297:D300"/>
    <mergeCell ref="E297:E300"/>
    <mergeCell ref="G297:G300"/>
    <mergeCell ref="A301:A303"/>
    <mergeCell ref="B301:B303"/>
    <mergeCell ref="C301:C303"/>
    <mergeCell ref="D301:D303"/>
    <mergeCell ref="E301:E303"/>
    <mergeCell ref="G301:G303"/>
    <mergeCell ref="A328:H328"/>
    <mergeCell ref="A329:H329"/>
    <mergeCell ref="A330:H330"/>
    <mergeCell ref="B297:B300"/>
    <mergeCell ref="C297:C300"/>
    <mergeCell ref="A317:N317"/>
    <mergeCell ref="M301:M303"/>
    <mergeCell ref="A325:H325"/>
    <mergeCell ref="B316:H316"/>
    <mergeCell ref="A294:A296"/>
    <mergeCell ref="B294:B296"/>
    <mergeCell ref="C294:C296"/>
    <mergeCell ref="D294:D296"/>
    <mergeCell ref="E294:E296"/>
    <mergeCell ref="G294:G295"/>
    <mergeCell ref="A291:A293"/>
    <mergeCell ref="B291:B293"/>
    <mergeCell ref="C291:C293"/>
    <mergeCell ref="D291:D293"/>
    <mergeCell ref="E291:E293"/>
    <mergeCell ref="G291:G293"/>
    <mergeCell ref="A285:A290"/>
    <mergeCell ref="B285:B290"/>
    <mergeCell ref="C285:C290"/>
    <mergeCell ref="E285:E290"/>
    <mergeCell ref="M269:M270"/>
    <mergeCell ref="M271:M272"/>
    <mergeCell ref="D273:D284"/>
    <mergeCell ref="G274:G279"/>
    <mergeCell ref="M274:M275"/>
    <mergeCell ref="A269:A272"/>
    <mergeCell ref="B269:B272"/>
    <mergeCell ref="C269:C272"/>
    <mergeCell ref="E269:E272"/>
    <mergeCell ref="E274:E277"/>
    <mergeCell ref="G283:G284"/>
    <mergeCell ref="G280:G282"/>
    <mergeCell ref="E280:E281"/>
    <mergeCell ref="E278:E279"/>
    <mergeCell ref="G269:G270"/>
    <mergeCell ref="A261:A264"/>
    <mergeCell ref="B261:B264"/>
    <mergeCell ref="C261:C264"/>
    <mergeCell ref="D261:D264"/>
    <mergeCell ref="E261:E264"/>
    <mergeCell ref="G261:G264"/>
    <mergeCell ref="G242:G248"/>
    <mergeCell ref="G253:G254"/>
    <mergeCell ref="G255:G257"/>
    <mergeCell ref="E259:E260"/>
    <mergeCell ref="G259:G260"/>
    <mergeCell ref="E255:E256"/>
    <mergeCell ref="D255:D256"/>
    <mergeCell ref="A209:A210"/>
    <mergeCell ref="B209:B210"/>
    <mergeCell ref="C209:C210"/>
    <mergeCell ref="D209:D210"/>
    <mergeCell ref="E209:E210"/>
    <mergeCell ref="F209:F212"/>
    <mergeCell ref="G209:G210"/>
    <mergeCell ref="A207:A208"/>
    <mergeCell ref="B207:B208"/>
    <mergeCell ref="C207:C208"/>
    <mergeCell ref="D207:D208"/>
    <mergeCell ref="E207:E208"/>
    <mergeCell ref="F207:F208"/>
    <mergeCell ref="G207:G208"/>
    <mergeCell ref="A126:A128"/>
    <mergeCell ref="B126:B128"/>
    <mergeCell ref="E174:E176"/>
    <mergeCell ref="G174:G176"/>
    <mergeCell ref="M134:M135"/>
    <mergeCell ref="M132:M133"/>
    <mergeCell ref="E86:E88"/>
    <mergeCell ref="E89:E91"/>
    <mergeCell ref="B50:B55"/>
    <mergeCell ref="E123:E125"/>
    <mergeCell ref="D62:D66"/>
    <mergeCell ref="E62:E66"/>
    <mergeCell ref="G62:G66"/>
    <mergeCell ref="G92:G103"/>
    <mergeCell ref="E92:E95"/>
    <mergeCell ref="C50:C61"/>
    <mergeCell ref="D50:D55"/>
    <mergeCell ref="G89:G91"/>
    <mergeCell ref="E99:E100"/>
    <mergeCell ref="G50:G58"/>
    <mergeCell ref="G172:G173"/>
    <mergeCell ref="E172:E173"/>
    <mergeCell ref="E145:E147"/>
    <mergeCell ref="E138:E139"/>
    <mergeCell ref="E101:E103"/>
    <mergeCell ref="E126:E128"/>
    <mergeCell ref="E70:E73"/>
    <mergeCell ref="E74:E75"/>
    <mergeCell ref="M90:M91"/>
    <mergeCell ref="M71:M72"/>
    <mergeCell ref="P59:P61"/>
    <mergeCell ref="P207:P208"/>
    <mergeCell ref="E50:E55"/>
    <mergeCell ref="M50:M54"/>
    <mergeCell ref="E142:E144"/>
    <mergeCell ref="E149:E151"/>
    <mergeCell ref="G149:G151"/>
    <mergeCell ref="E152:E154"/>
    <mergeCell ref="G152:G153"/>
    <mergeCell ref="M192:M193"/>
    <mergeCell ref="G142:G144"/>
    <mergeCell ref="M101:M103"/>
    <mergeCell ref="C188:H188"/>
    <mergeCell ref="G164:G166"/>
    <mergeCell ref="E181:E182"/>
    <mergeCell ref="E184:E186"/>
    <mergeCell ref="M188:Q188"/>
    <mergeCell ref="E177:E179"/>
    <mergeCell ref="D169:D171"/>
    <mergeCell ref="E169:E171"/>
    <mergeCell ref="E132:E133"/>
    <mergeCell ref="D96:D98"/>
    <mergeCell ref="E96:E98"/>
    <mergeCell ref="E134:E135"/>
    <mergeCell ref="A3:Q3"/>
    <mergeCell ref="M1:Q1"/>
    <mergeCell ref="A4:Q4"/>
    <mergeCell ref="A5:Q5"/>
    <mergeCell ref="A11:Q11"/>
    <mergeCell ref="A12:Q12"/>
    <mergeCell ref="C14:Q14"/>
    <mergeCell ref="B13:Q13"/>
    <mergeCell ref="M9:M10"/>
    <mergeCell ref="H8:H10"/>
    <mergeCell ref="I8:I10"/>
    <mergeCell ref="A8:A10"/>
    <mergeCell ref="B8:B10"/>
    <mergeCell ref="C8:C10"/>
    <mergeCell ref="D8:D10"/>
    <mergeCell ref="E8:E10"/>
    <mergeCell ref="F8:F10"/>
    <mergeCell ref="G8:G10"/>
    <mergeCell ref="L8:L10"/>
    <mergeCell ref="M8:Q8"/>
    <mergeCell ref="N9:N10"/>
    <mergeCell ref="O9:Q9"/>
    <mergeCell ref="J8:J10"/>
    <mergeCell ref="K8:K10"/>
    <mergeCell ref="A26:A33"/>
    <mergeCell ref="B26:B33"/>
    <mergeCell ref="O39:O41"/>
    <mergeCell ref="O59:O61"/>
    <mergeCell ref="Q39:Q41"/>
    <mergeCell ref="Q59:Q61"/>
    <mergeCell ref="M42:M49"/>
    <mergeCell ref="E15:E16"/>
    <mergeCell ref="E17:E22"/>
    <mergeCell ref="A56:A61"/>
    <mergeCell ref="B56:B61"/>
    <mergeCell ref="E56:E58"/>
    <mergeCell ref="M56:M58"/>
    <mergeCell ref="M59:M61"/>
    <mergeCell ref="C34:C49"/>
    <mergeCell ref="E34:E41"/>
    <mergeCell ref="E42:E49"/>
    <mergeCell ref="G34:G35"/>
    <mergeCell ref="G23:G24"/>
    <mergeCell ref="M26:M27"/>
    <mergeCell ref="M20:M23"/>
    <mergeCell ref="N59:N61"/>
    <mergeCell ref="A50:A55"/>
    <mergeCell ref="P39:P41"/>
    <mergeCell ref="A318:Q318"/>
    <mergeCell ref="D67:D69"/>
    <mergeCell ref="E67:E69"/>
    <mergeCell ref="E82:E85"/>
    <mergeCell ref="G67:G85"/>
    <mergeCell ref="M87:M88"/>
    <mergeCell ref="G105:G122"/>
    <mergeCell ref="E161:E163"/>
    <mergeCell ref="D161:D163"/>
    <mergeCell ref="G155:G163"/>
    <mergeCell ref="E164:E166"/>
    <mergeCell ref="D164:D166"/>
    <mergeCell ref="D167:D168"/>
    <mergeCell ref="E167:E168"/>
    <mergeCell ref="M222:M223"/>
    <mergeCell ref="E228:E232"/>
    <mergeCell ref="E218:E220"/>
    <mergeCell ref="G87:G88"/>
    <mergeCell ref="A129:A131"/>
    <mergeCell ref="B129:B131"/>
    <mergeCell ref="C129:C131"/>
    <mergeCell ref="D129:D131"/>
    <mergeCell ref="E129:E131"/>
    <mergeCell ref="D74:D75"/>
  </mergeCells>
  <printOptions horizontalCentered="1"/>
  <pageMargins left="0.78740157480314965" right="0.39370078740157483" top="0.39370078740157483" bottom="0.39370078740157483" header="0.31496062992125984" footer="0.31496062992125984"/>
  <pageSetup paperSize="9" scale="51" fitToHeight="0" orientation="portrait" r:id="rId1"/>
  <headerFooter alignWithMargins="0"/>
  <rowBreaks count="4" manualBreakCount="4">
    <brk id="81" max="16" man="1"/>
    <brk id="151" max="16" man="1"/>
    <brk id="227" max="16" man="1"/>
    <brk id="300"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zoomScaleNormal="100" workbookViewId="0">
      <selection activeCell="J17" sqref="J17"/>
    </sheetView>
  </sheetViews>
  <sheetFormatPr defaultRowHeight="12.5" x14ac:dyDescent="0.25"/>
  <cols>
    <col min="1" max="1" width="5.453125" customWidth="1"/>
    <col min="2" max="2" width="33.453125" customWidth="1"/>
    <col min="3" max="3" width="3.81640625" customWidth="1"/>
    <col min="4" max="4" width="13.1796875" style="863" customWidth="1"/>
    <col min="5" max="5" width="8.1796875" customWidth="1"/>
    <col min="6" max="6" width="7" customWidth="1"/>
    <col min="7" max="7" width="7.1796875" customWidth="1"/>
    <col min="8" max="9" width="7.54296875" customWidth="1"/>
    <col min="10" max="10" width="36.1796875" customWidth="1"/>
    <col min="11" max="14" width="5.1796875" customWidth="1"/>
  </cols>
  <sheetData>
    <row r="1" spans="1:15" ht="15" x14ac:dyDescent="0.3">
      <c r="A1" s="1464" t="s">
        <v>402</v>
      </c>
      <c r="B1" s="1464"/>
      <c r="C1" s="1464"/>
      <c r="D1" s="1464"/>
      <c r="E1" s="1464"/>
      <c r="F1" s="1464"/>
      <c r="G1" s="1464"/>
      <c r="H1" s="1464"/>
      <c r="I1" s="1464"/>
      <c r="J1" s="1464"/>
      <c r="K1" s="1464"/>
      <c r="L1" s="1464"/>
      <c r="M1" s="1464"/>
      <c r="N1" s="1464"/>
    </row>
    <row r="2" spans="1:15" ht="15.5" thickBot="1" x14ac:dyDescent="0.35">
      <c r="A2" s="868"/>
      <c r="B2" s="868"/>
      <c r="C2" s="868"/>
      <c r="D2" s="868"/>
      <c r="E2" s="868"/>
      <c r="F2" s="868"/>
      <c r="G2" s="868"/>
      <c r="H2" s="868"/>
      <c r="I2" s="868"/>
      <c r="J2" s="868"/>
      <c r="K2" s="868"/>
      <c r="L2" s="868"/>
      <c r="M2" s="868"/>
      <c r="N2" s="868"/>
    </row>
    <row r="3" spans="1:15" ht="13.5" thickBot="1" x14ac:dyDescent="0.3">
      <c r="A3" s="1400" t="s">
        <v>23</v>
      </c>
      <c r="B3" s="1158" t="s">
        <v>9</v>
      </c>
      <c r="C3" s="1155" t="s">
        <v>245</v>
      </c>
      <c r="D3" s="1403" t="s">
        <v>246</v>
      </c>
      <c r="E3" s="1174" t="s">
        <v>2</v>
      </c>
      <c r="F3" s="1397" t="s">
        <v>247</v>
      </c>
      <c r="G3" s="1177" t="s">
        <v>248</v>
      </c>
      <c r="H3" s="1180" t="s">
        <v>249</v>
      </c>
      <c r="I3" s="1161" t="s">
        <v>250</v>
      </c>
      <c r="J3" s="1386" t="s">
        <v>225</v>
      </c>
      <c r="K3" s="1387"/>
      <c r="L3" s="1387"/>
      <c r="M3" s="1387"/>
      <c r="N3" s="1388"/>
    </row>
    <row r="4" spans="1:15" ht="13" x14ac:dyDescent="0.25">
      <c r="A4" s="1401"/>
      <c r="B4" s="1159"/>
      <c r="C4" s="1156"/>
      <c r="D4" s="1404"/>
      <c r="E4" s="1175"/>
      <c r="F4" s="1398"/>
      <c r="G4" s="1178"/>
      <c r="H4" s="1181"/>
      <c r="I4" s="1162"/>
      <c r="J4" s="1395" t="s">
        <v>9</v>
      </c>
      <c r="K4" s="1389" t="s">
        <v>241</v>
      </c>
      <c r="L4" s="1391" t="s">
        <v>233</v>
      </c>
      <c r="M4" s="1391"/>
      <c r="N4" s="1392"/>
    </row>
    <row r="5" spans="1:15" ht="65" thickBot="1" x14ac:dyDescent="0.3">
      <c r="A5" s="1402"/>
      <c r="B5" s="1160"/>
      <c r="C5" s="1157"/>
      <c r="D5" s="1405"/>
      <c r="E5" s="1176"/>
      <c r="F5" s="1399"/>
      <c r="G5" s="1179"/>
      <c r="H5" s="1182"/>
      <c r="I5" s="1163"/>
      <c r="J5" s="1396"/>
      <c r="K5" s="1390"/>
      <c r="L5" s="288" t="s">
        <v>242</v>
      </c>
      <c r="M5" s="290" t="s">
        <v>243</v>
      </c>
      <c r="N5" s="289" t="s">
        <v>244</v>
      </c>
    </row>
    <row r="6" spans="1:15" ht="13" x14ac:dyDescent="0.25">
      <c r="A6" s="912" t="s">
        <v>30</v>
      </c>
      <c r="B6" s="1461" t="s">
        <v>94</v>
      </c>
      <c r="C6" s="856" t="s">
        <v>131</v>
      </c>
      <c r="D6" s="1459" t="s">
        <v>142</v>
      </c>
      <c r="E6" s="913" t="s">
        <v>21</v>
      </c>
      <c r="F6" s="913">
        <f>300-119.8</f>
        <v>180.2</v>
      </c>
      <c r="G6" s="907">
        <v>105.6</v>
      </c>
      <c r="H6" s="840"/>
      <c r="I6" s="908"/>
      <c r="J6" s="1462" t="s">
        <v>180</v>
      </c>
      <c r="K6" s="909">
        <v>100</v>
      </c>
      <c r="L6" s="910"/>
      <c r="M6" s="911"/>
      <c r="N6" s="909"/>
      <c r="O6" s="877"/>
    </row>
    <row r="7" spans="1:15" ht="13" x14ac:dyDescent="0.25">
      <c r="A7" s="914"/>
      <c r="B7" s="1193"/>
      <c r="C7" s="744" t="s">
        <v>40</v>
      </c>
      <c r="D7" s="1370"/>
      <c r="E7" s="18" t="s">
        <v>216</v>
      </c>
      <c r="F7" s="167">
        <f>119.8-119.8</f>
        <v>0</v>
      </c>
      <c r="G7" s="285"/>
      <c r="H7" s="295"/>
      <c r="I7" s="588"/>
      <c r="J7" s="1218"/>
      <c r="K7" s="231"/>
      <c r="L7" s="324"/>
      <c r="M7" s="318"/>
      <c r="N7" s="231"/>
    </row>
    <row r="8" spans="1:15" ht="13" x14ac:dyDescent="0.25">
      <c r="A8" s="915"/>
      <c r="B8" s="1193"/>
      <c r="C8" s="904" t="s">
        <v>224</v>
      </c>
      <c r="D8" s="1370"/>
      <c r="E8" s="18" t="s">
        <v>64</v>
      </c>
      <c r="F8" s="16">
        <f>800+80+192.6</f>
        <v>1072.5999999999999</v>
      </c>
      <c r="G8" s="901">
        <v>903.9</v>
      </c>
      <c r="H8" s="162"/>
      <c r="I8" s="588"/>
      <c r="J8" s="1381"/>
      <c r="K8" s="232"/>
      <c r="L8" s="327"/>
      <c r="M8" s="321"/>
      <c r="N8" s="232"/>
    </row>
    <row r="9" spans="1:15" ht="13" x14ac:dyDescent="0.25">
      <c r="A9" s="915"/>
      <c r="B9" s="902"/>
      <c r="C9" s="746" t="s">
        <v>148</v>
      </c>
      <c r="D9" s="100"/>
      <c r="E9" s="167" t="s">
        <v>234</v>
      </c>
      <c r="F9" s="167"/>
      <c r="G9" s="366">
        <v>300</v>
      </c>
      <c r="H9" s="295"/>
      <c r="I9" s="588"/>
      <c r="J9" s="1217" t="s">
        <v>307</v>
      </c>
      <c r="K9" s="1384">
        <v>50</v>
      </c>
      <c r="L9" s="1228">
        <v>100</v>
      </c>
      <c r="M9" s="1406"/>
      <c r="N9" s="1377"/>
    </row>
    <row r="10" spans="1:15" ht="13.5" thickBot="1" x14ac:dyDescent="0.3">
      <c r="A10" s="916"/>
      <c r="B10" s="917"/>
      <c r="C10" s="918" t="s">
        <v>279</v>
      </c>
      <c r="D10" s="919"/>
      <c r="E10" s="847" t="s">
        <v>48</v>
      </c>
      <c r="F10" s="847"/>
      <c r="G10" s="920">
        <v>28.3</v>
      </c>
      <c r="H10" s="848"/>
      <c r="I10" s="849"/>
      <c r="J10" s="1466"/>
      <c r="K10" s="1467"/>
      <c r="L10" s="1468"/>
      <c r="M10" s="1469"/>
      <c r="N10" s="1467"/>
      <c r="O10" s="877"/>
    </row>
    <row r="11" spans="1:15" ht="30" customHeight="1" x14ac:dyDescent="0.25">
      <c r="A11" s="906" t="s">
        <v>133</v>
      </c>
      <c r="B11" s="1187" t="s">
        <v>119</v>
      </c>
      <c r="C11" s="130" t="s">
        <v>131</v>
      </c>
      <c r="D11" s="903" t="s">
        <v>142</v>
      </c>
      <c r="E11" s="758" t="s">
        <v>21</v>
      </c>
      <c r="F11" s="140">
        <f>191.4-41.4+250-190</f>
        <v>210</v>
      </c>
      <c r="G11" s="870">
        <v>120</v>
      </c>
      <c r="H11" s="163"/>
      <c r="I11" s="633">
        <v>200</v>
      </c>
      <c r="J11" s="404" t="s">
        <v>324</v>
      </c>
      <c r="K11" s="86">
        <v>35</v>
      </c>
      <c r="L11" s="378">
        <v>100</v>
      </c>
      <c r="M11" s="305"/>
      <c r="N11" s="86"/>
    </row>
    <row r="12" spans="1:15" ht="13" x14ac:dyDescent="0.25">
      <c r="A12" s="843"/>
      <c r="B12" s="1187"/>
      <c r="C12" s="744" t="s">
        <v>279</v>
      </c>
      <c r="D12" s="833"/>
      <c r="E12" s="716" t="s">
        <v>64</v>
      </c>
      <c r="F12" s="16">
        <f>200-53.5+102+31.8-76.6</f>
        <v>203.7</v>
      </c>
      <c r="G12" s="870">
        <v>276.60000000000002</v>
      </c>
      <c r="H12" s="162">
        <v>200</v>
      </c>
      <c r="I12" s="445">
        <v>200</v>
      </c>
      <c r="J12" s="1222" t="s">
        <v>325</v>
      </c>
      <c r="K12" s="513"/>
      <c r="L12" s="332"/>
      <c r="M12" s="338">
        <v>15</v>
      </c>
      <c r="N12" s="244">
        <v>60</v>
      </c>
    </row>
    <row r="13" spans="1:15" ht="13" x14ac:dyDescent="0.25">
      <c r="A13" s="843"/>
      <c r="B13" s="1187"/>
      <c r="C13" s="836" t="s">
        <v>148</v>
      </c>
      <c r="D13" s="833"/>
      <c r="E13" s="18" t="s">
        <v>234</v>
      </c>
      <c r="F13" s="18"/>
      <c r="G13" s="871">
        <v>100</v>
      </c>
      <c r="H13" s="121"/>
      <c r="I13" s="588"/>
      <c r="J13" s="1214"/>
      <c r="K13" s="86"/>
      <c r="L13" s="298"/>
      <c r="M13" s="305"/>
      <c r="N13" s="86"/>
    </row>
    <row r="14" spans="1:15" ht="13" x14ac:dyDescent="0.25">
      <c r="A14" s="322"/>
      <c r="B14" s="1187"/>
      <c r="C14" s="744" t="s">
        <v>40</v>
      </c>
      <c r="D14" s="833"/>
      <c r="E14" s="18" t="s">
        <v>48</v>
      </c>
      <c r="F14" s="643"/>
      <c r="G14" s="784">
        <v>50</v>
      </c>
      <c r="H14" s="355"/>
      <c r="I14" s="634"/>
      <c r="J14" s="168"/>
      <c r="K14" s="224"/>
      <c r="L14" s="228"/>
      <c r="M14" s="141"/>
      <c r="N14" s="224"/>
    </row>
    <row r="15" spans="1:15" ht="26" x14ac:dyDescent="0.25">
      <c r="A15" s="1465" t="s">
        <v>89</v>
      </c>
      <c r="B15" s="1205" t="s">
        <v>161</v>
      </c>
      <c r="C15" s="835" t="s">
        <v>148</v>
      </c>
      <c r="D15" s="833"/>
      <c r="E15" s="76" t="s">
        <v>21</v>
      </c>
      <c r="F15" s="435">
        <f>381.6-100</f>
        <v>281.60000000000002</v>
      </c>
      <c r="G15" s="872">
        <v>430</v>
      </c>
      <c r="H15" s="137">
        <v>450</v>
      </c>
      <c r="I15" s="312">
        <v>314</v>
      </c>
      <c r="J15" s="451" t="s">
        <v>130</v>
      </c>
      <c r="K15" s="88">
        <v>100</v>
      </c>
      <c r="L15" s="331"/>
      <c r="M15" s="337"/>
      <c r="N15" s="88"/>
    </row>
    <row r="16" spans="1:15" ht="26" x14ac:dyDescent="0.25">
      <c r="A16" s="1465"/>
      <c r="B16" s="1206"/>
      <c r="C16" s="157"/>
      <c r="D16" s="833"/>
      <c r="E16" s="18" t="s">
        <v>38</v>
      </c>
      <c r="F16" s="167">
        <f>159.9-62</f>
        <v>97.9</v>
      </c>
      <c r="G16" s="871">
        <v>293.60000000000002</v>
      </c>
      <c r="H16" s="295"/>
      <c r="I16" s="588"/>
      <c r="J16" s="417" t="s">
        <v>129</v>
      </c>
      <c r="K16" s="180">
        <v>100</v>
      </c>
      <c r="L16" s="299"/>
      <c r="M16" s="306"/>
      <c r="N16" s="180"/>
    </row>
    <row r="17" spans="1:15" ht="32.5" customHeight="1" x14ac:dyDescent="0.25">
      <c r="A17" s="843"/>
      <c r="B17" s="834"/>
      <c r="C17" s="149"/>
      <c r="D17" s="833"/>
      <c r="E17" s="637" t="s">
        <v>64</v>
      </c>
      <c r="F17" s="167">
        <v>100</v>
      </c>
      <c r="G17" s="871"/>
      <c r="H17" s="162"/>
      <c r="I17" s="588"/>
      <c r="J17" s="417" t="s">
        <v>198</v>
      </c>
      <c r="K17" s="108">
        <v>100</v>
      </c>
      <c r="L17" s="332"/>
      <c r="M17" s="338"/>
      <c r="N17" s="108"/>
      <c r="O17" s="883"/>
    </row>
    <row r="18" spans="1:15" ht="16.75" customHeight="1" x14ac:dyDescent="0.25">
      <c r="A18" s="843"/>
      <c r="B18" s="834"/>
      <c r="C18" s="149"/>
      <c r="D18" s="833"/>
      <c r="E18" s="18" t="s">
        <v>48</v>
      </c>
      <c r="F18" s="16">
        <v>42.3</v>
      </c>
      <c r="G18" s="783"/>
      <c r="H18" s="121"/>
      <c r="I18" s="589"/>
      <c r="J18" s="417" t="s">
        <v>199</v>
      </c>
      <c r="K18" s="108">
        <v>100</v>
      </c>
      <c r="L18" s="332"/>
      <c r="M18" s="338"/>
      <c r="N18" s="108"/>
      <c r="O18" s="864"/>
    </row>
    <row r="19" spans="1:15" ht="30" customHeight="1" x14ac:dyDescent="0.25">
      <c r="A19" s="843"/>
      <c r="B19" s="834"/>
      <c r="C19" s="149"/>
      <c r="D19" s="833"/>
      <c r="E19" s="167" t="s">
        <v>328</v>
      </c>
      <c r="F19" s="18"/>
      <c r="G19" s="871">
        <v>120</v>
      </c>
      <c r="H19" s="295"/>
      <c r="I19" s="445"/>
      <c r="J19" s="417" t="s">
        <v>317</v>
      </c>
      <c r="K19" s="108">
        <v>30</v>
      </c>
      <c r="L19" s="497">
        <v>100</v>
      </c>
      <c r="M19" s="338"/>
      <c r="N19" s="108"/>
      <c r="O19" s="883"/>
    </row>
    <row r="20" spans="1:15" ht="26" x14ac:dyDescent="0.25">
      <c r="A20" s="843"/>
      <c r="B20" s="834"/>
      <c r="C20" s="149"/>
      <c r="D20" s="833"/>
      <c r="E20" s="16"/>
      <c r="F20" s="18"/>
      <c r="G20" s="873"/>
      <c r="H20" s="162"/>
      <c r="I20" s="588"/>
      <c r="J20" s="404" t="s">
        <v>319</v>
      </c>
      <c r="K20" s="108"/>
      <c r="L20" s="497">
        <v>60</v>
      </c>
      <c r="M20" s="338">
        <v>100</v>
      </c>
      <c r="N20" s="108"/>
    </row>
    <row r="21" spans="1:15" ht="26" x14ac:dyDescent="0.25">
      <c r="A21" s="843"/>
      <c r="B21" s="834"/>
      <c r="C21" s="149"/>
      <c r="D21" s="833"/>
      <c r="E21" s="16"/>
      <c r="F21" s="16"/>
      <c r="G21" s="873"/>
      <c r="H21" s="162"/>
      <c r="I21" s="445"/>
      <c r="J21" s="454" t="s">
        <v>318</v>
      </c>
      <c r="K21" s="108"/>
      <c r="L21" s="497">
        <v>45</v>
      </c>
      <c r="M21" s="338">
        <v>75</v>
      </c>
      <c r="N21" s="108">
        <v>100</v>
      </c>
    </row>
    <row r="22" spans="1:15" ht="30" customHeight="1" thickBot="1" x14ac:dyDescent="0.3">
      <c r="A22" s="302"/>
      <c r="B22" s="834"/>
      <c r="C22" s="149"/>
      <c r="D22" s="833"/>
      <c r="E22" s="675"/>
      <c r="F22" s="165"/>
      <c r="G22" s="874"/>
      <c r="H22" s="307"/>
      <c r="I22" s="855"/>
      <c r="J22" s="454" t="s">
        <v>320</v>
      </c>
      <c r="K22" s="513"/>
      <c r="L22" s="497">
        <v>30</v>
      </c>
      <c r="M22" s="338">
        <v>70</v>
      </c>
      <c r="N22" s="108">
        <v>100</v>
      </c>
    </row>
    <row r="23" spans="1:15" ht="13" x14ac:dyDescent="0.25">
      <c r="A23" s="838" t="s">
        <v>255</v>
      </c>
      <c r="B23" s="1452" t="s">
        <v>335</v>
      </c>
      <c r="C23" s="856" t="s">
        <v>40</v>
      </c>
      <c r="D23" s="1459" t="s">
        <v>142</v>
      </c>
      <c r="E23" s="857" t="s">
        <v>21</v>
      </c>
      <c r="F23" s="839">
        <v>5</v>
      </c>
      <c r="G23" s="875">
        <v>30</v>
      </c>
      <c r="H23" s="858">
        <v>200</v>
      </c>
      <c r="I23" s="841">
        <v>60.8</v>
      </c>
      <c r="J23" s="859" t="s">
        <v>327</v>
      </c>
      <c r="K23" s="860"/>
      <c r="L23" s="861">
        <v>2</v>
      </c>
      <c r="M23" s="862"/>
      <c r="N23" s="842"/>
    </row>
    <row r="24" spans="1:15" ht="13" x14ac:dyDescent="0.25">
      <c r="A24" s="843"/>
      <c r="B24" s="1187"/>
      <c r="C24" s="750" t="s">
        <v>148</v>
      </c>
      <c r="D24" s="1370"/>
      <c r="E24" s="154" t="s">
        <v>64</v>
      </c>
      <c r="F24" s="16"/>
      <c r="G24" s="871">
        <v>100</v>
      </c>
      <c r="H24" s="295">
        <v>200</v>
      </c>
      <c r="I24" s="445">
        <v>600</v>
      </c>
      <c r="J24" s="442" t="s">
        <v>307</v>
      </c>
      <c r="K24" s="670"/>
      <c r="L24" s="671">
        <v>5</v>
      </c>
      <c r="M24" s="672">
        <v>40</v>
      </c>
      <c r="N24" s="673">
        <v>100</v>
      </c>
    </row>
    <row r="25" spans="1:15" ht="13.5" thickBot="1" x14ac:dyDescent="0.3">
      <c r="A25" s="844"/>
      <c r="B25" s="1453"/>
      <c r="C25" s="845" t="s">
        <v>279</v>
      </c>
      <c r="D25" s="1460"/>
      <c r="E25" s="846" t="s">
        <v>216</v>
      </c>
      <c r="F25" s="847">
        <v>4.2</v>
      </c>
      <c r="G25" s="876"/>
      <c r="H25" s="848"/>
      <c r="I25" s="849"/>
      <c r="J25" s="850"/>
      <c r="K25" s="851"/>
      <c r="L25" s="852"/>
      <c r="M25" s="853"/>
      <c r="N25" s="854"/>
    </row>
    <row r="26" spans="1:15" ht="13.5" thickBot="1" x14ac:dyDescent="0.35">
      <c r="A26" s="1454" t="s">
        <v>336</v>
      </c>
      <c r="B26" s="1455"/>
      <c r="C26" s="1455"/>
      <c r="D26" s="1455"/>
      <c r="E26" s="1455"/>
      <c r="F26" s="867">
        <f>SUM(F6:F25)</f>
        <v>2197.5</v>
      </c>
      <c r="G26" s="867">
        <f>SUM(G6:G25)</f>
        <v>2858</v>
      </c>
      <c r="H26" s="867">
        <f t="shared" ref="H26:I26" si="0">SUM(H6:H25)</f>
        <v>1050</v>
      </c>
      <c r="I26" s="867">
        <f t="shared" si="0"/>
        <v>1374.8</v>
      </c>
      <c r="J26" s="1456"/>
      <c r="K26" s="1457"/>
      <c r="L26" s="1457"/>
      <c r="M26" s="1457"/>
      <c r="N26" s="1458"/>
    </row>
    <row r="27" spans="1:15" x14ac:dyDescent="0.25">
      <c r="G27" s="877"/>
    </row>
    <row r="28" spans="1:15" ht="33" customHeight="1" x14ac:dyDescent="0.25">
      <c r="B28" s="1451" t="s">
        <v>403</v>
      </c>
      <c r="C28" s="1451"/>
      <c r="D28" s="1451"/>
      <c r="E28" s="1451"/>
      <c r="F28" s="1451"/>
      <c r="G28" s="1451"/>
      <c r="H28" s="1451"/>
      <c r="I28" s="1451"/>
    </row>
    <row r="29" spans="1:15" ht="15.5" x14ac:dyDescent="0.25">
      <c r="B29" s="865" t="s">
        <v>337</v>
      </c>
    </row>
    <row r="30" spans="1:15" ht="15.5" x14ac:dyDescent="0.25">
      <c r="B30" s="865" t="s">
        <v>338</v>
      </c>
    </row>
    <row r="31" spans="1:15" ht="15.5" x14ac:dyDescent="0.25">
      <c r="B31" s="865" t="s">
        <v>339</v>
      </c>
    </row>
    <row r="32" spans="1:15" ht="15.5" x14ac:dyDescent="0.25">
      <c r="B32" s="1463" t="s">
        <v>340</v>
      </c>
      <c r="C32" s="1463"/>
      <c r="D32" s="1463"/>
    </row>
    <row r="33" spans="2:2" ht="15.5" x14ac:dyDescent="0.25">
      <c r="B33" s="865" t="s">
        <v>404</v>
      </c>
    </row>
    <row r="34" spans="2:2" ht="15.5" x14ac:dyDescent="0.25">
      <c r="B34" s="865" t="s">
        <v>405</v>
      </c>
    </row>
    <row r="35" spans="2:2" ht="15.5" x14ac:dyDescent="0.25">
      <c r="B35" s="865" t="s">
        <v>406</v>
      </c>
    </row>
    <row r="36" spans="2:2" ht="15.5" x14ac:dyDescent="0.25">
      <c r="B36" s="865" t="s">
        <v>407</v>
      </c>
    </row>
    <row r="37" spans="2:2" ht="15.5" x14ac:dyDescent="0.25">
      <c r="B37" s="865" t="s">
        <v>408</v>
      </c>
    </row>
    <row r="38" spans="2:2" ht="15.5" x14ac:dyDescent="0.25">
      <c r="B38" s="865" t="s">
        <v>341</v>
      </c>
    </row>
    <row r="39" spans="2:2" ht="15.5" x14ac:dyDescent="0.25">
      <c r="B39" s="865" t="s">
        <v>342</v>
      </c>
    </row>
    <row r="40" spans="2:2" ht="15.5" x14ac:dyDescent="0.25">
      <c r="B40" s="865" t="s">
        <v>343</v>
      </c>
    </row>
    <row r="41" spans="2:2" ht="15.5" x14ac:dyDescent="0.25">
      <c r="B41" s="865" t="s">
        <v>344</v>
      </c>
    </row>
    <row r="42" spans="2:2" ht="15.5" x14ac:dyDescent="0.25">
      <c r="B42" s="865" t="s">
        <v>345</v>
      </c>
    </row>
    <row r="43" spans="2:2" ht="15.5" x14ac:dyDescent="0.25">
      <c r="B43" s="865" t="s">
        <v>346</v>
      </c>
    </row>
    <row r="44" spans="2:2" ht="15.5" x14ac:dyDescent="0.25">
      <c r="B44" s="865" t="s">
        <v>347</v>
      </c>
    </row>
    <row r="45" spans="2:2" ht="15.5" x14ac:dyDescent="0.25">
      <c r="B45" s="865" t="s">
        <v>348</v>
      </c>
    </row>
    <row r="46" spans="2:2" ht="15.5" x14ac:dyDescent="0.25">
      <c r="B46" s="865" t="s">
        <v>349</v>
      </c>
    </row>
    <row r="47" spans="2:2" ht="15.5" x14ac:dyDescent="0.25">
      <c r="B47" s="865" t="s">
        <v>350</v>
      </c>
    </row>
    <row r="48" spans="2:2" ht="15.5" x14ac:dyDescent="0.25">
      <c r="B48" s="865" t="s">
        <v>351</v>
      </c>
    </row>
    <row r="49" spans="2:6" ht="15.5" x14ac:dyDescent="0.25">
      <c r="B49" s="865" t="s">
        <v>352</v>
      </c>
    </row>
    <row r="50" spans="2:6" ht="15.5" x14ac:dyDescent="0.25">
      <c r="B50" s="865" t="s">
        <v>353</v>
      </c>
    </row>
    <row r="51" spans="2:6" ht="15.5" x14ac:dyDescent="0.25">
      <c r="B51" s="865" t="s">
        <v>354</v>
      </c>
    </row>
    <row r="52" spans="2:6" ht="15.5" x14ac:dyDescent="0.25">
      <c r="B52" s="865" t="s">
        <v>355</v>
      </c>
    </row>
    <row r="53" spans="2:6" ht="15.5" x14ac:dyDescent="0.25">
      <c r="B53" s="865" t="s">
        <v>356</v>
      </c>
    </row>
    <row r="54" spans="2:6" ht="15.5" x14ac:dyDescent="0.25">
      <c r="B54" s="865" t="s">
        <v>357</v>
      </c>
    </row>
    <row r="55" spans="2:6" ht="15.5" x14ac:dyDescent="0.25">
      <c r="B55" s="1463" t="s">
        <v>358</v>
      </c>
      <c r="C55" s="1463"/>
      <c r="D55" s="1463"/>
      <c r="E55" s="1463"/>
      <c r="F55" s="1463"/>
    </row>
    <row r="56" spans="2:6" ht="15.5" x14ac:dyDescent="0.25">
      <c r="B56" s="865" t="s">
        <v>359</v>
      </c>
    </row>
    <row r="57" spans="2:6" ht="15.5" x14ac:dyDescent="0.25">
      <c r="B57" s="865" t="s">
        <v>360</v>
      </c>
    </row>
    <row r="58" spans="2:6" ht="15.5" x14ac:dyDescent="0.25">
      <c r="B58" s="865" t="s">
        <v>361</v>
      </c>
    </row>
    <row r="59" spans="2:6" ht="15.5" x14ac:dyDescent="0.25">
      <c r="B59" s="865" t="s">
        <v>362</v>
      </c>
    </row>
    <row r="60" spans="2:6" ht="15.5" x14ac:dyDescent="0.25">
      <c r="B60" s="865" t="s">
        <v>363</v>
      </c>
    </row>
    <row r="61" spans="2:6" ht="15.5" x14ac:dyDescent="0.25">
      <c r="B61" s="865" t="s">
        <v>364</v>
      </c>
    </row>
    <row r="62" spans="2:6" ht="15.5" x14ac:dyDescent="0.25">
      <c r="B62" s="865" t="s">
        <v>365</v>
      </c>
    </row>
    <row r="63" spans="2:6" ht="15.5" x14ac:dyDescent="0.25">
      <c r="B63" s="865" t="s">
        <v>366</v>
      </c>
    </row>
    <row r="64" spans="2:6" ht="15.5" x14ac:dyDescent="0.25">
      <c r="B64" s="1463" t="s">
        <v>367</v>
      </c>
      <c r="C64" s="1463"/>
      <c r="D64" s="1463"/>
      <c r="E64" s="1463"/>
      <c r="F64" s="1463"/>
    </row>
    <row r="65" spans="2:2" ht="15.5" x14ac:dyDescent="0.25">
      <c r="B65" s="865" t="s">
        <v>368</v>
      </c>
    </row>
    <row r="66" spans="2:2" ht="15.5" x14ac:dyDescent="0.25">
      <c r="B66" s="865" t="s">
        <v>369</v>
      </c>
    </row>
    <row r="67" spans="2:2" ht="15.5" x14ac:dyDescent="0.25">
      <c r="B67" s="865" t="s">
        <v>370</v>
      </c>
    </row>
    <row r="68" spans="2:2" ht="15.5" x14ac:dyDescent="0.25">
      <c r="B68" s="865" t="s">
        <v>371</v>
      </c>
    </row>
    <row r="69" spans="2:2" ht="15.5" x14ac:dyDescent="0.25">
      <c r="B69" s="865" t="s">
        <v>372</v>
      </c>
    </row>
    <row r="70" spans="2:2" ht="15.5" x14ac:dyDescent="0.25">
      <c r="B70" s="865" t="s">
        <v>373</v>
      </c>
    </row>
    <row r="71" spans="2:2" ht="15.5" x14ac:dyDescent="0.25">
      <c r="B71" s="865" t="s">
        <v>374</v>
      </c>
    </row>
    <row r="72" spans="2:2" ht="15.5" x14ac:dyDescent="0.25">
      <c r="B72" s="865" t="s">
        <v>375</v>
      </c>
    </row>
    <row r="73" spans="2:2" ht="15.5" x14ac:dyDescent="0.25">
      <c r="B73" s="865" t="s">
        <v>376</v>
      </c>
    </row>
    <row r="74" spans="2:2" ht="15.5" x14ac:dyDescent="0.25">
      <c r="B74" s="865" t="s">
        <v>377</v>
      </c>
    </row>
    <row r="75" spans="2:2" ht="15.5" x14ac:dyDescent="0.25">
      <c r="B75" s="865" t="s">
        <v>378</v>
      </c>
    </row>
    <row r="76" spans="2:2" ht="15.5" x14ac:dyDescent="0.25">
      <c r="B76" s="865" t="s">
        <v>379</v>
      </c>
    </row>
    <row r="77" spans="2:2" ht="15.5" x14ac:dyDescent="0.25">
      <c r="B77" s="865" t="s">
        <v>380</v>
      </c>
    </row>
    <row r="78" spans="2:2" ht="15.5" x14ac:dyDescent="0.25">
      <c r="B78" s="865" t="s">
        <v>381</v>
      </c>
    </row>
    <row r="79" spans="2:2" ht="15.5" x14ac:dyDescent="0.25">
      <c r="B79" s="865" t="s">
        <v>382</v>
      </c>
    </row>
    <row r="80" spans="2:2" ht="15.5" x14ac:dyDescent="0.25">
      <c r="B80" s="865" t="s">
        <v>383</v>
      </c>
    </row>
    <row r="81" spans="2:4" ht="15.5" x14ac:dyDescent="0.25">
      <c r="B81" s="865" t="s">
        <v>384</v>
      </c>
    </row>
    <row r="82" spans="2:4" ht="15.5" x14ac:dyDescent="0.25">
      <c r="B82" s="865" t="s">
        <v>385</v>
      </c>
    </row>
    <row r="83" spans="2:4" ht="15.5" x14ac:dyDescent="0.25">
      <c r="B83" s="865" t="s">
        <v>386</v>
      </c>
    </row>
    <row r="84" spans="2:4" ht="15.5" x14ac:dyDescent="0.25">
      <c r="B84" s="865" t="s">
        <v>387</v>
      </c>
    </row>
    <row r="85" spans="2:4" ht="15.5" x14ac:dyDescent="0.25">
      <c r="B85" s="865" t="s">
        <v>388</v>
      </c>
    </row>
    <row r="86" spans="2:4" ht="15.5" x14ac:dyDescent="0.25">
      <c r="B86" s="865" t="s">
        <v>389</v>
      </c>
    </row>
    <row r="87" spans="2:4" ht="15.5" x14ac:dyDescent="0.25">
      <c r="B87" s="865" t="s">
        <v>390</v>
      </c>
    </row>
    <row r="88" spans="2:4" ht="15.5" x14ac:dyDescent="0.25">
      <c r="B88" s="865" t="s">
        <v>391</v>
      </c>
    </row>
    <row r="89" spans="2:4" ht="15.5" x14ac:dyDescent="0.25">
      <c r="B89" s="865" t="s">
        <v>392</v>
      </c>
    </row>
    <row r="90" spans="2:4" ht="15.5" x14ac:dyDescent="0.25">
      <c r="B90" s="1463" t="s">
        <v>393</v>
      </c>
      <c r="C90" s="1463"/>
      <c r="D90" s="1463"/>
    </row>
    <row r="91" spans="2:4" ht="15.5" x14ac:dyDescent="0.25">
      <c r="B91" s="865" t="s">
        <v>394</v>
      </c>
    </row>
    <row r="92" spans="2:4" ht="15.5" x14ac:dyDescent="0.25">
      <c r="B92" s="865" t="s">
        <v>395</v>
      </c>
    </row>
    <row r="93" spans="2:4" ht="15.5" x14ac:dyDescent="0.25">
      <c r="B93" s="865" t="s">
        <v>396</v>
      </c>
    </row>
    <row r="94" spans="2:4" ht="15.5" x14ac:dyDescent="0.25">
      <c r="B94" s="865" t="s">
        <v>397</v>
      </c>
    </row>
    <row r="95" spans="2:4" ht="15.5" x14ac:dyDescent="0.25">
      <c r="B95" s="865" t="s">
        <v>398</v>
      </c>
    </row>
    <row r="96" spans="2:4" ht="15.5" x14ac:dyDescent="0.25">
      <c r="B96" s="865" t="s">
        <v>399</v>
      </c>
    </row>
    <row r="97" spans="2:5" ht="15.5" x14ac:dyDescent="0.25">
      <c r="B97" s="1463" t="s">
        <v>400</v>
      </c>
      <c r="C97" s="1463"/>
      <c r="D97" s="1463"/>
      <c r="E97" s="1463"/>
    </row>
    <row r="98" spans="2:5" ht="15.5" x14ac:dyDescent="0.25">
      <c r="B98" s="1463" t="s">
        <v>401</v>
      </c>
      <c r="C98" s="1463"/>
      <c r="D98" s="1463"/>
    </row>
  </sheetData>
  <mergeCells count="37">
    <mergeCell ref="J9:J10"/>
    <mergeCell ref="K9:K10"/>
    <mergeCell ref="L9:L10"/>
    <mergeCell ref="M9:M10"/>
    <mergeCell ref="N9:N10"/>
    <mergeCell ref="B97:E97"/>
    <mergeCell ref="B98:D98"/>
    <mergeCell ref="A1:N1"/>
    <mergeCell ref="A3:A5"/>
    <mergeCell ref="B3:B5"/>
    <mergeCell ref="C3:C5"/>
    <mergeCell ref="D3:D5"/>
    <mergeCell ref="E3:E5"/>
    <mergeCell ref="F3:F5"/>
    <mergeCell ref="B32:D32"/>
    <mergeCell ref="B64:F64"/>
    <mergeCell ref="B55:F55"/>
    <mergeCell ref="B90:D90"/>
    <mergeCell ref="B11:B14"/>
    <mergeCell ref="J12:J13"/>
    <mergeCell ref="A15:A16"/>
    <mergeCell ref="B28:I28"/>
    <mergeCell ref="G3:G5"/>
    <mergeCell ref="H3:H5"/>
    <mergeCell ref="I3:I5"/>
    <mergeCell ref="J3:N3"/>
    <mergeCell ref="J4:J5"/>
    <mergeCell ref="K4:K5"/>
    <mergeCell ref="L4:N4"/>
    <mergeCell ref="B15:B16"/>
    <mergeCell ref="B23:B25"/>
    <mergeCell ref="A26:E26"/>
    <mergeCell ref="J26:N26"/>
    <mergeCell ref="D23:D25"/>
    <mergeCell ref="B6:B8"/>
    <mergeCell ref="D6:D8"/>
    <mergeCell ref="J6:J8"/>
  </mergeCells>
  <pageMargins left="0.70866141732283472" right="0.70866141732283472" top="0.74803149606299213" bottom="0.74803149606299213" header="0.31496062992125984" footer="0.31496062992125984"/>
  <pageSetup paperSize="9" scale="88" orientation="landscape" r:id="rId1"/>
  <colBreaks count="1" manualBreakCount="1">
    <brk id="1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5" sqref="C5"/>
    </sheetView>
  </sheetViews>
  <sheetFormatPr defaultRowHeight="12.5" x14ac:dyDescent="0.25"/>
  <sheetData>
    <row r="2" spans="2:2" ht="15.5" x14ac:dyDescent="0.25">
      <c r="B2" s="866" t="s">
        <v>409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6 programa</vt:lpstr>
      <vt:lpstr>Aiškinamoji lentelė</vt:lpstr>
      <vt:lpstr>Žvyruotos gatvės</vt:lpstr>
      <vt:lpstr>Viešasis transportas</vt:lpstr>
      <vt:lpstr>'6 programa'!Print_Area</vt:lpstr>
      <vt:lpstr>'Aiškinamoji lentelė'!Print_Area</vt:lpstr>
      <vt:lpstr>'Žvyruotos gatvės'!Print_Area</vt:lpstr>
      <vt:lpstr>'6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2022-02-14T19:05:02Z</cp:lastPrinted>
  <dcterms:created xsi:type="dcterms:W3CDTF">2007-07-27T10:32:34Z</dcterms:created>
  <dcterms:modified xsi:type="dcterms:W3CDTF">2022-02-14T19:07:03Z</dcterms:modified>
</cp:coreProperties>
</file>