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AS\pakeitimai po tarybos\"/>
    </mc:Choice>
  </mc:AlternateContent>
  <bookViews>
    <workbookView xWindow="-120" yWindow="-120" windowWidth="23160" windowHeight="9345"/>
  </bookViews>
  <sheets>
    <sheet name="Projektų sarašas" sheetId="8" r:id="rId1"/>
    <sheet name="Lyginamasis" sheetId="9" state="hidden" r:id="rId2"/>
  </sheets>
  <definedNames>
    <definedName name="_xlnm.Print_Area" localSheetId="1">Lyginamasis!$A$1:$X$156</definedName>
    <definedName name="_xlnm.Print_Area" localSheetId="0">'Projektų sarašas'!$A$1:$K$124</definedName>
    <definedName name="_xlnm.Print_Titles" localSheetId="0">'Projektų sarašas'!$4:$6</definedName>
  </definedNames>
  <calcPr calcId="162913"/>
</workbook>
</file>

<file path=xl/calcChain.xml><?xml version="1.0" encoding="utf-8"?>
<calcChain xmlns="http://schemas.openxmlformats.org/spreadsheetml/2006/main">
  <c r="G94" i="8" l="1"/>
  <c r="F14" i="8" l="1"/>
  <c r="K106" i="8" l="1"/>
  <c r="J106" i="8"/>
  <c r="H106" i="8"/>
  <c r="G56" i="8" l="1"/>
  <c r="K120" i="8" l="1"/>
  <c r="J120" i="8"/>
  <c r="I120" i="8"/>
  <c r="H120" i="8"/>
  <c r="G120" i="8"/>
  <c r="F119" i="8"/>
  <c r="K24" i="8"/>
  <c r="J24" i="8"/>
  <c r="I24" i="8"/>
  <c r="H24" i="8"/>
  <c r="F118" i="8" l="1"/>
  <c r="F82" i="8" l="1"/>
  <c r="F80" i="8"/>
  <c r="F79" i="8"/>
  <c r="F78" i="8"/>
  <c r="F77" i="8"/>
  <c r="F76" i="8"/>
  <c r="F75" i="8"/>
  <c r="F74" i="8"/>
  <c r="F73" i="8"/>
  <c r="F72" i="8"/>
  <c r="F71" i="8"/>
  <c r="K83" i="8"/>
  <c r="J83" i="8"/>
  <c r="I83" i="8"/>
  <c r="H83" i="8"/>
  <c r="F68" i="8"/>
  <c r="F67" i="8"/>
  <c r="F66" i="8"/>
  <c r="F65" i="8"/>
  <c r="F64" i="8"/>
  <c r="F63" i="8"/>
  <c r="F62" i="8"/>
  <c r="F61" i="8"/>
  <c r="F60" i="8"/>
  <c r="F59" i="8"/>
  <c r="F58" i="8"/>
  <c r="F57" i="8"/>
  <c r="F55" i="8"/>
  <c r="F54" i="8"/>
  <c r="F53" i="8"/>
  <c r="F52" i="8"/>
  <c r="F51" i="8"/>
  <c r="F50" i="8"/>
  <c r="F49" i="8"/>
  <c r="F48" i="8"/>
  <c r="F45" i="8"/>
  <c r="K16" i="8" l="1"/>
  <c r="G16" i="8" l="1"/>
  <c r="G9" i="8"/>
  <c r="F38" i="8" l="1"/>
  <c r="F37" i="8"/>
  <c r="F36" i="8"/>
  <c r="K9" i="8" l="1"/>
  <c r="J9" i="8"/>
  <c r="I9" i="8"/>
  <c r="H9" i="8"/>
  <c r="F8" i="8"/>
  <c r="F9" i="8" s="1"/>
  <c r="K112" i="8" l="1"/>
  <c r="I112" i="8"/>
  <c r="G112" i="8"/>
  <c r="J112" i="8" l="1"/>
  <c r="H112" i="8"/>
  <c r="F111" i="8"/>
  <c r="F105" i="8"/>
  <c r="G21" i="8"/>
  <c r="G19" i="8"/>
  <c r="G81" i="8" l="1"/>
  <c r="F81" i="8" l="1"/>
  <c r="F95" i="8"/>
  <c r="G22" i="8"/>
  <c r="F22" i="8" l="1"/>
  <c r="G24" i="8"/>
  <c r="F12" i="8"/>
  <c r="F11" i="8"/>
  <c r="F83" i="8" l="1"/>
  <c r="G83" i="8"/>
  <c r="G33" i="8"/>
  <c r="G46" i="8" l="1"/>
  <c r="J121" i="9" l="1"/>
  <c r="K121" i="9" s="1"/>
  <c r="J105" i="9"/>
  <c r="J98" i="9"/>
  <c r="J97" i="9"/>
  <c r="J71" i="9"/>
  <c r="S60" i="9"/>
  <c r="T60" i="9" s="1"/>
  <c r="G59" i="9"/>
  <c r="F59" i="9"/>
  <c r="S59" i="9"/>
  <c r="T59" i="9" s="1"/>
  <c r="J30" i="9"/>
  <c r="K30" i="9" s="1"/>
  <c r="J25" i="9"/>
  <c r="K25" i="9" s="1"/>
  <c r="H59" i="9" l="1"/>
  <c r="G121" i="9"/>
  <c r="S85" i="9"/>
  <c r="J85" i="9"/>
  <c r="G85" i="9" l="1"/>
  <c r="T85" i="9"/>
  <c r="V55" i="9"/>
  <c r="W55" i="9" s="1"/>
  <c r="F50" i="9"/>
  <c r="J50" i="9"/>
  <c r="K50" i="9" s="1"/>
  <c r="F38" i="9"/>
  <c r="J38" i="9"/>
  <c r="G38" i="9" s="1"/>
  <c r="H38" i="9" s="1"/>
  <c r="G50" i="9" l="1"/>
  <c r="H50" i="9" s="1"/>
  <c r="K38" i="9"/>
  <c r="F86" i="9"/>
  <c r="F18" i="9"/>
  <c r="F65" i="9"/>
  <c r="F66" i="9"/>
  <c r="F67" i="9"/>
  <c r="F68" i="9"/>
  <c r="F69" i="9"/>
  <c r="F64" i="9"/>
  <c r="I151" i="9"/>
  <c r="I139" i="9"/>
  <c r="I131" i="9"/>
  <c r="I120" i="9"/>
  <c r="I105" i="9"/>
  <c r="K105" i="9" s="1"/>
  <c r="I103" i="9"/>
  <c r="I102" i="9"/>
  <c r="I99" i="9"/>
  <c r="I97" i="9"/>
  <c r="K97" i="9" s="1"/>
  <c r="O93" i="9"/>
  <c r="L93" i="9"/>
  <c r="I93" i="9"/>
  <c r="U52" i="9"/>
  <c r="R52" i="9"/>
  <c r="I52" i="9"/>
  <c r="I47" i="9"/>
  <c r="I42" i="9"/>
  <c r="F120" i="9" l="1"/>
  <c r="F33" i="9"/>
  <c r="I35" i="9" l="1"/>
  <c r="F35" i="9" s="1"/>
  <c r="G106" i="8" l="1"/>
  <c r="F94" i="8" l="1"/>
  <c r="G120" i="9"/>
  <c r="J120" i="9"/>
  <c r="J139" i="9" l="1"/>
  <c r="G139" i="9" s="1"/>
  <c r="A156" i="9" l="1"/>
  <c r="J99" i="9"/>
  <c r="J151" i="9" l="1"/>
  <c r="G151" i="9" s="1"/>
  <c r="P93" i="9"/>
  <c r="M93" i="9"/>
  <c r="J93" i="9"/>
  <c r="F52" i="9"/>
  <c r="V52" i="9"/>
  <c r="S52" i="9"/>
  <c r="J52" i="9"/>
  <c r="J47" i="9"/>
  <c r="G40" i="8"/>
  <c r="G41" i="8" s="1"/>
  <c r="J42" i="9"/>
  <c r="J35" i="9"/>
  <c r="J33" i="9"/>
  <c r="G33" i="9" s="1"/>
  <c r="G35" i="9" l="1"/>
  <c r="G52" i="9"/>
  <c r="G93" i="9"/>
  <c r="J131" i="9" l="1"/>
  <c r="I27" i="9" l="1"/>
  <c r="J103" i="9"/>
  <c r="J102" i="9"/>
  <c r="G69" i="9" l="1"/>
  <c r="G65" i="9"/>
  <c r="G66" i="9"/>
  <c r="G67" i="9"/>
  <c r="G68" i="9"/>
  <c r="G64" i="9"/>
  <c r="S63" i="9"/>
  <c r="G63" i="9" s="1"/>
  <c r="R63" i="9"/>
  <c r="F63" i="9" s="1"/>
  <c r="P136" i="9" l="1"/>
  <c r="O136" i="9"/>
  <c r="I85" i="9"/>
  <c r="K85" i="9" s="1"/>
  <c r="R54" i="9"/>
  <c r="F47" i="9"/>
  <c r="F56" i="8" l="1"/>
  <c r="I147" i="9" l="1"/>
  <c r="L87" i="9"/>
  <c r="M87" i="9"/>
  <c r="O87" i="9"/>
  <c r="P87" i="9"/>
  <c r="U87" i="9"/>
  <c r="V87" i="9"/>
  <c r="W27" i="9" l="1"/>
  <c r="V27" i="9"/>
  <c r="U27" i="9"/>
  <c r="T27" i="9"/>
  <c r="S27" i="9"/>
  <c r="R27" i="9"/>
  <c r="P27" i="9"/>
  <c r="O27" i="9"/>
  <c r="N27" i="9"/>
  <c r="L27" i="9"/>
  <c r="J27" i="9"/>
  <c r="W155" i="9" l="1"/>
  <c r="V155" i="9"/>
  <c r="T155" i="9"/>
  <c r="S155" i="9"/>
  <c r="Q155" i="9"/>
  <c r="P155" i="9"/>
  <c r="M155" i="9"/>
  <c r="J155" i="9"/>
  <c r="G57" i="9"/>
  <c r="G56" i="9"/>
  <c r="G55" i="9"/>
  <c r="G61" i="9"/>
  <c r="G60" i="9"/>
  <c r="G154" i="9"/>
  <c r="G152" i="9"/>
  <c r="G150" i="9"/>
  <c r="G146" i="9"/>
  <c r="G145" i="9"/>
  <c r="G144" i="9"/>
  <c r="G143" i="9"/>
  <c r="G142" i="9"/>
  <c r="G141" i="9"/>
  <c r="G140" i="9"/>
  <c r="G135" i="9"/>
  <c r="G134" i="9"/>
  <c r="G133" i="9"/>
  <c r="G132" i="9"/>
  <c r="G131" i="9"/>
  <c r="G130" i="9"/>
  <c r="G129" i="9"/>
  <c r="G128" i="9"/>
  <c r="G127" i="9"/>
  <c r="G126" i="9"/>
  <c r="G125" i="9"/>
  <c r="G123" i="9"/>
  <c r="G122" i="9"/>
  <c r="G119" i="9"/>
  <c r="G118" i="9"/>
  <c r="G115" i="9"/>
  <c r="G114" i="9"/>
  <c r="G113" i="9"/>
  <c r="G112" i="9"/>
  <c r="G111" i="9"/>
  <c r="G110" i="9"/>
  <c r="G90" i="9"/>
  <c r="G89" i="9"/>
  <c r="G92" i="9"/>
  <c r="G107" i="9"/>
  <c r="G106" i="9"/>
  <c r="G105" i="9"/>
  <c r="G103" i="9"/>
  <c r="G102" i="9"/>
  <c r="G101" i="9"/>
  <c r="G100" i="9"/>
  <c r="G99" i="9"/>
  <c r="G96" i="9"/>
  <c r="G95" i="9"/>
  <c r="G94" i="9"/>
  <c r="G98" i="9"/>
  <c r="G97" i="9"/>
  <c r="G83" i="9"/>
  <c r="G82" i="9"/>
  <c r="G81" i="9"/>
  <c r="G80" i="9"/>
  <c r="G79" i="9"/>
  <c r="G77" i="9"/>
  <c r="G76" i="9"/>
  <c r="S75" i="9"/>
  <c r="G75" i="9" s="1"/>
  <c r="S72" i="9"/>
  <c r="G72" i="9" s="1"/>
  <c r="S62" i="9"/>
  <c r="G62" i="9" s="1"/>
  <c r="G53" i="9"/>
  <c r="G49" i="9"/>
  <c r="G71" i="9" l="1"/>
  <c r="G34" i="9"/>
  <c r="G43" i="9"/>
  <c r="G42" i="9"/>
  <c r="G41" i="9"/>
  <c r="G40" i="9"/>
  <c r="G39" i="9"/>
  <c r="G37" i="9"/>
  <c r="G36" i="9"/>
  <c r="G32" i="9"/>
  <c r="G31" i="9"/>
  <c r="G30" i="9"/>
  <c r="G29" i="9"/>
  <c r="G26" i="9"/>
  <c r="G25" i="9"/>
  <c r="G24" i="9"/>
  <c r="G23" i="9"/>
  <c r="G22" i="9"/>
  <c r="G20" i="9"/>
  <c r="G19" i="9"/>
  <c r="G17" i="9"/>
  <c r="G14" i="9"/>
  <c r="G15" i="9" s="1"/>
  <c r="G11" i="9"/>
  <c r="G10" i="9"/>
  <c r="G9" i="9"/>
  <c r="G8" i="9"/>
  <c r="F8" i="9"/>
  <c r="G27" i="9" l="1"/>
  <c r="G44" i="9"/>
  <c r="G12" i="9"/>
  <c r="W147" i="9"/>
  <c r="V147" i="9"/>
  <c r="T147" i="9"/>
  <c r="S147" i="9"/>
  <c r="P147" i="9"/>
  <c r="M147" i="9"/>
  <c r="J147" i="9"/>
  <c r="W136" i="9"/>
  <c r="V136" i="9"/>
  <c r="T136" i="9"/>
  <c r="S136" i="9"/>
  <c r="N136" i="9"/>
  <c r="M136" i="9"/>
  <c r="J136" i="9"/>
  <c r="W116" i="9"/>
  <c r="V116" i="9"/>
  <c r="T116" i="9"/>
  <c r="S116" i="9"/>
  <c r="Q116" i="9"/>
  <c r="P116" i="9"/>
  <c r="N116" i="9"/>
  <c r="M116" i="9"/>
  <c r="K116" i="9"/>
  <c r="J116" i="9"/>
  <c r="H116" i="9"/>
  <c r="G116" i="9"/>
  <c r="W108" i="9"/>
  <c r="V108" i="9"/>
  <c r="T108" i="9"/>
  <c r="S108" i="9"/>
  <c r="P108" i="9"/>
  <c r="M108" i="9"/>
  <c r="J108" i="9"/>
  <c r="W44" i="9"/>
  <c r="V44" i="9"/>
  <c r="T44" i="9"/>
  <c r="S44" i="9"/>
  <c r="P44" i="9"/>
  <c r="M44" i="9"/>
  <c r="J44" i="9"/>
  <c r="M27" i="9"/>
  <c r="W15" i="9"/>
  <c r="V15" i="9"/>
  <c r="T15" i="9"/>
  <c r="S15" i="9"/>
  <c r="Q15" i="9"/>
  <c r="P15" i="9"/>
  <c r="N15" i="9"/>
  <c r="M15" i="9"/>
  <c r="K15" i="9"/>
  <c r="J15" i="9"/>
  <c r="H15" i="9"/>
  <c r="W12" i="9"/>
  <c r="V12" i="9"/>
  <c r="V156" i="9" s="1"/>
  <c r="T12" i="9"/>
  <c r="S12" i="9"/>
  <c r="Q12" i="9"/>
  <c r="P12" i="9"/>
  <c r="P156" i="9" s="1"/>
  <c r="N12" i="9"/>
  <c r="M12" i="9"/>
  <c r="K12" i="9"/>
  <c r="J12" i="9"/>
  <c r="H12" i="9"/>
  <c r="M156" i="9" l="1"/>
  <c r="J87" i="9" l="1"/>
  <c r="J156" i="9" s="1"/>
  <c r="J44" i="8"/>
  <c r="H44" i="8"/>
  <c r="H69" i="8" s="1"/>
  <c r="G44" i="8"/>
  <c r="K69" i="8"/>
  <c r="J43" i="8"/>
  <c r="F43" i="8" s="1"/>
  <c r="I69" i="8"/>
  <c r="I98" i="8"/>
  <c r="I106" i="8" s="1"/>
  <c r="J47" i="8"/>
  <c r="F47" i="8" s="1"/>
  <c r="J46" i="8"/>
  <c r="F46" i="8" s="1"/>
  <c r="N44" i="9"/>
  <c r="Q44" i="9"/>
  <c r="F28" i="8"/>
  <c r="F44" i="8" l="1"/>
  <c r="F69" i="8" s="1"/>
  <c r="G69" i="8"/>
  <c r="G124" i="9"/>
  <c r="G136" i="9" s="1"/>
  <c r="G84" i="9"/>
  <c r="S54" i="9" l="1"/>
  <c r="S87" i="9" s="1"/>
  <c r="S156" i="9" s="1"/>
  <c r="G54" i="9"/>
  <c r="G46" i="9" l="1"/>
  <c r="Q87" i="9"/>
  <c r="G149" i="9" l="1"/>
  <c r="K155" i="9" l="1"/>
  <c r="G155" i="9"/>
  <c r="N155" i="9"/>
  <c r="G138" i="9"/>
  <c r="G147" i="9" s="1"/>
  <c r="Q147" i="9"/>
  <c r="N147" i="9"/>
  <c r="Q136" i="9"/>
  <c r="K147" i="9" l="1"/>
  <c r="G104" i="9"/>
  <c r="G91" i="9" l="1"/>
  <c r="G108" i="9" s="1"/>
  <c r="Q108" i="9"/>
  <c r="N108" i="9"/>
  <c r="G48" i="9" l="1"/>
  <c r="G47" i="9" l="1"/>
  <c r="G87" i="9" s="1"/>
  <c r="W87" i="9"/>
  <c r="W156" i="9" s="1"/>
  <c r="N87" i="9"/>
  <c r="N156" i="9" s="1"/>
  <c r="G156" i="9" l="1"/>
  <c r="K44" i="9" l="1"/>
  <c r="Q27" i="9"/>
  <c r="Q156" i="9" s="1"/>
  <c r="K27" i="9"/>
  <c r="F151" i="9" l="1"/>
  <c r="F154" i="9"/>
  <c r="F153" i="9"/>
  <c r="F152" i="9"/>
  <c r="F150" i="9"/>
  <c r="F149" i="9"/>
  <c r="F146" i="9"/>
  <c r="F145" i="9"/>
  <c r="F144" i="9"/>
  <c r="F143" i="9"/>
  <c r="F141" i="9"/>
  <c r="F140" i="9"/>
  <c r="F139" i="9"/>
  <c r="F138" i="9"/>
  <c r="F135" i="9"/>
  <c r="F134" i="9"/>
  <c r="F133" i="9"/>
  <c r="F132" i="9"/>
  <c r="F131" i="9"/>
  <c r="F130" i="9"/>
  <c r="F129" i="9"/>
  <c r="F128" i="9"/>
  <c r="F127" i="9"/>
  <c r="F126" i="9"/>
  <c r="F125" i="9"/>
  <c r="F124" i="9"/>
  <c r="F123" i="9"/>
  <c r="F122" i="9"/>
  <c r="F119" i="9"/>
  <c r="F118" i="9"/>
  <c r="F115" i="9"/>
  <c r="F114" i="9"/>
  <c r="F113" i="9"/>
  <c r="F112" i="9"/>
  <c r="F111" i="9"/>
  <c r="F110" i="9"/>
  <c r="F107" i="9"/>
  <c r="F106" i="9"/>
  <c r="F105" i="9"/>
  <c r="H105" i="9" s="1"/>
  <c r="F104" i="9"/>
  <c r="F103" i="9"/>
  <c r="F102" i="9"/>
  <c r="F101" i="9"/>
  <c r="F100" i="9"/>
  <c r="F99" i="9"/>
  <c r="F96" i="9"/>
  <c r="F95" i="9"/>
  <c r="F94" i="9"/>
  <c r="F93" i="9"/>
  <c r="F92" i="9"/>
  <c r="F90" i="9"/>
  <c r="F89" i="9"/>
  <c r="F85" i="9"/>
  <c r="H85" i="9" s="1"/>
  <c r="F84" i="9"/>
  <c r="F83" i="9"/>
  <c r="F82" i="9"/>
  <c r="F81" i="9"/>
  <c r="F80" i="9"/>
  <c r="F79" i="9"/>
  <c r="F78" i="9"/>
  <c r="F77" i="9"/>
  <c r="F76" i="9"/>
  <c r="F61" i="9"/>
  <c r="F60" i="9"/>
  <c r="H60" i="9" s="1"/>
  <c r="F57" i="9"/>
  <c r="F56" i="9"/>
  <c r="F55" i="9"/>
  <c r="H55" i="9" s="1"/>
  <c r="F54" i="9"/>
  <c r="F53" i="9"/>
  <c r="F51" i="9"/>
  <c r="F49" i="9"/>
  <c r="F48" i="9"/>
  <c r="F46" i="9"/>
  <c r="F43" i="9"/>
  <c r="F42" i="9"/>
  <c r="F41" i="9"/>
  <c r="F40" i="9"/>
  <c r="F39" i="9"/>
  <c r="F37" i="9"/>
  <c r="F36" i="9"/>
  <c r="F34" i="9"/>
  <c r="F32" i="9"/>
  <c r="F31" i="9"/>
  <c r="F30" i="9"/>
  <c r="H30" i="9" s="1"/>
  <c r="F29" i="9"/>
  <c r="F26" i="9"/>
  <c r="F25" i="9"/>
  <c r="H25" i="9" s="1"/>
  <c r="F24" i="9"/>
  <c r="F23" i="9"/>
  <c r="F22" i="9"/>
  <c r="F21" i="9"/>
  <c r="F20" i="9"/>
  <c r="F19" i="9"/>
  <c r="F17" i="9"/>
  <c r="F14" i="9"/>
  <c r="F15" i="9" s="1"/>
  <c r="F11" i="9"/>
  <c r="F10" i="9"/>
  <c r="F9" i="9"/>
  <c r="F142" i="9"/>
  <c r="U155" i="9"/>
  <c r="U147" i="9"/>
  <c r="U136" i="9"/>
  <c r="U116" i="9"/>
  <c r="U108" i="9"/>
  <c r="U44" i="9"/>
  <c r="U15" i="9"/>
  <c r="U12" i="9"/>
  <c r="R155" i="9"/>
  <c r="O155" i="9"/>
  <c r="L155" i="9"/>
  <c r="I155" i="9"/>
  <c r="R147" i="9"/>
  <c r="O147" i="9"/>
  <c r="L147" i="9"/>
  <c r="R136" i="9"/>
  <c r="L136" i="9"/>
  <c r="R116" i="9"/>
  <c r="O116" i="9"/>
  <c r="L116" i="9"/>
  <c r="I116" i="9"/>
  <c r="R108" i="9"/>
  <c r="O108" i="9"/>
  <c r="L108" i="9"/>
  <c r="I98" i="9"/>
  <c r="R75" i="9"/>
  <c r="F75" i="9" s="1"/>
  <c r="R72" i="9"/>
  <c r="F72" i="9" s="1"/>
  <c r="I71" i="9"/>
  <c r="R62" i="9"/>
  <c r="R44" i="9"/>
  <c r="O44" i="9"/>
  <c r="L44" i="9"/>
  <c r="I44" i="9"/>
  <c r="R15" i="9"/>
  <c r="O15" i="9"/>
  <c r="L15" i="9"/>
  <c r="I15" i="9"/>
  <c r="R12" i="9"/>
  <c r="O12" i="9"/>
  <c r="L12" i="9"/>
  <c r="I12" i="9"/>
  <c r="F98" i="9" l="1"/>
  <c r="H98" i="9" s="1"/>
  <c r="K98" i="9"/>
  <c r="F71" i="9"/>
  <c r="H71" i="9" s="1"/>
  <c r="H87" i="9" s="1"/>
  <c r="K71" i="9"/>
  <c r="K87" i="9" s="1"/>
  <c r="I87" i="9"/>
  <c r="F97" i="9"/>
  <c r="H97" i="9" s="1"/>
  <c r="F12" i="9"/>
  <c r="F27" i="9"/>
  <c r="H27" i="9"/>
  <c r="F44" i="9"/>
  <c r="F62" i="9"/>
  <c r="R87" i="9"/>
  <c r="R156" i="9" s="1"/>
  <c r="U156" i="9"/>
  <c r="H44" i="9"/>
  <c r="H147" i="9"/>
  <c r="F147" i="9"/>
  <c r="H155" i="9"/>
  <c r="F70" i="9"/>
  <c r="T87" i="9"/>
  <c r="T156" i="9" s="1"/>
  <c r="I136" i="9"/>
  <c r="K136" i="9"/>
  <c r="F121" i="9"/>
  <c r="F116" i="9"/>
  <c r="F155" i="9"/>
  <c r="O156" i="9"/>
  <c r="L156" i="9"/>
  <c r="F136" i="9" l="1"/>
  <c r="H121" i="9"/>
  <c r="H136" i="9" s="1"/>
  <c r="H108" i="9"/>
  <c r="K108" i="9"/>
  <c r="F87" i="9"/>
  <c r="H90" i="8"/>
  <c r="I90" i="8"/>
  <c r="J90" i="8"/>
  <c r="K90" i="8"/>
  <c r="G90" i="8"/>
  <c r="G121" i="8" s="1"/>
  <c r="F96" i="8" l="1"/>
  <c r="F13" i="8" l="1"/>
  <c r="K41" i="8" l="1"/>
  <c r="J41" i="8"/>
  <c r="I41" i="8"/>
  <c r="H41" i="8"/>
  <c r="F23" i="8" l="1"/>
  <c r="F104" i="8" l="1"/>
  <c r="F103" i="8"/>
  <c r="J69" i="8" l="1"/>
  <c r="F40" i="8" l="1"/>
  <c r="F15" i="8" l="1"/>
  <c r="F16" i="8" s="1"/>
  <c r="J16" i="8"/>
  <c r="I16" i="8"/>
  <c r="F21" i="8" l="1"/>
  <c r="F20" i="8"/>
  <c r="F19" i="8"/>
  <c r="F18" i="8"/>
  <c r="F117" i="8"/>
  <c r="F116" i="8"/>
  <c r="F115" i="8"/>
  <c r="F114" i="8"/>
  <c r="F110" i="8"/>
  <c r="F109" i="8"/>
  <c r="F108" i="8"/>
  <c r="F102" i="8"/>
  <c r="F101" i="8"/>
  <c r="F100" i="8"/>
  <c r="F99" i="8"/>
  <c r="F98" i="8"/>
  <c r="F97" i="8"/>
  <c r="F93" i="8"/>
  <c r="F92" i="8"/>
  <c r="F89" i="8"/>
  <c r="F88" i="8"/>
  <c r="F87" i="8"/>
  <c r="F86" i="8"/>
  <c r="F85" i="8"/>
  <c r="I121" i="8"/>
  <c r="F39" i="8"/>
  <c r="F35" i="8"/>
  <c r="F34" i="8"/>
  <c r="F33" i="8"/>
  <c r="F32" i="8"/>
  <c r="F31" i="8"/>
  <c r="F30" i="8"/>
  <c r="F29" i="8"/>
  <c r="F27" i="8"/>
  <c r="F26" i="8"/>
  <c r="H16" i="8"/>
  <c r="F120" i="8" l="1"/>
  <c r="F106" i="8"/>
  <c r="F24" i="8"/>
  <c r="F41" i="8"/>
  <c r="F90" i="8"/>
  <c r="F112" i="8"/>
  <c r="K121" i="8"/>
  <c r="H121" i="8"/>
  <c r="J121" i="8"/>
  <c r="F121" i="8" l="1"/>
  <c r="F91" i="9"/>
  <c r="I108" i="9"/>
  <c r="I156" i="9"/>
  <c r="H156" i="9" l="1"/>
  <c r="F108" i="9"/>
  <c r="K156" i="9"/>
  <c r="F156" i="9" l="1"/>
</calcChain>
</file>

<file path=xl/comments1.xml><?xml version="1.0" encoding="utf-8"?>
<comments xmlns="http://schemas.openxmlformats.org/spreadsheetml/2006/main">
  <authors>
    <author>Snieguole Kacerauskaite</author>
    <author>Audra Cepiene</author>
    <author>Saulina Paulauskiene</author>
    <author>Asta Česnauskienė</author>
  </authors>
  <commentList>
    <comment ref="B14" authorId="0" shapeId="0">
      <text>
        <r>
          <rPr>
            <sz val="9"/>
            <color indexed="81"/>
            <rFont val="Tahoma"/>
            <family val="2"/>
            <charset val="186"/>
          </rPr>
          <t xml:space="preserve">Bus rengiamas projektas ir atliekami rangos darbai (rekonstrukcija)
</t>
        </r>
      </text>
    </comment>
    <comment ref="B27" authorId="1" shapeId="0">
      <text>
        <r>
          <rPr>
            <sz val="9"/>
            <color indexed="81"/>
            <rFont val="Tahoma"/>
            <family val="2"/>
            <charset val="186"/>
          </rPr>
          <t>Techninis projektas parengtas 2019 m., Parengimo kaina neįtraukta į projekto vertę</t>
        </r>
      </text>
    </comment>
    <comment ref="B61" authorId="0" shapeId="0">
      <text>
        <r>
          <rPr>
            <sz val="9"/>
            <color indexed="81"/>
            <rFont val="Tahoma"/>
            <family val="2"/>
            <charset val="186"/>
          </rPr>
          <t>parengus TP darbų kaina ir terminai bus tikslinami</t>
        </r>
      </text>
    </comment>
    <comment ref="B66" authorId="0" shapeId="0">
      <text>
        <r>
          <rPr>
            <sz val="9"/>
            <color indexed="81"/>
            <rFont val="Tahoma"/>
            <family val="2"/>
            <charset val="186"/>
          </rPr>
          <t xml:space="preserve">parengus TP darbų kaina ir terminai bus tikslinami
</t>
        </r>
      </text>
    </comment>
    <comment ref="B80" authorId="1" shapeId="0">
      <text>
        <r>
          <rPr>
            <sz val="9"/>
            <color indexed="81"/>
            <rFont val="Tahoma"/>
            <family val="2"/>
            <charset val="186"/>
          </rPr>
          <t xml:space="preserve">Techninis projektas parengtas 2019 m., Parengimo kaina neįtraukta prie projekto vertės
</t>
        </r>
      </text>
    </comment>
    <comment ref="G81" authorId="2" shapeId="0">
      <text>
        <r>
          <rPr>
            <sz val="9"/>
            <color indexed="81"/>
            <rFont val="Tahoma"/>
            <family val="2"/>
            <charset val="186"/>
          </rPr>
          <t>Projektas 14,5 tūkst. Eur parengtas 2020 m.</t>
        </r>
      </text>
    </comment>
    <comment ref="F89" authorId="0" shapeId="0">
      <text>
        <r>
          <rPr>
            <sz val="9"/>
            <color indexed="81"/>
            <rFont val="Tahoma"/>
            <family val="2"/>
            <charset val="186"/>
          </rPr>
          <t>Pagal įvykusį architektūrinį konkursą, I vietos laimėtoją projektas padalintas etapais ir jų bendra vertė 48490 tūkst. € (I et. 6650, II et. 5670, III et. 36170). Vertinimo komisijos viena iš išvadų - nesudarinėti sutarčių su projektuotojais.</t>
        </r>
      </text>
    </comment>
    <comment ref="B110" authorId="3" shapeId="0">
      <text>
        <r>
          <rPr>
            <sz val="9"/>
            <color indexed="81"/>
            <rFont val="Tahoma"/>
            <family val="2"/>
            <charset val="186"/>
          </rPr>
          <t>2023-2024 m. bus rengiamas techninis projektas (jo parengimui numatyta 50,0 tūkst. Eur), po jo parengimo paaiškės tikslesnė pastato renovacijos suma</t>
        </r>
        <r>
          <rPr>
            <sz val="9"/>
            <color indexed="81"/>
            <rFont val="Tahoma"/>
            <family val="2"/>
            <charset val="186"/>
          </rPr>
          <t xml:space="preserve">
</t>
        </r>
      </text>
    </comment>
  </commentList>
</comments>
</file>

<file path=xl/comments2.xml><?xml version="1.0" encoding="utf-8"?>
<comments xmlns="http://schemas.openxmlformats.org/spreadsheetml/2006/main">
  <authors>
    <author>Snieguole Kacerauskaite</author>
    <author>Audra Cepiene</author>
  </authors>
  <commentList>
    <comment ref="B17" authorId="0" shapeId="0">
      <text>
        <r>
          <rPr>
            <sz val="9"/>
            <color indexed="81"/>
            <rFont val="Tahoma"/>
            <family val="2"/>
            <charset val="186"/>
          </rPr>
          <t>Dėl papildomų projektavimo darbų (pagal VšĮ Klaipėdos vaikų ligoninė raštą)</t>
        </r>
      </text>
    </comment>
    <comment ref="B30" authorId="1" shapeId="0">
      <text>
        <r>
          <rPr>
            <sz val="9"/>
            <color indexed="81"/>
            <rFont val="Tahoma"/>
            <family val="2"/>
            <charset val="186"/>
          </rPr>
          <t>Techninis projektas parengtas 2019 m., Parengimo kaina neįtraukta į projekto vertę</t>
        </r>
      </text>
    </comment>
    <comment ref="B100" authorId="1" shapeId="0">
      <text>
        <r>
          <rPr>
            <sz val="9"/>
            <color indexed="81"/>
            <rFont val="Tahoma"/>
            <family val="2"/>
            <charset val="186"/>
          </rPr>
          <t xml:space="preserve">Techninis projektas parengtas 2019 m., Parengimo kaina neįtraukta prie projekto vertės
</t>
        </r>
      </text>
    </comment>
    <comment ref="F115" authorId="0" shapeId="0">
      <text>
        <r>
          <rPr>
            <sz val="9"/>
            <color indexed="81"/>
            <rFont val="Tahoma"/>
            <family val="2"/>
            <charset val="186"/>
          </rPr>
          <t>Pagal įvykusį architektūrinį konkursą, I vietos laimėtoją projektas padalintas etapais ir jų bendra vertė 48490 tūkst. € (I et. 6650, II et. 5670, III et. 36170). Vertinimo komisijos viena iš išvadų - nesudarinėti sutarčių su projektuotojais.</t>
        </r>
      </text>
    </comment>
    <comment ref="G115" authorId="0" shapeId="0">
      <text>
        <r>
          <rPr>
            <sz val="9"/>
            <color indexed="81"/>
            <rFont val="Tahoma"/>
            <family val="2"/>
            <charset val="186"/>
          </rPr>
          <t>Pagal įvykusį architektūrinį konkursą, I vietos laimėtoją projektas padalintas etapais ir jų bendra vertė 48490 tūkst. € (I et. 6650, II et. 5670, III et. 36170). Vertinimo komisijos viena iš išvadų - nesudarinėti sutarčių su projektuotojais.</t>
        </r>
      </text>
    </comment>
    <comment ref="B119" authorId="0" shapeId="0">
      <text>
        <r>
          <rPr>
            <sz val="9"/>
            <color indexed="81"/>
            <rFont val="Tahoma"/>
            <family val="2"/>
            <charset val="186"/>
          </rPr>
          <t>Projekto vertė padidinta 1500 tūkst. € dėl konstrukcijų keitimo (756,0), dėl šilumos siurblių įtraukimo į projektą (340,0), dėl medinių sijų, priešgaisrinių reikalavimų, smėlio kiekio (400,0).</t>
        </r>
      </text>
    </comment>
    <comment ref="B124" authorId="0" shapeId="0">
      <text>
        <r>
          <rPr>
            <sz val="9"/>
            <color indexed="81"/>
            <rFont val="Tahoma"/>
            <family val="2"/>
            <charset val="186"/>
          </rPr>
          <t>Planuojami mažesnės apimties darbai</t>
        </r>
      </text>
    </comment>
    <comment ref="B126" authorId="0" shapeId="0">
      <text>
        <r>
          <rPr>
            <sz val="9"/>
            <color indexed="81"/>
            <rFont val="Tahoma"/>
            <family val="2"/>
            <charset val="186"/>
          </rPr>
          <t>Vertė padidinta rangos darbų rezervui.</t>
        </r>
      </text>
    </comment>
    <comment ref="B144" authorId="0" shapeId="0">
      <text>
        <r>
          <rPr>
            <sz val="9"/>
            <color indexed="81"/>
            <rFont val="Tahoma"/>
            <family val="2"/>
            <charset val="186"/>
          </rPr>
          <t>2023 m. plaanuojamas tik tech.projekto parengimas 50 tūkst. €</t>
        </r>
      </text>
    </comment>
    <comment ref="B149" authorId="0" shapeId="0">
      <text>
        <r>
          <rPr>
            <sz val="9"/>
            <color indexed="81"/>
            <rFont val="Tahoma"/>
            <family val="2"/>
            <charset val="186"/>
          </rPr>
          <t>Rangos darbai nupirkti brangiau nei planuota</t>
        </r>
      </text>
    </comment>
    <comment ref="B151" authorId="0" shapeId="0">
      <text>
        <r>
          <rPr>
            <sz val="9"/>
            <color indexed="81"/>
            <rFont val="Tahoma"/>
            <family val="2"/>
            <charset val="186"/>
          </rPr>
          <t>Dėl TDP konstrukcijų dalies pakeitimų (klaidų), buvo atlikta pakartotinė ekspertizė ir perskaičiuotos pastato apkrovos, padidėjo grunto iškasimo apimtys, sutvirtintos pamatų papėdės, perdangose įtraukti monolitiniai ruožai, armatūros kiekis padidintas, pakeista sienų apšiltinimo medžiaga ir kt. (254 tūkst. papildomi darbai)</t>
        </r>
      </text>
    </comment>
  </commentList>
</comments>
</file>

<file path=xl/sharedStrings.xml><?xml version="1.0" encoding="utf-8"?>
<sst xmlns="http://schemas.openxmlformats.org/spreadsheetml/2006/main" count="963" uniqueCount="307">
  <si>
    <t>Investicijų projekto pavadinimas</t>
  </si>
  <si>
    <t>Savivaldybės biudžeto lėšų poreikis</t>
  </si>
  <si>
    <t>Europos Sąjungos ir kita tarptautinė finansinė parama</t>
  </si>
  <si>
    <t>Lietuvos Respublikos valstybės biudžeto lėšų poreikis</t>
  </si>
  <si>
    <t>Kelių priežiūros ir plėtros programos lėšos</t>
  </si>
  <si>
    <t>pradžia</t>
  </si>
  <si>
    <t>pabaiga</t>
  </si>
  <si>
    <t>SB</t>
  </si>
  <si>
    <t>ES</t>
  </si>
  <si>
    <t xml:space="preserve">VB </t>
  </si>
  <si>
    <t>KPPP</t>
  </si>
  <si>
    <t>06 programa. Susisiekimo sistemos priežiūros ir plėtros programa</t>
  </si>
  <si>
    <t>Įgyvendinimo terminai</t>
  </si>
  <si>
    <t>Iš viso:</t>
  </si>
  <si>
    <t>Bendra projekto vertė</t>
  </si>
  <si>
    <t>05 programa. Aplinkos apsaugos programa</t>
  </si>
  <si>
    <t>Oro taršos kietosiomis dalelėmis mažinimas, atnaujinant gatvių priežiūros ir valymo technologijas</t>
  </si>
  <si>
    <t>Kitos lėšos</t>
  </si>
  <si>
    <t>2019</t>
  </si>
  <si>
    <t>5</t>
  </si>
  <si>
    <t>2016</t>
  </si>
  <si>
    <t>2020</t>
  </si>
  <si>
    <t>Atsakingas asmuo</t>
  </si>
  <si>
    <t>Pajūrio g. rekonstravimas</t>
  </si>
  <si>
    <t>6</t>
  </si>
  <si>
    <t>Skvero Bokštų gatvėje sutvarkymas</t>
  </si>
  <si>
    <t>Ąžuolyno giraitės sutvarkymas, gerinant gamtinę aplinką ir skatinant aktyvų laisvalaikį ir lankytojų srautus</t>
  </si>
  <si>
    <t>2018</t>
  </si>
  <si>
    <t>2017</t>
  </si>
  <si>
    <t>47,4 ha Medelyno gyvenamojo rajono infrastruktūros išvystymas. I etapas</t>
  </si>
  <si>
    <t>Bendrojo ugdymo mokyklos pastato statyba šiaurinėje miesto dalyje</t>
  </si>
  <si>
    <t xml:space="preserve">Klaipėdos karalienės Luizės jaunimo centro (Puodžių g.) modernizavimas, plėtojant neformaliojo ugdymosi galimybes </t>
  </si>
  <si>
    <t>G. Dovidaitis</t>
  </si>
  <si>
    <t>Laikino apgyvendinimo namų infrastruktūros modernizavimas (Šilutės pl. 8, nakvynės namai)</t>
  </si>
  <si>
    <t>Pastato Taikos pr. 76 modernizavimas (pastato lauko sienų apšiltinimas, laiptinių remontas)</t>
  </si>
  <si>
    <t xml:space="preserve">08 programa. Kultūros plėtros programa </t>
  </si>
  <si>
    <t>10 programa. Ugdymo proceso užtikrinimo programa</t>
  </si>
  <si>
    <t>07 programa. Miesto infrastruktūros objektų priežiūros ir modernizavimo programa</t>
  </si>
  <si>
    <t>11 programa. Kūno kultūros ir sporto plėtros programa</t>
  </si>
  <si>
    <t>12 programa. Socialinės atskirties mažinimo programa</t>
  </si>
  <si>
    <t>2013</t>
  </si>
  <si>
    <t>N. Vedeikienė</t>
  </si>
  <si>
    <t>D. Stankevičienė</t>
  </si>
  <si>
    <t>R. Dekėrytė</t>
  </si>
  <si>
    <t>E. Čerbienė</t>
  </si>
  <si>
    <t>2015</t>
  </si>
  <si>
    <t>2021</t>
  </si>
  <si>
    <t>V. Švedas</t>
  </si>
  <si>
    <t>I. Gustaitienė</t>
  </si>
  <si>
    <t>R. Stasiulis</t>
  </si>
  <si>
    <t>2022</t>
  </si>
  <si>
    <t>V. Varnaitė</t>
  </si>
  <si>
    <t>2023</t>
  </si>
  <si>
    <t>A. Orentienė</t>
  </si>
  <si>
    <t>D. Šakinienė</t>
  </si>
  <si>
    <t>Kt</t>
  </si>
  <si>
    <t>Tilžės g. nuo Šilutės pl. iki geležinkelio pervažos rekonstravimas, pertvarkant žiedinę Mokyklos g. ir Šilutės pl. sankryžą</t>
  </si>
  <si>
    <t xml:space="preserve">VšĮ Klaipėdos universitetinės ligoninės dalies pastato Liepojos g. 39 rekonstravimas </t>
  </si>
  <si>
    <t>Sakurų parko įrengimas teritorijoje tarp Žvejų rūmų, Taikos pr., Naikupės g. ir įvažiuojamojo kelio į Žvejų rūmus</t>
  </si>
  <si>
    <t>„Gilijos“ pradinės mokyklos (Taikos pr. 68) pastato energinio efektyvumo didinimas</t>
  </si>
  <si>
    <t xml:space="preserve">Administracinės paskirties pastato J. Karoso g. 12 rekonstravimas į gydymo paskirties pastatą </t>
  </si>
  <si>
    <t>Savivaldybės socialinio būsto fondo gyvenamųjų namų statyba žemės sklypuose Irklų g. 1 ir Rambyno g. 14A</t>
  </si>
  <si>
    <t>Projekto „Klaipėdos miesto savivaldybės viešosios bibliotekos „Kauno atžalyno“ filialas – naujos galimybės mažiems ir dideliems“ įgyvendinimas</t>
  </si>
  <si>
    <t>Ekspozicijos projektavimas ir įrengimas piliavietės šiaurinėje kurtinoje</t>
  </si>
  <si>
    <t xml:space="preserve">Tauralaukio gyvenvietės gatvių rekonstravimas </t>
  </si>
  <si>
    <t xml:space="preserve">Atgimimo aikštės sutvarkymas, didinant patrauklumą investicijoms, skatinant lankytojų srautus </t>
  </si>
  <si>
    <t>Danės upės krantinių rekonstrukcija ir prieigų (Danės skveras su fontanais) sutvarkymas</t>
  </si>
  <si>
    <t xml:space="preserve">Pėsčiųjų tako sutvarkymas palei Taikos pr. nuo Sausio 15-osios iki Kauno g., paverčiant viešąja erdve, pritaikyta gyventojams bei smulkiajam ir vidutiniam verslui </t>
  </si>
  <si>
    <t xml:space="preserve">Viešosios erdvės prie buvusio „Vaidilos“ kino teatro konversija </t>
  </si>
  <si>
    <t>Kompleksinis tikslinės teritorijos daugiabučių namų kiemų tvarkymas</t>
  </si>
  <si>
    <t>2</t>
  </si>
  <si>
    <t xml:space="preserve">Futbolo mokyklos ir baseino pastatų konversija, I etapas </t>
  </si>
  <si>
    <t xml:space="preserve">Futbolo mokyklos ir baseino pastatų konversija, II etapas </t>
  </si>
  <si>
    <t>Klaipėdos sunkiosios atletikos centro statyba</t>
  </si>
  <si>
    <t xml:space="preserve">Dviračių ir pėsčiųjų tako Danės upės slėnio teritorijoje nuo Klaipėdos g. tilto iki miesto ribos įrengimas </t>
  </si>
  <si>
    <t>M. Enciūtė</t>
  </si>
  <si>
    <t>I. Dulkytė</t>
  </si>
  <si>
    <t>M. Lygnugarienė</t>
  </si>
  <si>
    <t>V. Pronskuvienė</t>
  </si>
  <si>
    <t xml:space="preserve">Klaipėdos miesto gatvių pėsčiųjų perėjų kryptinis apšvietimas </t>
  </si>
  <si>
    <t xml:space="preserve">Modernių ugdymosi erdvių sukūrimas Klaipėdos miesto progimnazijose ir gimnazijose („Smeltės“, Liudviko Stulpino, „Sendvario“, „Gedminų“, „Verdenės“ progimnazijose ir  „Vėtrungės“, „Varpo“ gimnazijose) </t>
  </si>
  <si>
    <t>J. Jasilionienė</t>
  </si>
  <si>
    <t xml:space="preserve">Modernaus bendruomenės centro-bibliotekos statyba pietinėje miesto dalyje  </t>
  </si>
  <si>
    <t>Sporto aikštynų atnaujinimas (modernizavimas)</t>
  </si>
  <si>
    <t>D. Gerasimovienė</t>
  </si>
  <si>
    <t>Klaipėdos miesto bendrojo plano kraštovaizdžio dalies keitimas ir Melnragės parko įrengimas</t>
  </si>
  <si>
    <t>Bendruomenės centro-bibliotekos (Molo g. 60) pastato kapitalinis remontas</t>
  </si>
  <si>
    <t xml:space="preserve">Klaipėdos Prano Mašioto progimnazijos pastato Varpų g. 3 rekonstravimas </t>
  </si>
  <si>
    <t>Klaipėdos lopšelio-darželio „Žiogelis“ pastato Kauno g. 27 modernizavimas</t>
  </si>
  <si>
    <t xml:space="preserve">Senyvo amžiaus asmenų globos paslaugų plėtra rekonstruojant pastatą, esantį Melnragės gyvenamajame rajone, Vaivos g. 23 </t>
  </si>
  <si>
    <t>1</t>
  </si>
  <si>
    <t>Viešųjų erdvių, gatvių ir kiemų apšvietimo tinklų išplėtimas ar įrengimas</t>
  </si>
  <si>
    <t xml:space="preserve">Klaipėdos miesto paviršinių nuotekų tinklų įrengimas, remontas ir rekonstrukcija </t>
  </si>
  <si>
    <t xml:space="preserve">BĮ Klaipėdos „Žaliakalnio“ gimnazijos pastato inžinerinių sistemų ir vidaus patalpų remontas </t>
  </si>
  <si>
    <t xml:space="preserve">VšĮ Jūrininkų sveikatos priežiūros centro infrastruktūros plėtra (naujo pastato statyba) </t>
  </si>
  <si>
    <t>Savivaldybes jungiančių turizmo trasų ir turizmo maršrutų informacinės infrastruktūros plėtra</t>
  </si>
  <si>
    <t>Žvejybos produktų iškrovimo vietos prie jūros Klaipėdos miesto teritorijoje įrengimas</t>
  </si>
  <si>
    <t>Klaipėdos miesto viešojo transporto švieslenčių ir informacinių švieslenčių įrengimas ir atnaujinimas</t>
  </si>
  <si>
    <t>2025</t>
  </si>
  <si>
    <t>2024</t>
  </si>
  <si>
    <t>Daugiabučių namų kiemų infrastruktūros gerinimo priemonių plano įgyvendinimas</t>
  </si>
  <si>
    <t>Eil. Nr.</t>
  </si>
  <si>
    <t>3</t>
  </si>
  <si>
    <t>4</t>
  </si>
  <si>
    <t>7</t>
  </si>
  <si>
    <t>Klaipėdos Tauralaukio progimnazijos pastato (Klaipėdos g. 31) rekonstravimas į ikimokyklinio ir priešmokyklinio ugdymo įstaigą</t>
  </si>
  <si>
    <t>Ikimokyklinio ir priešmokyklinio prieinamumo didinimas Klaipėdos mieste (lopšelio-darželio „Svirpliukas“ modernizavimas)</t>
  </si>
  <si>
    <t>E. Deltuvaitė</t>
  </si>
  <si>
    <t>V. Tkačik</t>
  </si>
  <si>
    <t xml:space="preserve">Vingio mikrorajono aikštės atnaujinimas </t>
  </si>
  <si>
    <t>K. Šakarnis</t>
  </si>
  <si>
    <t>8</t>
  </si>
  <si>
    <t>9</t>
  </si>
  <si>
    <t>10</t>
  </si>
  <si>
    <t>11</t>
  </si>
  <si>
    <t>INVESTICINIŲ  PROJEKTŲ SĄRAŠAS</t>
  </si>
  <si>
    <t>Komunalinių atliekų tvarkymo infrastruktūros plėtra Klaipėdos miesto, Skuodo ir Kretingos rajonų bei Neringos savivaldybėse</t>
  </si>
  <si>
    <t xml:space="preserve">Laivų nuleidimo prieplaukos ir saugojimo aikštelės sklype šalia Liepų g. tilto įrengimas </t>
  </si>
  <si>
    <t>Klaipėdos Jeronimo Kačinsko muzikos mokyklos (Statybininkų pr. 5) pastato energinio efektyvumo didinimas</t>
  </si>
  <si>
    <t>2026</t>
  </si>
  <si>
    <t>Mėgėjų sodų teritorijoje savivaldybių institucijų valdomų kelių remontas</t>
  </si>
  <si>
    <t xml:space="preserve">Muzikinio teatro pastato Danės g. 19 aplinkos tvarkybos darbai už sklypo ribos </t>
  </si>
  <si>
    <t>Lifto įrengimas Klaipėdos miesto Mažosios Lietuvos istorijos muziejuje</t>
  </si>
  <si>
    <t>Sporto ir laisvalaikio komplekso statyba (koncesijos procedūrų vykdymas)</t>
  </si>
  <si>
    <t>tūkst. Eur</t>
  </si>
  <si>
    <t>Malūno parko teritorijos sutvarkymas, gerinant gamtinę aplinką ir skatinant lankytojų srautus (I etapas)</t>
  </si>
  <si>
    <t>S. Daukanto g. nuo Šaulių g. iki J. Zauerveino g. kapitalinis remontas</t>
  </si>
  <si>
    <t xml:space="preserve">Transporto (eismo) valdymo sistemos diegimas </t>
  </si>
  <si>
    <t>Onkologijos radioterapijos paslaugų teikimo optimizavimas Klaipėdos universitetinėje ligoninėje</t>
  </si>
  <si>
    <t xml:space="preserve">Baltijos pr. ir Šilutės pl. žiedinės sankryžos rekonstravimas             </t>
  </si>
  <si>
    <t>Klaipėdos miesto savivaldybės kultūros centro Žvejų rūmų teritorijos sutvarkymas</t>
  </si>
  <si>
    <t>Atraminių apsauginių įėjimo į Smiltynės paplūdimį prie centrinės gelbėtojų stoties sienučių remontas</t>
  </si>
  <si>
    <r>
      <t xml:space="preserve">Elektra varomo viešojo transporto naujų galimybių plėtra (DEPO), ELENA </t>
    </r>
    <r>
      <rPr>
        <i/>
        <sz val="10"/>
        <rFont val="Times New Roman"/>
        <family val="1"/>
        <charset val="186"/>
      </rPr>
      <t>(dokumentacijos parengimas</t>
    </r>
    <r>
      <rPr>
        <sz val="10"/>
        <rFont val="Times New Roman"/>
        <family val="1"/>
        <charset val="186"/>
      </rPr>
      <t>)</t>
    </r>
  </si>
  <si>
    <t xml:space="preserve">Skulptūrų parko sutvarkymas </t>
  </si>
  <si>
    <t>projektai</t>
  </si>
  <si>
    <t>projektų</t>
  </si>
  <si>
    <t xml:space="preserve">Klemiškės g. rekonstravimas                       </t>
  </si>
  <si>
    <t>Klaipėdos miesto savivaldybės jachtos „Lietuva“ kapitalinis remontas</t>
  </si>
  <si>
    <t xml:space="preserve">Klaipėdos vaikų globos namų „Smiltelė“ patalpų ir infrastruktūros pritaikymas vaikų dienos centro veiklai </t>
  </si>
  <si>
    <t>Klaipėdos pilies ir bastionų komplekso restauravimas ir atgaivinimas (II etapas – pilies didžiojo bokšto atkūrimas)</t>
  </si>
  <si>
    <t>Triukšmo mažinimo priemonių geležinkeliuose įrengimas Klaipėdos miesto savivaldybėje. II etapas (projektą įgyvendina AB „Lietuvos geležinkeliai“)</t>
  </si>
  <si>
    <t>Įvažiuojamojo kelio į Taikos pr. 101;</t>
  </si>
  <si>
    <t>Įvažiuojamojo kelio  į Debreceno g. 61</t>
  </si>
  <si>
    <t>Klaipėdos miesto gatvių rekonstravimas bendromis savivaldybės ir privačių asmenų lėšomis</t>
  </si>
  <si>
    <t>Šilutės plento ruožo nuo Tilžės g. iki geležinkelio pervažos (iki Kauno g.) rekonstrukcija (SM programa 06.2.1-TID-R-511 pr. Vietinių kelių vystymas)</t>
  </si>
  <si>
    <t>Įvažiuojamųjų kelių atnaujinimas: Įvažiuojamojo kelio į Taikos pr. 109 ir šalia esančio skvero;</t>
  </si>
  <si>
    <t>02 programa. Ekonominės plėtros programa</t>
  </si>
  <si>
    <t>Naujos sporto salės statyba (Kretingos g. / Šviesos g.)</t>
  </si>
  <si>
    <t>Statybininkų prospekto tęsinio tiesimas nuo Šilutės pl. per LEZ teritoriją iki 141 kelio</t>
  </si>
  <si>
    <t>Lietaus nuotekų tinklų įrengimas Turistų gatvėje</t>
  </si>
  <si>
    <t>Elektra varomų autobusų įsigijimas (prisidėjimas)</t>
  </si>
  <si>
    <t>BĮ Klaipėdos lengvosios atletikos mokyklos pastato (maniežo) renovacija</t>
  </si>
  <si>
    <t>Projekto „Bendruomeninių vaikų globos namų steigimas Klaipėdos mieste“ įgyvendinimas</t>
  </si>
  <si>
    <t xml:space="preserve"> Ištisinio asfaltbetonio dangos įrengimas: </t>
  </si>
  <si>
    <t>Mogiliovo gyvenamojo rajono gatvės (labiausiai pažeistos vietos)</t>
  </si>
  <si>
    <t>Vingio g. (ruožas nuo Smiltelės g. iki Šilutės pl.)</t>
  </si>
  <si>
    <t>Danės g. rekonstravimas</t>
  </si>
  <si>
    <t>Turgaus aikštės su prieigomis sutvarkymas, pritaikant verslo, bendruomenės poreikiams (I , II ir III etapai)</t>
  </si>
  <si>
    <t>Danės skvero su inžineriniais tinklais (tarp Naujojo Uosto g. ir Senosios perkėlos) rekonstrukcija</t>
  </si>
  <si>
    <t xml:space="preserve">Gyventojų ir verslo paslaugų centro statyba „Memelio mieste“ </t>
  </si>
  <si>
    <t>D. Kadys</t>
  </si>
  <si>
    <t>Jaunystės g. ir privažiuojamojo kelio sankryžos, Rūko g. kapitalinis remontas</t>
  </si>
  <si>
    <t>Šilutės pl. senasis ruožas</t>
  </si>
  <si>
    <t>Miesto tvarkymo ir Transporto skyriai</t>
  </si>
  <si>
    <t>Transporto, Projektų, Statybos ir infrastruktūros plėtros skyriai</t>
  </si>
  <si>
    <t>Miesto tvarkymo skyrius</t>
  </si>
  <si>
    <t>Švietimo paslaugų modernizavimo programos priemonių įgyvendinimas (išmaniųjų klasių įrengimas, kompiuterinės technikos įsigijimas)</t>
  </si>
  <si>
    <t>4 programa. Sveikatos apsaugos programa</t>
  </si>
  <si>
    <t>Klaipėdos greitosios medicininės pagalbos stoties sanitarinio transporto atnaujinimas</t>
  </si>
  <si>
    <t>Turto valdymo skyrius</t>
  </si>
  <si>
    <t>VšĮ Klaipėdos universitetinės ligoninės  pastatų atnaujinimo finansavimo modelio parengimas</t>
  </si>
  <si>
    <t>Vyr. patarėja A. Špučienė</t>
  </si>
  <si>
    <t>Vasaros koncertų estrados modernizavimas</t>
  </si>
  <si>
    <t>R. Zulcas</t>
  </si>
  <si>
    <t xml:space="preserve"> V. Tkačik </t>
  </si>
  <si>
    <t>E. Simokaitis</t>
  </si>
  <si>
    <t>E. Jurkevičienė</t>
  </si>
  <si>
    <t>L. Katinienė</t>
  </si>
  <si>
    <t>K. Macijauskas</t>
  </si>
  <si>
    <t>I. Kubilienė</t>
  </si>
  <si>
    <t xml:space="preserve">Klaipėdos miesto žvyruotų gatvių remontas </t>
  </si>
  <si>
    <t>Projektų skyrius</t>
  </si>
  <si>
    <t>Klaipėdos Pajūrio progimnazijos fasado apšiltinimo darbai</t>
  </si>
  <si>
    <t>Atsinaujinančių energijos išteklių  panaudojimas švietimo įstaigų pastatuose (2021 m. – l.-d. „Čiauškutė“ Martyno Mažvydo progimnazijoje ir „Žemynos“ gimnazijoje; 2022 m. – l.-d. „Versmė“)</t>
  </si>
  <si>
    <t xml:space="preserve">Projektų skyrius, </t>
  </si>
  <si>
    <t>Švietimo skyrius</t>
  </si>
  <si>
    <t>Atsinaujinančių energijos išteklių  panaudojimas sporto įstaigų pastatuose (Lengvosios atletikos mokykloje)</t>
  </si>
  <si>
    <t>Sporto skyrius</t>
  </si>
  <si>
    <t>Dirbtinės žolės dangos keitimo darbai (Sportininkų g. 46)</t>
  </si>
  <si>
    <t>Klaipėdos sutrikusio vystymosi kūdikių namų trumpalaikės socialinės globos atokvėpio paslaugos prieinamumo didinimas (lifto įrengimas)</t>
  </si>
  <si>
    <t>Projekto „Paslaugų vaikams su negalia ir jų šeimoms plėtra Klaipėdos regione“ įgyvendinimas</t>
  </si>
  <si>
    <t>R. Permininė</t>
  </si>
  <si>
    <t>03 programa. Valdymo programa</t>
  </si>
  <si>
    <t>Automatinių oro matavimo stotelių tinklo sukūrimas</t>
  </si>
  <si>
    <t xml:space="preserve">Vaikų žaidimo aikštelių įrengimo ir atnaujinimo programos įgyvendinimas </t>
  </si>
  <si>
    <t>Dubliuojančios gatvės nuo Šiltnamių g. iki Klaipėdos g. su pėsčiųjų ir dviračių taku ir įvažomis į Liepojos g. įrengimas</t>
  </si>
  <si>
    <t>I. Rakauskienė</t>
  </si>
  <si>
    <t>2027</t>
  </si>
  <si>
    <t>projektas</t>
  </si>
  <si>
    <t>E. Gudavičius</t>
  </si>
  <si>
    <t>Liepų, Jaunystės ir Arimų gatvių sankryžos (įrengiant šviesoforus ir apšvietimą) kapitalinis remontas</t>
  </si>
  <si>
    <t>Joniškės g. (neremontuotas ruožas šalia Klaipėdos baldų įmonės iki Bangų g.)</t>
  </si>
  <si>
    <t>Klaipėdos pilies ir bastionų komplekso restauravimas ir atgaivinimas III etapas – vakarinės kurtinos atkūrimas ir įveiklinimas</t>
  </si>
  <si>
    <t>Dviračių ir pėsčiųjų tilto per Danės upę, jungiančio naują mokyklą šiaurinėje miesto dalyje su Tauralaukio kvartalu,  statyba. (Ankstesnis pavadinimas – Pėsčiųjų ir dviračių tilto tarp Tauralaukio ir Žolynų kvartalo įrengimas.)</t>
  </si>
  <si>
    <t>Teatro ir Sukilėlių g. rekonstravimas</t>
  </si>
  <si>
    <t>Kitos gatvės 2022–2023 metais, kurios bus atrinktos vėliau</t>
  </si>
  <si>
    <t>Vilniaus dailės akademijos Klaipėdos fakulteto teritorijos sutvarkymas</t>
  </si>
  <si>
    <t>Energinio efektyvumo didinimas ikimokyklinio ugdymo įstaigose: pastatų atnaujinimas m.-d. „Saulutė“, l.-d. „Vėrinėlis“, l.-d. „Pingvinukas“, l.-d. „Putinėlis“, l.-d. „Kregždutė“, l.-d. „Radastėlė“, l.-d. „Boružėlė“, l.-d. „Alksniukas“  ir l.-d. „Želmenėlis“</t>
  </si>
  <si>
    <t>Savivaldybės socialinio būsto fondo gyvenamųjų namų statyba žemės sklype Akmenų g. 1B (projektavimas)</t>
  </si>
  <si>
    <t>Smeltalės upės valymas (be tyrimų dalies, kuriuos atlieka Aplinkosaugos skyrius)</t>
  </si>
  <si>
    <t>VšĮ Klaipėdos universitetinės ligoninės įstatinio kapitalo didinimas magnetinio rezonanso tomografui įsigyti</t>
  </si>
  <si>
    <t>Ekologinio kempingo įrengimas Smiltynėje</t>
  </si>
  <si>
    <t>Lėšų planas</t>
  </si>
  <si>
    <t>Siūlomas keisti lėšų planas</t>
  </si>
  <si>
    <t>Skirtumas</t>
  </si>
  <si>
    <t>Paaiškinimai</t>
  </si>
  <si>
    <t>Lyginamasis variantas</t>
  </si>
  <si>
    <t>Klaipėdos „Ąžuolyno“ gimnazijos modernizavimas (sporto salės)</t>
  </si>
  <si>
    <t>Melnragės parko rytinės dalies įrengimas (techninio projekto korektūra)</t>
  </si>
  <si>
    <t xml:space="preserve"> Pastato Pilies g. 2A nugriovimas ir automobilių stovėjimo aikštelės įrengimas </t>
  </si>
  <si>
    <t>Pėsčiųjų ir dviračių takų ties Minijos g., Pilies g., Baltijos pr., Šilutės pl., Varpų g., Dubysos g., Liubeko g. kapitalinis remontas, siekiant didinti rišlumą Pėsčiųjų ir dviračių takų Minijos g. nuo Baltijos pr., Pilies g., Naujojoje Uosto g. įrengimas</t>
  </si>
  <si>
    <t xml:space="preserve">Projekto „Miško parkas“  pėsčiųjų ir dviračių takų  įrengimas Smiltynėje (techninis projektas) </t>
  </si>
  <si>
    <t>Darnaus judumo priemonių diegimas Klaipėdos mieste (sujungti „Senamiesčio g. rekonstravimas“ ir „Keleivinio transporto stotelių su įvažomis Klaipėdos miesto gatvėse projektavimas ir įrengimas“)</t>
  </si>
  <si>
    <t xml:space="preserve">Pravažiuojamojo kelio tarp Bokštų ir Jūros g. įrengimas </t>
  </si>
  <si>
    <t>Karklų g.</t>
  </si>
  <si>
    <t>Kalvos g.</t>
  </si>
  <si>
    <t>J. Zauerveino g.</t>
  </si>
  <si>
    <t>Parko g.</t>
  </si>
  <si>
    <t>Sporto salių atnaujinimas (2022 m. – „Aitvaro“ gimnazija, 2022 m. –  „Versmės“ progimnazija, 2023 m. – sporto salė atrinktoje mokykloje)</t>
  </si>
  <si>
    <t>Statybininkų pr. 36-70 kelio ruožas</t>
  </si>
  <si>
    <t xml:space="preserve">Nuvažiavimo ruožas iš Mokyklos g. į Joniškės g. ir užvažiavimo ruožas iš Joniškės g. į Mokyklos g. </t>
  </si>
  <si>
    <t>__________________________________</t>
  </si>
  <si>
    <t xml:space="preserve">Projektas baigtas, lėšos perkeltos Liepų, Jaunystės ir Arimų gatvių sankryžos  kapitalinio remonto papildomiems darbams. </t>
  </si>
  <si>
    <t>Šiuo metu perkamas tik techininio projekto parengimas, rangos darbai dar neplanuojami, paaiškės parengus techninį projektą.</t>
  </si>
  <si>
    <t>Gautos privačių amenų prisidėjimo  lėšos.</t>
  </si>
  <si>
    <t>Papildomiems darbams esamų pėsčiųjų-dviračių takų remontui, kurie naujais sprendiniais turi būti sujungti tarp vykdomo projekto ir kito 2020 m. įgyvendinto projekto (Joniškės g. ir Liepų g. sankryžos prieigų), išlaikant vienodus takų pločius, medžiagiškumą.</t>
  </si>
  <si>
    <t xml:space="preserve">2022 m. lėšų darbams atlikti reikės daugiau dėl atsiradusių papildomų neplanuotų darbų poreikio </t>
  </si>
  <si>
    <t>Sutaupyta po viešųjų pirkimų.</t>
  </si>
  <si>
    <t>Lieka nepanaudotos lėšos dėl šių priežasčių: 
1. Pigiau nei planuota nupirkti darbai. 
2. Užsitęsė bešeimininkių tinklų registravimo procedūros, be kurių negalima pradėti darbų.</t>
  </si>
  <si>
    <t>Papildomos SB(K) lėšos bus panaudotos nenumatytiems darbams apmokėti.</t>
  </si>
  <si>
    <t>Šiais metais lifto įrengti nespės, nes vyksta rangos darbų sutarties su UAB "Ekspomeda" nutraukimo procedūros. Darbų užbaigimui (su statybos užbaigimo dokumentų sutvarkymu) bus vykdomas naujas pirkimas. Planuojama, kad darbai bus užbaigti 2022 m. I ketvirtyje.</t>
  </si>
  <si>
    <t xml:space="preserve">Ar nuo to keičiasi objekto vertė bendrąja prasme? Manau, kad ne, čia vyksta stumdymas iš metų į metus. Tada ir vertė nesikeičia. Apskritai ateity reikėtų apsibrėžti aiškius šios priemonės rodiklius, nurodant konkrečius objektus. </t>
  </si>
  <si>
    <t>Ar tikrai vertė sumažės? Jei tų 14,3 jiems reikės kitąmet, tai reikia parodyti programoje 2022 m. +14,3 tūkst. Eur</t>
  </si>
  <si>
    <t>Reikėtų rašyti - Projekto vertė auga dėl to, kad atsirado papildomų darbų poreikis ir pavardinti darbus</t>
  </si>
  <si>
    <t xml:space="preserve">Reikėtų rašyti - Projekto vertė auga dėl to, kad vyksta sutarties su esamu rangovu nutraukimas ir bus vykdomas naujas pirkimas, dėl to darbai pabrangs. </t>
  </si>
  <si>
    <t>Bet juk dėl to projekto vertė nesikeičia, tik šaltinis. To nereikėtų rodyti. Investicijų plane šaltiniai nedetalizuojami</t>
  </si>
  <si>
    <t xml:space="preserve">Klaipėdos miesto savivaldybės 2022–2024 metų 
strateginio veiklos plano
1 priedas
</t>
  </si>
  <si>
    <t xml:space="preserve">Pastato Pilies g. 2A nugriovimas ir automobilių stovėjimo aikštelės įrengimas </t>
  </si>
  <si>
    <t>Žvejybos produktų iškrovimo vietos prie Pilies tilto Klaipėdoje įrengimas</t>
  </si>
  <si>
    <t>Infrastruktūros įrengimas, reikalingas BRT sistemai funkcionuoti</t>
  </si>
  <si>
    <t xml:space="preserve">Skvero ties prekybos centru „Maxima“  (Šilutės pl. 40A) ir pėsčiųjų ir dviračių tako nuo Šilutės pl. iki Taikos pr. atnaujinimas </t>
  </si>
  <si>
    <t xml:space="preserve">Klaipėdos „Ąžuolyno“ gimnazijos modernizavimas </t>
  </si>
  <si>
    <t>Dengto futbolo maniežo statyba</t>
  </si>
  <si>
    <t xml:space="preserve">BĮ Klaipėdos lengvosios atletikos mokyklos pastato (maniežo) renovacija </t>
  </si>
  <si>
    <t xml:space="preserve">Pėsčiųjų ir dviračių takų ties Minijos g., Pilies g., Baltijos pr., Šilutės pl., Varpų g., Dubysos g., Liubeko g. kapitalinis remontas, siekiant didinti rišlumą </t>
  </si>
  <si>
    <t>Dviračių ir pėsčiųjų takų remontas H. Manto g. ties Dariaus ir Girėno g. viaduku</t>
  </si>
  <si>
    <t>Esamo melioracinio griovio iškėlimas iš investicinių sklypų Verslo g. ir Metalo g. Klaipėdos laisvosios ekonominės zonos teritorijoje</t>
  </si>
  <si>
    <t>Žaliosios energijos infrastruktūros įrengimas</t>
  </si>
  <si>
    <t>Paryžiaus Komunos g. rekonstravimas (nuo Šilutės pl. iki Taikos pr.)</t>
  </si>
  <si>
    <t>Smiltynės g. ir krantinės rekonstravimas nuo Jūrų muziejaus iki Senosios Smiltynės perkėlos</t>
  </si>
  <si>
    <t>Daugiaaukštės automobilių stovėjimo aikštelės teritorijoje  Bangų g., Klaipėdoje, įrengimas</t>
  </si>
  <si>
    <t>Mokyklos g. ir Laukų g. žiedinės sankryžos įrengimas</t>
  </si>
  <si>
    <t>Aukštosios g. rekonstrukcija</t>
  </si>
  <si>
    <t>04 programa. Sveikatos apsaugos programa</t>
  </si>
  <si>
    <t>Grupinio gyvenimo namų steigimo neįgaliems jaunuoliams, išeinantiems iš vaikų globos namų, inicijavimas</t>
  </si>
  <si>
    <t>01 programa. Miesto urbanistinio planavimo programa</t>
  </si>
  <si>
    <t>R. Mockus</t>
  </si>
  <si>
    <t>Socialinių būstų pirkimas</t>
  </si>
  <si>
    <t>R. Perminienė</t>
  </si>
  <si>
    <t>V. Paliakas</t>
  </si>
  <si>
    <t xml:space="preserve">Modernių ugdymosi erdvių sukūrimas Klaipėdos miesto progimnazijose ir gimnazijose („Smeltės“, Liudviko Stulpino, Sendvario, Gedminų, „Verdenės“ progimnazijose ir  „Vėtrungės“, „Varpo“ gimnazijose) </t>
  </si>
  <si>
    <t xml:space="preserve">Klaipėdos „Saulėtekio“ progimnazijos pastato inžinerinių sistemų, vidaus patalpų ir pastato išorės remontas </t>
  </si>
  <si>
    <t>Energinio efektyvumo didinimas ikimokyklinio ugdymo įstaigose: pastatų atnaujinimas m.-d. „Saulutė“, l.-d. „Vėrinėlis“, l.-d. „Pingvinukas“, l.-d. „Putinėlis“, l.-d. „Kregždutė“, l.-d. „Radastėlė“, l.-d. „Traukinukas“ skyriuje „Boružėlė“, l.-d. „Alksniukas“  ir l.-d. „Želmenėlis“</t>
  </si>
  <si>
    <t>Šv. Jono bažnyčios atstatymas Klaipėdoje</t>
  </si>
  <si>
    <t>Malūno parko teritorijos sutvarkymas, gerinant gamtinę aplinką ir skatinant lankytojų srautus (I ir II etapai)</t>
  </si>
  <si>
    <t>Dviračių ir pėsčiųjų tilto per Danės upę, jungiančio naująją mokyklą šiaurinėje miesto dalyje su Tauralaukio kvartalu,  statyba (techninis projektas)</t>
  </si>
  <si>
    <t>Dviračių ir pėsčiųjų tako įrengimas nuo Sausio 15-osios g. ir Tilžės g. sankryžos iki Taikos pr. ir Sausio 15-osios sankryžos (techninis projektas)</t>
  </si>
  <si>
    <t>Dviračių ir pėsčiųjų tako įrengimas Giruliuose (Stoties g., Turistų g., Šlaito g.) (techninis projektas)</t>
  </si>
  <si>
    <t>M. Lygnugarienė
K. Macijauskas</t>
  </si>
  <si>
    <t>M. Lygnugarienė
G. Dovidaitis</t>
  </si>
  <si>
    <t>A. Čepienė</t>
  </si>
  <si>
    <t>N. Vedeikienė
V. Švedas</t>
  </si>
  <si>
    <t>Projektų skyrius, Statybos ir infrastruktūros plėtros skyrius</t>
  </si>
  <si>
    <t>A. Kabalinienė</t>
  </si>
  <si>
    <t>L. Karalienė
I. Rakauskienė</t>
  </si>
  <si>
    <t>Urbanistikos ir Architektūros skyrius</t>
  </si>
  <si>
    <t>L. Karalienė</t>
  </si>
  <si>
    <t>J. Liubinskienė</t>
  </si>
  <si>
    <t>I. Anoškinė</t>
  </si>
  <si>
    <t>V. Švedas
V. Tkačik</t>
  </si>
  <si>
    <t xml:space="preserve">E. Čerbienė 
</t>
  </si>
  <si>
    <t>J. Vorobjova</t>
  </si>
  <si>
    <t>V. Paliakas
E. Jurkevičienė
I. Rakauskienė</t>
  </si>
  <si>
    <t xml:space="preserve">D. Šakinienė          V. Tkačik </t>
  </si>
  <si>
    <t>R. Zulcas               V. Varnaitė</t>
  </si>
  <si>
    <t>V. Švedas           D. Šakinienė</t>
  </si>
  <si>
    <t>L. Katinienė      V. Švedas</t>
  </si>
  <si>
    <t>BĮ Klaipėdos paplūdimiai</t>
  </si>
  <si>
    <t>Istorinių krantinių sutvarkymas</t>
  </si>
  <si>
    <t xml:space="preserve">Projekto „Miško parkas“ pėsčiųjų ir dviračių takų įrengimas Smiltynėje (techninis projektas) </t>
  </si>
  <si>
    <t>Dviračių ir pėsčiųjų takų remontas Prano Lideikio g. nuo Liepojos g. iki Molo g.</t>
  </si>
  <si>
    <t>Klaipėdos miesto viešojo transporto priemonių parko atnaujinimas (naujų autobusų įsigijimas)</t>
  </si>
  <si>
    <t>Eismo reguliavimo įrangos (šviesoforų) modernizavimas žaliosios bangos principu Taikos prospekte</t>
  </si>
  <si>
    <t>Klaipėdos „Pajūrio“ progimnazijos fasado apšiltinimo darbai</t>
  </si>
  <si>
    <t>Klaipėdos Hermano Zudermano gimmnazijos pastato rekonstrukcija</t>
  </si>
  <si>
    <t>INVESTICIJŲ  PROJEKTŲ SĄRAŠAS</t>
  </si>
  <si>
    <t>Sporto aikštynų atnaujinimas (modernizavimas) (2022 m. – Vitės, M. Gorkio ir „Smeltės“ progimnazijų, „Vėtrungės“ ir „Žaliakalnio“ gimnazijų, 2023 m. – „Gilijos“ pradinės mokyklos,  „Smeltės“ progimnazijos, 2024 m. – Baltijos gimnazijos, „Saulėtekio“ progimnazijos)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</si>
</sst>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charset val="186"/>
      <scheme val="minor"/>
    </font>
    <font>
      <sz val="10"/>
      <name val="Times New Roman"/>
      <family val="1"/>
      <charset val="186"/>
    </font>
    <font>
      <sz val="10"/>
      <color rgb="FFFF0000"/>
      <name val="Times New Roman"/>
      <family val="1"/>
      <charset val="186"/>
    </font>
    <font>
      <i/>
      <sz val="10"/>
      <name val="Times New Roman"/>
      <family val="1"/>
      <charset val="186"/>
    </font>
    <font>
      <sz val="9"/>
      <color indexed="81"/>
      <name val="Tahoma"/>
      <family val="2"/>
      <charset val="186"/>
    </font>
    <font>
      <b/>
      <sz val="10"/>
      <name val="Times New Roman"/>
      <family val="1"/>
      <charset val="186"/>
    </font>
    <font>
      <sz val="11"/>
      <name val="Times New Roman"/>
      <family val="1"/>
      <charset val="186"/>
    </font>
    <font>
      <b/>
      <sz val="10"/>
      <color rgb="FFFF0000"/>
      <name val="Times New Roman"/>
      <family val="1"/>
      <charset val="186"/>
    </font>
    <font>
      <b/>
      <sz val="12"/>
      <name val="Times New Roman"/>
      <family val="1"/>
      <charset val="186"/>
    </font>
    <font>
      <b/>
      <sz val="11"/>
      <name val="Times New Roman"/>
      <family val="1"/>
      <charset val="186"/>
    </font>
    <font>
      <sz val="8"/>
      <name val="Times New Roman"/>
      <family val="1"/>
      <charset val="186"/>
    </font>
    <font>
      <sz val="7"/>
      <name val="Times New Roman"/>
      <family val="1"/>
      <charset val="186"/>
    </font>
    <font>
      <b/>
      <sz val="8"/>
      <name val="Times New Roman"/>
      <family val="1"/>
      <charset val="186"/>
    </font>
    <font>
      <sz val="11"/>
      <color rgb="FFFF0000"/>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medium">
        <color rgb="FFCCCCCC"/>
      </right>
      <top style="medium">
        <color rgb="FFCCCCCC"/>
      </top>
      <bottom style="medium">
        <color rgb="FFCCCCCC"/>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s>
  <cellStyleXfs count="1">
    <xf numFmtId="0" fontId="0" fillId="0" borderId="0"/>
  </cellStyleXfs>
  <cellXfs count="323">
    <xf numFmtId="0" fontId="0" fillId="0" borderId="0" xfId="0"/>
    <xf numFmtId="49" fontId="1" fillId="0" borderId="4" xfId="0" applyNumberFormat="1" applyFont="1" applyBorder="1" applyAlignment="1">
      <alignment horizontal="center" vertical="top" wrapText="1"/>
    </xf>
    <xf numFmtId="49" fontId="1" fillId="2" borderId="2" xfId="0" applyNumberFormat="1" applyFont="1" applyFill="1" applyBorder="1" applyAlignment="1">
      <alignment horizontal="center" vertical="top"/>
    </xf>
    <xf numFmtId="49" fontId="1" fillId="2" borderId="1" xfId="0" applyNumberFormat="1" applyFont="1" applyFill="1" applyBorder="1" applyAlignment="1">
      <alignment horizontal="center" vertical="top"/>
    </xf>
    <xf numFmtId="49" fontId="1" fillId="2" borderId="5"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49" fontId="1" fillId="2" borderId="5"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49" fontId="1" fillId="2" borderId="6"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readingOrder="1"/>
    </xf>
    <xf numFmtId="49" fontId="1" fillId="2" borderId="3" xfId="0" applyNumberFormat="1" applyFont="1" applyFill="1" applyBorder="1" applyAlignment="1">
      <alignment horizontal="center" vertical="top" wrapText="1" readingOrder="1"/>
    </xf>
    <xf numFmtId="49" fontId="1" fillId="2" borderId="7"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xf>
    <xf numFmtId="49" fontId="1" fillId="2" borderId="0"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xf>
    <xf numFmtId="49" fontId="1" fillId="0" borderId="0" xfId="0" applyNumberFormat="1" applyFont="1"/>
    <xf numFmtId="49" fontId="1" fillId="2" borderId="8"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164" fontId="1" fillId="0" borderId="0" xfId="0" applyNumberFormat="1" applyFont="1" applyFill="1"/>
    <xf numFmtId="164" fontId="1" fillId="0" borderId="0" xfId="0" applyNumberFormat="1" applyFont="1"/>
    <xf numFmtId="164" fontId="1" fillId="0" borderId="0" xfId="0" applyNumberFormat="1" applyFont="1" applyFill="1" applyAlignment="1">
      <alignment horizontal="center"/>
    </xf>
    <xf numFmtId="164" fontId="1" fillId="2" borderId="6"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1" xfId="0" applyNumberFormat="1" applyFont="1" applyFill="1" applyBorder="1" applyAlignment="1">
      <alignment horizontal="left" vertical="top" wrapText="1"/>
    </xf>
    <xf numFmtId="164" fontId="1" fillId="2" borderId="1" xfId="0" applyNumberFormat="1" applyFont="1" applyFill="1" applyBorder="1" applyAlignment="1">
      <alignment horizontal="center" vertical="top"/>
    </xf>
    <xf numFmtId="164" fontId="1" fillId="0" borderId="1" xfId="0" applyNumberFormat="1" applyFont="1" applyFill="1" applyBorder="1" applyAlignment="1">
      <alignment vertical="top" wrapText="1"/>
    </xf>
    <xf numFmtId="164" fontId="1" fillId="0" borderId="6" xfId="0" applyNumberFormat="1" applyFont="1" applyFill="1" applyBorder="1" applyAlignment="1">
      <alignment vertical="top" wrapText="1"/>
    </xf>
    <xf numFmtId="164" fontId="1" fillId="0" borderId="5" xfId="0" applyNumberFormat="1" applyFont="1" applyFill="1" applyBorder="1" applyAlignment="1">
      <alignment vertical="top" wrapText="1"/>
    </xf>
    <xf numFmtId="164" fontId="1" fillId="2" borderId="5" xfId="0" applyNumberFormat="1" applyFont="1" applyFill="1" applyBorder="1" applyAlignment="1">
      <alignment horizontal="center" vertical="top"/>
    </xf>
    <xf numFmtId="164" fontId="1" fillId="2" borderId="3" xfId="0" applyNumberFormat="1" applyFont="1" applyFill="1" applyBorder="1" applyAlignment="1">
      <alignment horizontal="center" vertical="top"/>
    </xf>
    <xf numFmtId="164" fontId="1" fillId="2" borderId="1" xfId="0" applyNumberFormat="1" applyFont="1" applyFill="1" applyBorder="1" applyAlignment="1">
      <alignment vertical="top" wrapText="1"/>
    </xf>
    <xf numFmtId="164" fontId="6" fillId="0" borderId="0" xfId="0" applyNumberFormat="1" applyFont="1" applyAlignment="1">
      <alignment vertical="top"/>
    </xf>
    <xf numFmtId="164" fontId="1" fillId="2" borderId="1" xfId="0" applyNumberFormat="1" applyFont="1" applyFill="1" applyBorder="1" applyAlignment="1">
      <alignment horizontal="center" vertical="top" wrapText="1" readingOrder="1"/>
    </xf>
    <xf numFmtId="164" fontId="1" fillId="0" borderId="2" xfId="0" applyNumberFormat="1" applyFont="1" applyFill="1" applyBorder="1" applyAlignment="1">
      <alignment horizontal="left" vertical="top" wrapText="1"/>
    </xf>
    <xf numFmtId="164" fontId="1" fillId="2" borderId="3" xfId="0" applyNumberFormat="1" applyFont="1" applyFill="1" applyBorder="1" applyAlignment="1">
      <alignment horizontal="center" vertical="top" wrapText="1"/>
    </xf>
    <xf numFmtId="164" fontId="1" fillId="0" borderId="1" xfId="0" applyNumberFormat="1" applyFont="1" applyBorder="1" applyAlignment="1">
      <alignment horizontal="center" vertical="top"/>
    </xf>
    <xf numFmtId="164" fontId="1" fillId="2" borderId="4" xfId="0" applyNumberFormat="1" applyFont="1" applyFill="1" applyBorder="1" applyAlignment="1">
      <alignment horizontal="center" vertical="top"/>
    </xf>
    <xf numFmtId="164" fontId="1" fillId="0" borderId="0" xfId="0" applyNumberFormat="1" applyFont="1" applyAlignment="1">
      <alignment vertical="top"/>
    </xf>
    <xf numFmtId="164" fontId="1" fillId="0" borderId="0" xfId="0" applyNumberFormat="1" applyFont="1" applyFill="1" applyAlignment="1">
      <alignment horizontal="right"/>
    </xf>
    <xf numFmtId="49" fontId="1" fillId="0" borderId="0" xfId="0" applyNumberFormat="1" applyFont="1" applyFill="1"/>
    <xf numFmtId="49" fontId="1" fillId="0" borderId="1"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164" fontId="1" fillId="2" borderId="7" xfId="0" applyNumberFormat="1" applyFont="1" applyFill="1" applyBorder="1" applyAlignment="1">
      <alignment horizontal="center" vertical="top"/>
    </xf>
    <xf numFmtId="164" fontId="1" fillId="2" borderId="6" xfId="0" applyNumberFormat="1" applyFont="1" applyFill="1" applyBorder="1" applyAlignment="1">
      <alignment horizontal="center" vertical="top"/>
    </xf>
    <xf numFmtId="49" fontId="1" fillId="2" borderId="4" xfId="0" applyNumberFormat="1" applyFont="1" applyFill="1" applyBorder="1" applyAlignment="1">
      <alignment horizontal="center" vertical="top"/>
    </xf>
    <xf numFmtId="164" fontId="1" fillId="2" borderId="4" xfId="0" applyNumberFormat="1" applyFont="1" applyFill="1" applyBorder="1" applyAlignment="1">
      <alignment vertical="top" wrapText="1"/>
    </xf>
    <xf numFmtId="164" fontId="1" fillId="2" borderId="5" xfId="0" applyNumberFormat="1" applyFont="1" applyFill="1" applyBorder="1" applyAlignment="1">
      <alignment vertical="top" wrapText="1"/>
    </xf>
    <xf numFmtId="164" fontId="1" fillId="2" borderId="1" xfId="0" applyNumberFormat="1" applyFont="1" applyFill="1" applyBorder="1" applyAlignment="1">
      <alignment horizontal="left" vertical="top" wrapText="1"/>
    </xf>
    <xf numFmtId="164" fontId="1" fillId="2" borderId="0" xfId="0" applyNumberFormat="1" applyFont="1" applyFill="1" applyBorder="1" applyAlignment="1">
      <alignment horizontal="center" vertical="top"/>
    </xf>
    <xf numFmtId="164" fontId="1" fillId="2" borderId="10" xfId="0" applyNumberFormat="1" applyFont="1" applyFill="1" applyBorder="1" applyAlignment="1">
      <alignment horizontal="center" vertical="top" wrapText="1"/>
    </xf>
    <xf numFmtId="164" fontId="1" fillId="2" borderId="10" xfId="0" applyNumberFormat="1" applyFont="1" applyFill="1" applyBorder="1" applyAlignment="1">
      <alignment horizontal="center" vertical="top"/>
    </xf>
    <xf numFmtId="164" fontId="1" fillId="0" borderId="10" xfId="0" applyNumberFormat="1" applyFont="1" applyFill="1" applyBorder="1" applyAlignment="1">
      <alignment vertical="top" wrapText="1"/>
    </xf>
    <xf numFmtId="164"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164" fontId="9" fillId="5" borderId="2" xfId="0" applyNumberFormat="1" applyFont="1" applyFill="1" applyBorder="1" applyAlignment="1">
      <alignment horizontal="right" vertical="top" wrapText="1"/>
    </xf>
    <xf numFmtId="49" fontId="9" fillId="5" borderId="2" xfId="0" applyNumberFormat="1" applyFont="1" applyFill="1" applyBorder="1" applyAlignment="1">
      <alignment horizontal="right" vertical="top" wrapText="1"/>
    </xf>
    <xf numFmtId="49" fontId="9" fillId="5" borderId="1" xfId="0" applyNumberFormat="1" applyFont="1" applyFill="1" applyBorder="1" applyAlignment="1">
      <alignment horizontal="right" vertical="top" wrapText="1"/>
    </xf>
    <xf numFmtId="164" fontId="9" fillId="5" borderId="1" xfId="0" applyNumberFormat="1" applyFont="1" applyFill="1" applyBorder="1" applyAlignment="1">
      <alignment horizontal="center" vertical="center" wrapText="1"/>
    </xf>
    <xf numFmtId="164" fontId="9" fillId="6" borderId="2" xfId="0" applyNumberFormat="1" applyFont="1" applyFill="1" applyBorder="1" applyAlignment="1">
      <alignment horizontal="right" vertical="top" wrapText="1"/>
    </xf>
    <xf numFmtId="49" fontId="9" fillId="6" borderId="2" xfId="0" applyNumberFormat="1" applyFont="1" applyFill="1" applyBorder="1" applyAlignment="1">
      <alignment horizontal="right" vertical="top" wrapText="1"/>
    </xf>
    <xf numFmtId="49" fontId="9" fillId="6" borderId="3" xfId="0" applyNumberFormat="1" applyFont="1" applyFill="1" applyBorder="1" applyAlignment="1">
      <alignment horizontal="right" vertical="top" wrapText="1"/>
    </xf>
    <xf numFmtId="164" fontId="9" fillId="6" borderId="1" xfId="0" applyNumberFormat="1" applyFont="1" applyFill="1" applyBorder="1" applyAlignment="1">
      <alignment horizontal="center" vertical="center" wrapText="1"/>
    </xf>
    <xf numFmtId="49" fontId="9" fillId="5" borderId="3" xfId="0" applyNumberFormat="1" applyFont="1" applyFill="1" applyBorder="1" applyAlignment="1">
      <alignment horizontal="right" vertical="top" wrapText="1"/>
    </xf>
    <xf numFmtId="164" fontId="9" fillId="5" borderId="1" xfId="0" applyNumberFormat="1" applyFont="1" applyFill="1" applyBorder="1" applyAlignment="1">
      <alignment horizontal="center" vertical="top" wrapText="1"/>
    </xf>
    <xf numFmtId="164" fontId="9" fillId="6" borderId="1" xfId="0" applyNumberFormat="1" applyFont="1" applyFill="1" applyBorder="1" applyAlignment="1">
      <alignment horizontal="center" vertical="top" wrapText="1"/>
    </xf>
    <xf numFmtId="1" fontId="1" fillId="0" borderId="0" xfId="0" applyNumberFormat="1" applyFont="1" applyAlignment="1">
      <alignment horizontal="center"/>
    </xf>
    <xf numFmtId="164" fontId="1" fillId="0" borderId="1" xfId="0" applyNumberFormat="1" applyFont="1" applyFill="1" applyBorder="1" applyAlignment="1">
      <alignment horizontal="center" vertical="top" wrapText="1"/>
    </xf>
    <xf numFmtId="164" fontId="5" fillId="0" borderId="0" xfId="0" applyNumberFormat="1" applyFont="1" applyFill="1" applyAlignment="1">
      <alignment horizontal="center"/>
    </xf>
    <xf numFmtId="164" fontId="5" fillId="2" borderId="1" xfId="0" applyNumberFormat="1" applyFont="1" applyFill="1" applyBorder="1" applyAlignment="1">
      <alignment horizontal="center" vertical="top" wrapText="1"/>
    </xf>
    <xf numFmtId="164" fontId="5" fillId="2" borderId="5"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1" fontId="9" fillId="5" borderId="10"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1" fontId="9" fillId="6" borderId="10" xfId="0" applyNumberFormat="1" applyFont="1" applyFill="1" applyBorder="1" applyAlignment="1">
      <alignment horizontal="center" vertical="top" wrapText="1"/>
    </xf>
    <xf numFmtId="1" fontId="1" fillId="2" borderId="14"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wrapText="1"/>
    </xf>
    <xf numFmtId="164" fontId="9" fillId="3"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top"/>
    </xf>
    <xf numFmtId="1" fontId="9" fillId="3" borderId="13" xfId="0" applyNumberFormat="1" applyFont="1" applyFill="1" applyBorder="1" applyAlignment="1">
      <alignment horizontal="center" vertical="top"/>
    </xf>
    <xf numFmtId="1" fontId="5" fillId="5" borderId="10" xfId="0" applyNumberFormat="1" applyFont="1" applyFill="1" applyBorder="1" applyAlignment="1">
      <alignment horizontal="center" vertical="top" wrapText="1"/>
    </xf>
    <xf numFmtId="1" fontId="1" fillId="2" borderId="5" xfId="0" applyNumberFormat="1"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5" xfId="0" applyFont="1" applyFill="1" applyBorder="1" applyAlignment="1">
      <alignment horizontal="left" vertical="top" wrapText="1"/>
    </xf>
    <xf numFmtId="164" fontId="1" fillId="2" borderId="3" xfId="0" applyNumberFormat="1" applyFont="1" applyFill="1" applyBorder="1" applyAlignment="1">
      <alignment horizontal="left" vertical="top" wrapText="1"/>
    </xf>
    <xf numFmtId="164" fontId="5" fillId="2" borderId="10" xfId="0" applyNumberFormat="1" applyFont="1" applyFill="1" applyBorder="1" applyAlignment="1">
      <alignment horizontal="center" vertical="top" wrapText="1"/>
    </xf>
    <xf numFmtId="164" fontId="5" fillId="2" borderId="7" xfId="0" applyNumberFormat="1" applyFont="1" applyFill="1" applyBorder="1" applyAlignment="1">
      <alignment horizontal="center" vertical="top" wrapText="1"/>
    </xf>
    <xf numFmtId="1" fontId="1" fillId="2" borderId="13" xfId="0" applyNumberFormat="1" applyFont="1" applyFill="1" applyBorder="1" applyAlignment="1">
      <alignment horizontal="center" vertical="top" wrapText="1"/>
    </xf>
    <xf numFmtId="164" fontId="6" fillId="2" borderId="0" xfId="0" applyNumberFormat="1" applyFont="1" applyFill="1" applyAlignment="1">
      <alignment vertical="top"/>
    </xf>
    <xf numFmtId="164" fontId="1" fillId="2" borderId="6" xfId="0" applyNumberFormat="1" applyFont="1" applyFill="1" applyBorder="1" applyAlignment="1">
      <alignment horizontal="left" vertical="top" wrapText="1"/>
    </xf>
    <xf numFmtId="164" fontId="5" fillId="2" borderId="6"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164" fontId="9" fillId="5" borderId="9" xfId="0" applyNumberFormat="1" applyFont="1" applyFill="1" applyBorder="1" applyAlignment="1">
      <alignment horizontal="right" vertical="top" wrapText="1"/>
    </xf>
    <xf numFmtId="49" fontId="9" fillId="5" borderId="9" xfId="0" applyNumberFormat="1" applyFont="1" applyFill="1" applyBorder="1" applyAlignment="1">
      <alignment horizontal="right" vertical="top" wrapText="1"/>
    </xf>
    <xf numFmtId="164" fontId="1" fillId="0" borderId="4" xfId="0" applyNumberFormat="1" applyFont="1" applyBorder="1" applyAlignment="1">
      <alignment vertical="top" wrapText="1"/>
    </xf>
    <xf numFmtId="164" fontId="1" fillId="0" borderId="12" xfId="0" applyNumberFormat="1" applyFont="1" applyBorder="1"/>
    <xf numFmtId="1" fontId="9" fillId="5" borderId="13" xfId="0" applyNumberFormat="1" applyFont="1" applyFill="1" applyBorder="1" applyAlignment="1">
      <alignment horizontal="center" vertical="top" wrapText="1"/>
    </xf>
    <xf numFmtId="49" fontId="9" fillId="5" borderId="15" xfId="0" applyNumberFormat="1" applyFont="1" applyFill="1" applyBorder="1" applyAlignment="1">
      <alignment horizontal="right" vertical="top" wrapText="1"/>
    </xf>
    <xf numFmtId="1" fontId="1" fillId="0" borderId="10" xfId="0" applyNumberFormat="1" applyFont="1" applyFill="1" applyBorder="1" applyAlignment="1">
      <alignment horizontal="center" vertical="top" wrapText="1"/>
    </xf>
    <xf numFmtId="164" fontId="9" fillId="6" borderId="15" xfId="0" applyNumberFormat="1" applyFont="1" applyFill="1" applyBorder="1" applyAlignment="1">
      <alignment horizontal="left" vertical="top" wrapText="1"/>
    </xf>
    <xf numFmtId="164" fontId="10" fillId="0" borderId="0" xfId="0" applyNumberFormat="1" applyFont="1" applyAlignment="1">
      <alignment vertical="top"/>
    </xf>
    <xf numFmtId="164" fontId="10" fillId="2" borderId="0" xfId="0" applyNumberFormat="1" applyFont="1" applyFill="1" applyAlignment="1">
      <alignment vertical="top" wrapText="1"/>
    </xf>
    <xf numFmtId="49" fontId="9" fillId="6" borderId="9" xfId="0" applyNumberFormat="1" applyFont="1" applyFill="1" applyBorder="1" applyAlignment="1">
      <alignment horizontal="right" vertical="top" wrapText="1"/>
    </xf>
    <xf numFmtId="49" fontId="9" fillId="6" borderId="15" xfId="0" applyNumberFormat="1" applyFont="1" applyFill="1" applyBorder="1" applyAlignment="1">
      <alignment horizontal="right" vertical="top" wrapText="1"/>
    </xf>
    <xf numFmtId="0" fontId="1" fillId="0" borderId="1" xfId="0" applyFont="1" applyBorder="1" applyAlignment="1">
      <alignment horizontal="center" vertical="top" wrapText="1"/>
    </xf>
    <xf numFmtId="164" fontId="10" fillId="0" borderId="0" xfId="0" applyNumberFormat="1" applyFont="1" applyAlignment="1">
      <alignment vertical="top" wrapText="1"/>
    </xf>
    <xf numFmtId="164" fontId="1" fillId="0" borderId="0" xfId="0" applyNumberFormat="1" applyFont="1" applyAlignment="1">
      <alignment vertical="top" wrapText="1"/>
    </xf>
    <xf numFmtId="164" fontId="1" fillId="0" borderId="0" xfId="0" applyNumberFormat="1" applyFont="1" applyFill="1" applyAlignment="1">
      <alignment vertical="top"/>
    </xf>
    <xf numFmtId="0" fontId="11" fillId="0" borderId="0" xfId="0" applyFont="1" applyAlignment="1">
      <alignment vertical="top" wrapText="1"/>
    </xf>
    <xf numFmtId="49" fontId="9" fillId="5" borderId="1" xfId="0" applyNumberFormat="1" applyFont="1" applyFill="1" applyBorder="1" applyAlignment="1">
      <alignment horizontal="center" vertical="top" wrapText="1"/>
    </xf>
    <xf numFmtId="164" fontId="9" fillId="7"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4" borderId="1" xfId="0" applyFont="1" applyFill="1" applyBorder="1" applyAlignment="1">
      <alignment horizontal="center" vertical="top" wrapText="1"/>
    </xf>
    <xf numFmtId="164" fontId="9" fillId="5" borderId="1" xfId="0" applyNumberFormat="1" applyFont="1" applyFill="1" applyBorder="1" applyAlignment="1">
      <alignment horizontal="left" vertical="top" wrapText="1"/>
    </xf>
    <xf numFmtId="164" fontId="9" fillId="5" borderId="1" xfId="0" applyNumberFormat="1" applyFont="1" applyFill="1" applyBorder="1" applyAlignment="1">
      <alignment horizontal="right" vertical="top" wrapText="1"/>
    </xf>
    <xf numFmtId="164" fontId="1" fillId="0" borderId="7" xfId="0" applyNumberFormat="1" applyFont="1" applyBorder="1" applyAlignment="1">
      <alignment horizontal="center" vertical="top" wrapText="1"/>
    </xf>
    <xf numFmtId="49" fontId="1" fillId="2" borderId="17" xfId="0" applyNumberFormat="1" applyFont="1" applyFill="1" applyBorder="1" applyAlignment="1">
      <alignment horizontal="center" vertical="top" wrapText="1"/>
    </xf>
    <xf numFmtId="49" fontId="1" fillId="2" borderId="18" xfId="0" applyNumberFormat="1" applyFont="1" applyFill="1" applyBorder="1" applyAlignment="1">
      <alignment horizontal="center" vertical="top" wrapText="1"/>
    </xf>
    <xf numFmtId="164" fontId="1" fillId="2" borderId="17" xfId="0" applyNumberFormat="1" applyFont="1" applyFill="1" applyBorder="1" applyAlignment="1">
      <alignment horizontal="center" vertical="top" wrapText="1"/>
    </xf>
    <xf numFmtId="164" fontId="1" fillId="2" borderId="18" xfId="0" applyNumberFormat="1" applyFont="1" applyFill="1" applyBorder="1" applyAlignment="1">
      <alignment horizontal="center" vertical="top" wrapText="1"/>
    </xf>
    <xf numFmtId="164" fontId="1" fillId="2" borderId="11" xfId="0" applyNumberFormat="1" applyFont="1" applyFill="1" applyBorder="1" applyAlignment="1">
      <alignment horizontal="center" vertical="top" wrapText="1"/>
    </xf>
    <xf numFmtId="164" fontId="1" fillId="2" borderId="8"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wrapText="1"/>
    </xf>
    <xf numFmtId="164" fontId="5" fillId="2" borderId="11" xfId="0" applyNumberFormat="1" applyFont="1" applyFill="1" applyBorder="1" applyAlignment="1">
      <alignment horizontal="center" vertical="top" wrapText="1"/>
    </xf>
    <xf numFmtId="164" fontId="1" fillId="2" borderId="1" xfId="0" applyNumberFormat="1" applyFont="1" applyFill="1" applyBorder="1"/>
    <xf numFmtId="0" fontId="1" fillId="4" borderId="1" xfId="0" applyFont="1" applyFill="1" applyBorder="1" applyAlignment="1">
      <alignment vertical="top" wrapText="1"/>
    </xf>
    <xf numFmtId="164" fontId="1" fillId="0" borderId="10" xfId="0" applyNumberFormat="1" applyFont="1" applyFill="1" applyBorder="1" applyAlignment="1">
      <alignment horizontal="left" vertical="top" wrapText="1"/>
    </xf>
    <xf numFmtId="165" fontId="9" fillId="5" borderId="1" xfId="0" applyNumberFormat="1" applyFont="1" applyFill="1" applyBorder="1" applyAlignment="1">
      <alignment horizontal="center" vertical="top" wrapText="1"/>
    </xf>
    <xf numFmtId="164" fontId="5" fillId="2" borderId="18" xfId="0" applyNumberFormat="1" applyFont="1" applyFill="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Border="1" applyAlignment="1">
      <alignment vertical="top"/>
    </xf>
    <xf numFmtId="164" fontId="9" fillId="6" borderId="3" xfId="0" applyNumberFormat="1" applyFont="1" applyFill="1" applyBorder="1" applyAlignment="1">
      <alignment horizontal="left" vertical="top" wrapText="1"/>
    </xf>
    <xf numFmtId="164" fontId="9" fillId="5" borderId="3" xfId="0" applyNumberFormat="1" applyFont="1" applyFill="1" applyBorder="1" applyAlignment="1">
      <alignment horizontal="left" vertical="top" wrapText="1"/>
    </xf>
    <xf numFmtId="164" fontId="1" fillId="2" borderId="4" xfId="0" applyNumberFormat="1" applyFont="1" applyFill="1" applyBorder="1" applyAlignment="1">
      <alignment horizontal="left" vertical="top" wrapText="1"/>
    </xf>
    <xf numFmtId="164" fontId="1" fillId="2" borderId="5" xfId="0" applyNumberFormat="1" applyFont="1" applyFill="1" applyBorder="1" applyAlignment="1">
      <alignment horizontal="left" vertical="top" wrapText="1"/>
    </xf>
    <xf numFmtId="164" fontId="6" fillId="0" borderId="0" xfId="0" applyNumberFormat="1" applyFont="1" applyBorder="1" applyAlignment="1">
      <alignment vertical="top"/>
    </xf>
    <xf numFmtId="1" fontId="1" fillId="2" borderId="12" xfId="0" applyNumberFormat="1" applyFont="1" applyFill="1" applyBorder="1" applyAlignment="1">
      <alignment horizontal="center" vertical="top" wrapText="1"/>
    </xf>
    <xf numFmtId="164" fontId="9" fillId="5" borderId="16" xfId="0" applyNumberFormat="1" applyFont="1" applyFill="1" applyBorder="1" applyAlignment="1">
      <alignment horizontal="left" vertical="center" wrapText="1"/>
    </xf>
    <xf numFmtId="164" fontId="9" fillId="6" borderId="16" xfId="0" applyNumberFormat="1" applyFont="1" applyFill="1" applyBorder="1" applyAlignment="1">
      <alignment horizontal="left" vertical="top"/>
    </xf>
    <xf numFmtId="164" fontId="9" fillId="5" borderId="16" xfId="0" applyNumberFormat="1" applyFont="1" applyFill="1" applyBorder="1" applyAlignment="1">
      <alignment horizontal="left" vertical="top" wrapText="1"/>
    </xf>
    <xf numFmtId="0" fontId="1" fillId="0" borderId="0" xfId="0" applyFont="1" applyBorder="1" applyAlignment="1">
      <alignment vertical="top" wrapText="1"/>
    </xf>
    <xf numFmtId="164" fontId="9" fillId="7" borderId="16" xfId="0" applyNumberFormat="1" applyFont="1" applyFill="1" applyBorder="1" applyAlignment="1">
      <alignment horizontal="left" vertical="top" wrapText="1"/>
    </xf>
    <xf numFmtId="164" fontId="1" fillId="0" borderId="1" xfId="0" applyNumberFormat="1" applyFont="1" applyBorder="1" applyAlignment="1">
      <alignment horizontal="center" vertical="top" wrapText="1"/>
    </xf>
    <xf numFmtId="164" fontId="9" fillId="5" borderId="15" xfId="0" applyNumberFormat="1" applyFont="1" applyFill="1" applyBorder="1" applyAlignment="1">
      <alignment horizontal="left" vertical="top" wrapText="1"/>
    </xf>
    <xf numFmtId="49" fontId="1" fillId="2" borderId="15"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xf>
    <xf numFmtId="164" fontId="1" fillId="0" borderId="17" xfId="0" applyNumberFormat="1" applyFont="1" applyBorder="1" applyAlignment="1">
      <alignment horizontal="center" vertical="top" wrapText="1"/>
    </xf>
    <xf numFmtId="164" fontId="5" fillId="2" borderId="17"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5" xfId="0" applyFont="1" applyFill="1" applyBorder="1" applyAlignment="1">
      <alignment horizontal="center" vertical="top" wrapText="1"/>
    </xf>
    <xf numFmtId="164" fontId="1" fillId="2" borderId="14" xfId="0" applyNumberFormat="1" applyFont="1" applyFill="1" applyBorder="1" applyAlignment="1">
      <alignment vertical="top" wrapText="1"/>
    </xf>
    <xf numFmtId="0" fontId="1" fillId="2" borderId="20" xfId="0" applyFont="1" applyFill="1" applyBorder="1" applyAlignment="1">
      <alignment vertical="top" wrapText="1"/>
    </xf>
    <xf numFmtId="164" fontId="6" fillId="0" borderId="0" xfId="0" applyNumberFormat="1" applyFont="1" applyFill="1" applyAlignment="1">
      <alignment vertical="top" wrapText="1"/>
    </xf>
    <xf numFmtId="164" fontId="9" fillId="5" borderId="0" xfId="0" applyNumberFormat="1" applyFont="1" applyFill="1" applyBorder="1" applyAlignment="1">
      <alignment horizontal="left" vertical="center" wrapText="1"/>
    </xf>
    <xf numFmtId="164" fontId="9" fillId="6" borderId="0" xfId="0" applyNumberFormat="1" applyFont="1" applyFill="1" applyBorder="1" applyAlignment="1">
      <alignment horizontal="left" vertical="top"/>
    </xf>
    <xf numFmtId="164" fontId="9" fillId="5" borderId="0" xfId="0" applyNumberFormat="1" applyFont="1" applyFill="1" applyBorder="1" applyAlignment="1">
      <alignment horizontal="left" vertical="top" wrapText="1"/>
    </xf>
    <xf numFmtId="164" fontId="9" fillId="6" borderId="0" xfId="0" applyNumberFormat="1" applyFont="1" applyFill="1" applyBorder="1" applyAlignment="1">
      <alignment horizontal="left" vertical="top" wrapText="1"/>
    </xf>
    <xf numFmtId="164" fontId="5" fillId="2" borderId="14" xfId="0" applyNumberFormat="1" applyFont="1" applyFill="1" applyBorder="1" applyAlignment="1">
      <alignment horizontal="center" vertical="top" wrapText="1"/>
    </xf>
    <xf numFmtId="164" fontId="1" fillId="2" borderId="16" xfId="0" applyNumberFormat="1" applyFont="1" applyFill="1" applyBorder="1" applyAlignment="1">
      <alignment horizontal="center" vertical="top" wrapText="1"/>
    </xf>
    <xf numFmtId="164" fontId="1" fillId="2" borderId="18" xfId="0" applyNumberFormat="1" applyFont="1" applyFill="1" applyBorder="1" applyAlignment="1">
      <alignment horizontal="left" vertical="top" wrapText="1"/>
    </xf>
    <xf numFmtId="49" fontId="5" fillId="5" borderId="1" xfId="0" applyNumberFormat="1" applyFont="1" applyFill="1" applyBorder="1" applyAlignment="1">
      <alignment horizontal="center" vertical="top" wrapText="1"/>
    </xf>
    <xf numFmtId="165" fontId="5" fillId="5" borderId="1"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164" fontId="5" fillId="6" borderId="1" xfId="0" applyNumberFormat="1" applyFont="1" applyFill="1" applyBorder="1" applyAlignment="1">
      <alignment horizontal="center" vertical="center" wrapText="1"/>
    </xf>
    <xf numFmtId="164" fontId="5" fillId="5" borderId="16"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top"/>
    </xf>
    <xf numFmtId="164" fontId="5" fillId="5" borderId="1" xfId="0" applyNumberFormat="1" applyFont="1" applyFill="1" applyBorder="1" applyAlignment="1">
      <alignment horizontal="center" vertical="center" wrapText="1"/>
    </xf>
    <xf numFmtId="164" fontId="5" fillId="6" borderId="16" xfId="0" applyNumberFormat="1" applyFont="1" applyFill="1" applyBorder="1" applyAlignment="1">
      <alignment horizontal="left" vertical="top"/>
    </xf>
    <xf numFmtId="164" fontId="5" fillId="5" borderId="16" xfId="0" applyNumberFormat="1" applyFont="1" applyFill="1" applyBorder="1" applyAlignment="1">
      <alignment horizontal="left" vertical="top" wrapText="1"/>
    </xf>
    <xf numFmtId="164" fontId="5" fillId="7" borderId="16" xfId="0" applyNumberFormat="1" applyFont="1" applyFill="1" applyBorder="1" applyAlignment="1">
      <alignment horizontal="left" vertical="top" wrapText="1"/>
    </xf>
    <xf numFmtId="164" fontId="5" fillId="6" borderId="1" xfId="0" applyNumberFormat="1" applyFont="1" applyFill="1" applyBorder="1" applyAlignment="1">
      <alignment horizontal="center" vertical="top" wrapText="1"/>
    </xf>
    <xf numFmtId="164" fontId="5" fillId="3" borderId="5" xfId="0" applyNumberFormat="1" applyFont="1" applyFill="1" applyBorder="1" applyAlignment="1">
      <alignment horizontal="center" vertical="center" wrapText="1"/>
    </xf>
    <xf numFmtId="164" fontId="8" fillId="0" borderId="0" xfId="0" applyNumberFormat="1" applyFont="1" applyFill="1" applyAlignment="1">
      <alignment horizontal="right" vertical="top" wrapText="1"/>
    </xf>
    <xf numFmtId="1" fontId="9" fillId="6" borderId="10" xfId="0" applyNumberFormat="1" applyFont="1" applyFill="1" applyBorder="1" applyAlignment="1">
      <alignment horizontal="center" vertical="center" wrapText="1"/>
    </xf>
    <xf numFmtId="164" fontId="9" fillId="6" borderId="2" xfId="0" applyNumberFormat="1" applyFont="1" applyFill="1" applyBorder="1" applyAlignment="1">
      <alignment horizontal="right" vertical="center" wrapText="1"/>
    </xf>
    <xf numFmtId="49" fontId="9" fillId="6" borderId="2" xfId="0" applyNumberFormat="1" applyFont="1" applyFill="1" applyBorder="1" applyAlignment="1">
      <alignment horizontal="right" vertical="center" wrapText="1"/>
    </xf>
    <xf numFmtId="49" fontId="9" fillId="6" borderId="3" xfId="0" applyNumberFormat="1" applyFont="1" applyFill="1" applyBorder="1" applyAlignment="1">
      <alignment horizontal="right" vertical="center" wrapText="1"/>
    </xf>
    <xf numFmtId="0" fontId="1" fillId="2" borderId="8" xfId="0" applyFont="1" applyFill="1" applyBorder="1" applyAlignment="1">
      <alignment vertical="top" wrapText="1"/>
    </xf>
    <xf numFmtId="0" fontId="1" fillId="2" borderId="1" xfId="0" applyFont="1" applyFill="1" applyBorder="1" applyAlignment="1">
      <alignment vertical="top" wrapText="1"/>
    </xf>
    <xf numFmtId="164" fontId="1" fillId="2" borderId="0" xfId="0" applyNumberFormat="1" applyFont="1" applyFill="1"/>
    <xf numFmtId="164" fontId="1" fillId="2" borderId="22" xfId="0" applyNumberFormat="1" applyFont="1" applyFill="1" applyBorder="1" applyAlignment="1">
      <alignment horizontal="center" vertical="top" wrapText="1"/>
    </xf>
    <xf numFmtId="0" fontId="1" fillId="0" borderId="0" xfId="0" applyFont="1" applyAlignment="1">
      <alignment vertical="top" wrapText="1"/>
    </xf>
    <xf numFmtId="164" fontId="9" fillId="6" borderId="16" xfId="0" applyNumberFormat="1" applyFont="1" applyFill="1" applyBorder="1" applyAlignment="1">
      <alignment horizontal="left" vertical="top" wrapText="1"/>
    </xf>
    <xf numFmtId="164" fontId="5" fillId="6" borderId="16" xfId="0" applyNumberFormat="1" applyFont="1" applyFill="1" applyBorder="1" applyAlignment="1">
      <alignment horizontal="left" vertical="top" wrapText="1"/>
    </xf>
    <xf numFmtId="0" fontId="1" fillId="2" borderId="23" xfId="0" applyFont="1" applyFill="1" applyBorder="1" applyAlignment="1">
      <alignment vertical="top" wrapText="1"/>
    </xf>
    <xf numFmtId="164" fontId="5"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0" borderId="0" xfId="0" applyNumberFormat="1" applyFont="1" applyFill="1" applyAlignment="1">
      <alignment horizontal="center"/>
    </xf>
    <xf numFmtId="164" fontId="9" fillId="6" borderId="3" xfId="0" applyNumberFormat="1" applyFont="1" applyFill="1" applyBorder="1" applyAlignment="1">
      <alignment horizontal="left" vertical="center" wrapText="1"/>
    </xf>
    <xf numFmtId="1" fontId="1" fillId="2" borderId="4" xfId="0" applyNumberFormat="1"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164" fontId="1" fillId="2" borderId="7"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wrapText="1"/>
    </xf>
    <xf numFmtId="164" fontId="1" fillId="0" borderId="4"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1" fontId="1" fillId="2" borderId="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0" fillId="0" borderId="0" xfId="0" applyFont="1" applyAlignment="1">
      <alignment vertical="top"/>
    </xf>
    <xf numFmtId="0" fontId="12" fillId="0" borderId="19" xfId="0" applyFont="1" applyBorder="1" applyAlignment="1">
      <alignment vertical="top" wrapText="1"/>
    </xf>
    <xf numFmtId="0" fontId="10" fillId="0" borderId="0" xfId="0" applyFont="1" applyAlignment="1">
      <alignment vertical="top" wrapText="1"/>
    </xf>
    <xf numFmtId="164" fontId="1" fillId="2" borderId="21" xfId="0" applyNumberFormat="1" applyFont="1" applyFill="1" applyBorder="1" applyAlignment="1">
      <alignment horizontal="center" vertical="top" wrapText="1"/>
    </xf>
    <xf numFmtId="164" fontId="5" fillId="2" borderId="0" xfId="0" applyNumberFormat="1" applyFont="1" applyFill="1" applyAlignment="1">
      <alignment horizontal="center"/>
    </xf>
    <xf numFmtId="164" fontId="1" fillId="2" borderId="0" xfId="0" applyNumberFormat="1" applyFont="1" applyFill="1" applyAlignment="1">
      <alignment horizontal="center"/>
    </xf>
    <xf numFmtId="0" fontId="1" fillId="2" borderId="1" xfId="0" applyNumberFormat="1" applyFont="1" applyFill="1" applyBorder="1" applyAlignment="1">
      <alignment horizontal="center" vertical="top" wrapText="1"/>
    </xf>
    <xf numFmtId="164" fontId="7" fillId="2" borderId="5"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164" fontId="2" fillId="0" borderId="1" xfId="0" applyNumberFormat="1" applyFont="1" applyFill="1" applyBorder="1" applyAlignment="1">
      <alignment horizontal="left" vertical="top" wrapText="1"/>
    </xf>
    <xf numFmtId="164" fontId="2" fillId="2" borderId="1" xfId="0" applyNumberFormat="1" applyFont="1" applyFill="1" applyBorder="1" applyAlignment="1">
      <alignment vertical="top" wrapText="1"/>
    </xf>
    <xf numFmtId="164" fontId="7"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164" fontId="7" fillId="2" borderId="10" xfId="0" applyNumberFormat="1" applyFont="1" applyFill="1" applyBorder="1" applyAlignment="1">
      <alignment horizontal="center" vertical="top" wrapText="1"/>
    </xf>
    <xf numFmtId="164" fontId="2" fillId="2" borderId="10" xfId="0" applyNumberFormat="1" applyFont="1" applyFill="1" applyBorder="1" applyAlignment="1">
      <alignment horizontal="center" vertical="top"/>
    </xf>
    <xf numFmtId="0" fontId="2" fillId="2" borderId="15" xfId="0" applyFont="1" applyFill="1" applyBorder="1" applyAlignment="1">
      <alignment vertical="top" wrapText="1"/>
    </xf>
    <xf numFmtId="164" fontId="2" fillId="2" borderId="4" xfId="0" applyNumberFormat="1" applyFont="1" applyFill="1" applyBorder="1" applyAlignment="1">
      <alignment horizontal="center" vertical="top"/>
    </xf>
    <xf numFmtId="164" fontId="7" fillId="2" borderId="4" xfId="0" applyNumberFormat="1" applyFont="1" applyFill="1" applyBorder="1" applyAlignment="1">
      <alignment horizontal="center" vertical="top" wrapText="1"/>
    </xf>
    <xf numFmtId="164" fontId="2" fillId="2" borderId="1" xfId="0" applyNumberFormat="1" applyFont="1" applyFill="1" applyBorder="1" applyAlignment="1">
      <alignment horizontal="left" vertical="top" wrapText="1"/>
    </xf>
    <xf numFmtId="164" fontId="2" fillId="2" borderId="7" xfId="0" applyNumberFormat="1" applyFont="1" applyFill="1" applyBorder="1" applyAlignment="1">
      <alignment horizontal="center" vertical="top" wrapText="1"/>
    </xf>
    <xf numFmtId="164" fontId="7" fillId="2" borderId="18" xfId="0" applyNumberFormat="1" applyFont="1" applyFill="1" applyBorder="1" applyAlignment="1">
      <alignment horizontal="center" vertical="top" wrapText="1"/>
    </xf>
    <xf numFmtId="164" fontId="7" fillId="2" borderId="7" xfId="0" applyNumberFormat="1" applyFont="1" applyFill="1" applyBorder="1" applyAlignment="1">
      <alignment horizontal="center" vertical="top" wrapText="1"/>
    </xf>
    <xf numFmtId="0" fontId="2" fillId="2" borderId="20" xfId="0" applyFont="1" applyFill="1" applyBorder="1" applyAlignment="1">
      <alignment vertical="top" wrapText="1"/>
    </xf>
    <xf numFmtId="0" fontId="2" fillId="2" borderId="11" xfId="0" applyFont="1" applyFill="1" applyBorder="1" applyAlignment="1">
      <alignment vertical="center" wrapText="1"/>
    </xf>
    <xf numFmtId="164" fontId="7" fillId="2" borderId="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164" fontId="1" fillId="2" borderId="4" xfId="0" applyNumberFormat="1" applyFont="1" applyFill="1" applyBorder="1" applyAlignment="1">
      <alignment horizontal="left" vertical="top"/>
    </xf>
    <xf numFmtId="164" fontId="2" fillId="2" borderId="7" xfId="0" applyNumberFormat="1" applyFont="1" applyFill="1" applyBorder="1" applyAlignment="1">
      <alignment horizontal="center" vertical="top"/>
    </xf>
    <xf numFmtId="164" fontId="2" fillId="2" borderId="7"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164" fontId="1" fillId="3" borderId="1" xfId="0" applyNumberFormat="1" applyFont="1" applyFill="1" applyBorder="1" applyAlignment="1">
      <alignment horizontal="center" vertical="top" wrapText="1"/>
    </xf>
    <xf numFmtId="164" fontId="7" fillId="3" borderId="5"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left" vertical="top" wrapText="1"/>
    </xf>
    <xf numFmtId="49" fontId="2" fillId="3" borderId="5" xfId="0" applyNumberFormat="1" applyFont="1" applyFill="1" applyBorder="1" applyAlignment="1">
      <alignment horizontal="center" vertical="top" wrapText="1"/>
    </xf>
    <xf numFmtId="164" fontId="13" fillId="3" borderId="0" xfId="0" applyNumberFormat="1" applyFont="1" applyFill="1" applyAlignment="1">
      <alignment vertical="top" wrapText="1"/>
    </xf>
    <xf numFmtId="164" fontId="2" fillId="3" borderId="4" xfId="0" applyNumberFormat="1" applyFont="1" applyFill="1" applyBorder="1" applyAlignment="1">
      <alignment horizontal="left" vertical="top" wrapText="1"/>
    </xf>
    <xf numFmtId="49" fontId="1" fillId="3" borderId="1" xfId="0" applyNumberFormat="1" applyFont="1" applyFill="1" applyBorder="1" applyAlignment="1">
      <alignment horizontal="center" vertical="top"/>
    </xf>
    <xf numFmtId="164" fontId="7"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xf>
    <xf numFmtId="164" fontId="2" fillId="3" borderId="0" xfId="0" applyNumberFormat="1" applyFont="1" applyFill="1" applyAlignment="1">
      <alignment vertical="top" wrapText="1"/>
    </xf>
    <xf numFmtId="164" fontId="1" fillId="3" borderId="4" xfId="0" applyNumberFormat="1" applyFont="1" applyFill="1" applyBorder="1" applyAlignment="1">
      <alignment horizontal="left" vertical="top" wrapText="1"/>
    </xf>
    <xf numFmtId="164" fontId="1" fillId="2" borderId="2" xfId="0" applyNumberFormat="1" applyFont="1" applyFill="1" applyBorder="1" applyAlignment="1">
      <alignment horizontal="left" vertical="top" wrapText="1"/>
    </xf>
    <xf numFmtId="164" fontId="1" fillId="2" borderId="9" xfId="0" applyNumberFormat="1" applyFont="1" applyFill="1" applyBorder="1" applyAlignment="1">
      <alignment horizontal="center" vertical="top" wrapText="1"/>
    </xf>
    <xf numFmtId="164" fontId="6" fillId="6" borderId="2" xfId="0" applyNumberFormat="1" applyFont="1" applyFill="1" applyBorder="1" applyAlignment="1">
      <alignment horizontal="right" vertical="top" wrapText="1"/>
    </xf>
    <xf numFmtId="164" fontId="6" fillId="6" borderId="1" xfId="0" applyNumberFormat="1" applyFont="1" applyFill="1" applyBorder="1" applyAlignment="1">
      <alignment horizontal="right" vertical="top" wrapText="1"/>
    </xf>
    <xf numFmtId="49" fontId="9" fillId="6" borderId="1" xfId="0" applyNumberFormat="1" applyFont="1" applyFill="1" applyBorder="1" applyAlignment="1">
      <alignment horizontal="right" vertical="top" wrapText="1"/>
    </xf>
    <xf numFmtId="49" fontId="9" fillId="6" borderId="1" xfId="0" applyNumberFormat="1" applyFont="1" applyFill="1" applyBorder="1" applyAlignment="1">
      <alignment horizontal="center" vertical="top" wrapText="1"/>
    </xf>
    <xf numFmtId="165" fontId="9" fillId="6" borderId="1" xfId="0" applyNumberFormat="1" applyFont="1" applyFill="1" applyBorder="1" applyAlignment="1">
      <alignment horizontal="center" vertical="top" wrapText="1"/>
    </xf>
    <xf numFmtId="1" fontId="5" fillId="6" borderId="10" xfId="0" applyNumberFormat="1" applyFont="1" applyFill="1" applyBorder="1" applyAlignment="1">
      <alignment horizontal="center" vertical="top" wrapText="1"/>
    </xf>
    <xf numFmtId="164" fontId="9" fillId="6" borderId="1" xfId="0" applyNumberFormat="1" applyFont="1" applyFill="1" applyBorder="1" applyAlignment="1">
      <alignment horizontal="left" vertical="top" wrapText="1"/>
    </xf>
    <xf numFmtId="49" fontId="9" fillId="6" borderId="10" xfId="0" applyNumberFormat="1" applyFont="1" applyFill="1" applyBorder="1" applyAlignment="1">
      <alignment horizontal="right" vertical="top" wrapText="1"/>
    </xf>
    <xf numFmtId="1" fontId="9" fillId="6" borderId="13" xfId="0" applyNumberFormat="1" applyFont="1" applyFill="1" applyBorder="1" applyAlignment="1">
      <alignment horizontal="center" vertical="top" wrapText="1"/>
    </xf>
    <xf numFmtId="164" fontId="9" fillId="5" borderId="16" xfId="0" applyNumberFormat="1" applyFont="1" applyFill="1" applyBorder="1" applyAlignment="1">
      <alignment horizontal="left" vertical="top"/>
    </xf>
    <xf numFmtId="0" fontId="1" fillId="0" borderId="15" xfId="0" applyFont="1" applyBorder="1" applyAlignment="1">
      <alignment horizontal="center" vertical="top" wrapText="1"/>
    </xf>
    <xf numFmtId="0" fontId="1" fillId="2" borderId="15" xfId="0" applyFont="1" applyFill="1" applyBorder="1" applyAlignment="1">
      <alignment vertical="top" wrapText="1"/>
    </xf>
    <xf numFmtId="0" fontId="1" fillId="2" borderId="3" xfId="0" applyFont="1" applyFill="1" applyBorder="1" applyAlignment="1">
      <alignment horizontal="center" vertical="top" wrapText="1"/>
    </xf>
    <xf numFmtId="164" fontId="1" fillId="2" borderId="7" xfId="0" applyNumberFormat="1" applyFont="1" applyFill="1" applyBorder="1" applyAlignment="1">
      <alignment horizontal="left" vertical="top" wrapText="1"/>
    </xf>
    <xf numFmtId="164" fontId="1" fillId="2" borderId="13" xfId="0" applyNumberFormat="1" applyFont="1" applyFill="1" applyBorder="1" applyAlignment="1">
      <alignment horizontal="center" vertical="top" wrapText="1"/>
    </xf>
    <xf numFmtId="164" fontId="5" fillId="2" borderId="13" xfId="0" applyNumberFormat="1" applyFont="1" applyFill="1" applyBorder="1" applyAlignment="1">
      <alignment horizontal="center" vertical="top" wrapText="1"/>
    </xf>
    <xf numFmtId="164" fontId="1" fillId="2" borderId="15"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center" wrapText="1"/>
    </xf>
    <xf numFmtId="1" fontId="1" fillId="0" borderId="0" xfId="0" applyNumberFormat="1" applyFont="1" applyFill="1" applyAlignment="1">
      <alignment horizontal="center"/>
    </xf>
    <xf numFmtId="164" fontId="1" fillId="0" borderId="5" xfId="0" applyNumberFormat="1" applyFont="1" applyFill="1" applyBorder="1" applyAlignment="1">
      <alignment horizontal="left" vertical="top" wrapText="1"/>
    </xf>
    <xf numFmtId="1" fontId="1" fillId="2" borderId="4" xfId="0" applyNumberFormat="1"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 fontId="1" fillId="2" borderId="5"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164" fontId="6" fillId="0" borderId="0" xfId="0" applyNumberFormat="1" applyFont="1" applyFill="1" applyAlignment="1">
      <alignment horizontal="left" vertical="top" wrapText="1"/>
    </xf>
    <xf numFmtId="164" fontId="1" fillId="2" borderId="4"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8" fillId="0" borderId="0" xfId="0" applyNumberFormat="1" applyFont="1" applyFill="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64" fontId="9" fillId="5" borderId="10" xfId="0" applyNumberFormat="1" applyFont="1" applyFill="1" applyBorder="1" applyAlignment="1">
      <alignment horizontal="left" vertical="center" wrapText="1"/>
    </xf>
    <xf numFmtId="164" fontId="9" fillId="5" borderId="2" xfId="0" applyNumberFormat="1" applyFont="1" applyFill="1" applyBorder="1" applyAlignment="1">
      <alignment horizontal="left" vertical="center" wrapText="1"/>
    </xf>
    <xf numFmtId="164" fontId="9" fillId="5" borderId="3" xfId="0" applyNumberFormat="1" applyFont="1" applyFill="1" applyBorder="1" applyAlignment="1">
      <alignment horizontal="left" vertical="center" wrapText="1"/>
    </xf>
    <xf numFmtId="1" fontId="1" fillId="0" borderId="0" xfId="0" applyNumberFormat="1" applyFont="1" applyFill="1" applyAlignment="1">
      <alignment horizontal="center"/>
    </xf>
    <xf numFmtId="164" fontId="9" fillId="3" borderId="13" xfId="0" applyNumberFormat="1" applyFont="1" applyFill="1" applyBorder="1" applyAlignment="1">
      <alignment vertical="top" wrapText="1"/>
    </xf>
    <xf numFmtId="164" fontId="9" fillId="3" borderId="9" xfId="0" applyNumberFormat="1" applyFont="1" applyFill="1" applyBorder="1" applyAlignment="1">
      <alignment vertical="top" wrapText="1"/>
    </xf>
    <xf numFmtId="164" fontId="9" fillId="3" borderId="15" xfId="0" applyNumberFormat="1" applyFont="1" applyFill="1" applyBorder="1" applyAlignment="1">
      <alignment vertical="top" wrapText="1"/>
    </xf>
    <xf numFmtId="164" fontId="9" fillId="5" borderId="10" xfId="0" applyNumberFormat="1" applyFont="1" applyFill="1" applyBorder="1" applyAlignment="1">
      <alignment horizontal="left" vertical="top"/>
    </xf>
    <xf numFmtId="164" fontId="9" fillId="5" borderId="2" xfId="0" applyNumberFormat="1" applyFont="1" applyFill="1" applyBorder="1" applyAlignment="1">
      <alignment horizontal="left" vertical="top"/>
    </xf>
    <xf numFmtId="164" fontId="9" fillId="5" borderId="13" xfId="0" applyNumberFormat="1" applyFont="1" applyFill="1" applyBorder="1" applyAlignment="1">
      <alignment horizontal="left" vertical="top" wrapText="1"/>
    </xf>
    <xf numFmtId="164" fontId="9" fillId="5" borderId="9" xfId="0" applyNumberFormat="1" applyFont="1" applyFill="1" applyBorder="1" applyAlignment="1">
      <alignment horizontal="left" vertical="top" wrapText="1"/>
    </xf>
    <xf numFmtId="164" fontId="9" fillId="5" borderId="10" xfId="0" applyNumberFormat="1" applyFont="1" applyFill="1" applyBorder="1" applyAlignment="1">
      <alignment horizontal="left" vertical="top" wrapText="1"/>
    </xf>
    <xf numFmtId="164" fontId="9" fillId="5" borderId="2" xfId="0" applyNumberFormat="1" applyFont="1" applyFill="1" applyBorder="1" applyAlignment="1">
      <alignment horizontal="left" vertical="top" wrapText="1"/>
    </xf>
    <xf numFmtId="164" fontId="1" fillId="2" borderId="10"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9" fillId="6" borderId="10" xfId="0" applyNumberFormat="1" applyFont="1" applyFill="1" applyBorder="1" applyAlignment="1">
      <alignment horizontal="left" vertical="top"/>
    </xf>
    <xf numFmtId="164" fontId="9" fillId="6" borderId="2" xfId="0" applyNumberFormat="1" applyFont="1" applyFill="1" applyBorder="1" applyAlignment="1">
      <alignment horizontal="left" vertical="top"/>
    </xf>
    <xf numFmtId="164" fontId="9" fillId="6" borderId="10" xfId="0" applyNumberFormat="1" applyFont="1" applyFill="1" applyBorder="1" applyAlignment="1">
      <alignment horizontal="left" vertical="top" wrapText="1"/>
    </xf>
    <xf numFmtId="164" fontId="9" fillId="6" borderId="2" xfId="0" applyNumberFormat="1" applyFont="1" applyFill="1" applyBorder="1" applyAlignment="1">
      <alignment horizontal="left" vertical="top" wrapText="1"/>
    </xf>
    <xf numFmtId="164" fontId="1" fillId="0" borderId="4"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164" fontId="9" fillId="6" borderId="10" xfId="0" applyNumberFormat="1" applyFont="1" applyFill="1" applyBorder="1" applyAlignment="1">
      <alignment horizontal="left" vertical="center" wrapText="1"/>
    </xf>
    <xf numFmtId="164" fontId="9" fillId="6" borderId="2" xfId="0" applyNumberFormat="1" applyFont="1" applyFill="1" applyBorder="1" applyAlignment="1">
      <alignment horizontal="left" vertical="center" wrapText="1"/>
    </xf>
    <xf numFmtId="164" fontId="9" fillId="6" borderId="3" xfId="0" applyNumberFormat="1" applyFont="1" applyFill="1" applyBorder="1" applyAlignment="1">
      <alignment horizontal="left" vertical="center" wrapText="1"/>
    </xf>
    <xf numFmtId="1" fontId="1" fillId="2" borderId="4" xfId="0" applyNumberFormat="1"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 fontId="1" fillId="2" borderId="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1" fontId="1" fillId="2" borderId="4" xfId="0" applyNumberFormat="1" applyFont="1" applyFill="1" applyBorder="1" applyAlignment="1">
      <alignment horizontal="center" vertical="center" textRotation="90" wrapText="1"/>
    </xf>
    <xf numFmtId="1" fontId="1" fillId="2" borderId="7" xfId="0" applyNumberFormat="1" applyFont="1" applyFill="1" applyBorder="1" applyAlignment="1">
      <alignment horizontal="center" vertical="center" textRotation="90" wrapText="1"/>
    </xf>
    <xf numFmtId="164" fontId="1" fillId="2" borderId="4" xfId="0" applyNumberFormat="1" applyFont="1" applyFill="1" applyBorder="1" applyAlignment="1">
      <alignment horizontal="center" vertical="center" textRotation="90" wrapText="1"/>
    </xf>
    <xf numFmtId="164" fontId="1" fillId="2" borderId="7" xfId="0" applyNumberFormat="1" applyFont="1" applyFill="1" applyBorder="1" applyAlignment="1">
      <alignment horizontal="center" vertical="center" textRotation="90" wrapText="1"/>
    </xf>
    <xf numFmtId="164" fontId="1" fillId="2" borderId="5" xfId="0" applyNumberFormat="1" applyFont="1" applyFill="1" applyBorder="1" applyAlignment="1">
      <alignment horizontal="center" vertical="center" textRotation="90" wrapText="1"/>
    </xf>
  </cellXfs>
  <cellStyles count="1">
    <cellStyle name="Įprastas"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2"/>
  <sheetViews>
    <sheetView tabSelected="1" zoomScaleNormal="100" workbookViewId="0">
      <pane ySplit="1" topLeftCell="A2" activePane="bottomLeft" state="frozen"/>
      <selection pane="bottomLeft" activeCell="A2" sqref="A2:K2"/>
    </sheetView>
  </sheetViews>
  <sheetFormatPr defaultColWidth="9.140625" defaultRowHeight="12.75" x14ac:dyDescent="0.2"/>
  <cols>
    <col min="1" max="1" width="4.42578125" style="68" customWidth="1"/>
    <col min="2" max="2" width="32.42578125" style="19" customWidth="1"/>
    <col min="3" max="3" width="13.5703125" style="183" hidden="1" customWidth="1"/>
    <col min="4" max="5" width="8.42578125" style="16" customWidth="1"/>
    <col min="6" max="6" width="11.42578125" style="207" customWidth="1"/>
    <col min="7" max="11" width="11.42578125" style="208" customWidth="1"/>
    <col min="12" max="16384" width="9.140625" style="20"/>
  </cols>
  <sheetData>
    <row r="1" spans="1:11" ht="56.85" customHeight="1" x14ac:dyDescent="0.2">
      <c r="A1" s="266"/>
      <c r="D1" s="41"/>
      <c r="E1" s="41"/>
      <c r="F1" s="70"/>
      <c r="G1" s="21"/>
      <c r="H1" s="272" t="s">
        <v>246</v>
      </c>
      <c r="I1" s="272"/>
      <c r="J1" s="272"/>
      <c r="K1" s="272"/>
    </row>
    <row r="2" spans="1:11" ht="23.85" customHeight="1" x14ac:dyDescent="0.2">
      <c r="A2" s="280" t="s">
        <v>305</v>
      </c>
      <c r="B2" s="280"/>
      <c r="C2" s="280"/>
      <c r="D2" s="280"/>
      <c r="E2" s="280"/>
      <c r="F2" s="280"/>
      <c r="G2" s="280"/>
      <c r="H2" s="280"/>
      <c r="I2" s="280"/>
      <c r="J2" s="280"/>
      <c r="K2" s="280"/>
    </row>
    <row r="3" spans="1:11" ht="12" customHeight="1" x14ac:dyDescent="0.2">
      <c r="A3" s="266"/>
      <c r="D3" s="41"/>
      <c r="E3" s="19"/>
      <c r="F3" s="41"/>
      <c r="G3" s="19"/>
      <c r="H3" s="41"/>
      <c r="I3" s="19"/>
      <c r="J3" s="41"/>
      <c r="K3" s="40" t="s">
        <v>124</v>
      </c>
    </row>
    <row r="4" spans="1:11" ht="44.1" customHeight="1" x14ac:dyDescent="0.2">
      <c r="A4" s="282" t="s">
        <v>101</v>
      </c>
      <c r="B4" s="273" t="s">
        <v>0</v>
      </c>
      <c r="C4" s="273" t="s">
        <v>22</v>
      </c>
      <c r="D4" s="278" t="s">
        <v>12</v>
      </c>
      <c r="E4" s="278"/>
      <c r="F4" s="279" t="s">
        <v>14</v>
      </c>
      <c r="G4" s="281" t="s">
        <v>1</v>
      </c>
      <c r="H4" s="281" t="s">
        <v>2</v>
      </c>
      <c r="I4" s="281" t="s">
        <v>3</v>
      </c>
      <c r="J4" s="281" t="s">
        <v>4</v>
      </c>
      <c r="K4" s="281" t="s">
        <v>17</v>
      </c>
    </row>
    <row r="5" spans="1:11" ht="35.85" customHeight="1" x14ac:dyDescent="0.2">
      <c r="A5" s="283"/>
      <c r="B5" s="274"/>
      <c r="C5" s="274"/>
      <c r="D5" s="276" t="s">
        <v>5</v>
      </c>
      <c r="E5" s="276" t="s">
        <v>6</v>
      </c>
      <c r="F5" s="279"/>
      <c r="G5" s="281"/>
      <c r="H5" s="281"/>
      <c r="I5" s="281"/>
      <c r="J5" s="281"/>
      <c r="K5" s="281"/>
    </row>
    <row r="6" spans="1:11" ht="15.75" customHeight="1" x14ac:dyDescent="0.2">
      <c r="A6" s="85"/>
      <c r="B6" s="275"/>
      <c r="C6" s="275"/>
      <c r="D6" s="277"/>
      <c r="E6" s="277"/>
      <c r="F6" s="265" t="s">
        <v>13</v>
      </c>
      <c r="G6" s="265" t="s">
        <v>7</v>
      </c>
      <c r="H6" s="265" t="s">
        <v>8</v>
      </c>
      <c r="I6" s="265" t="s">
        <v>9</v>
      </c>
      <c r="J6" s="265" t="s">
        <v>10</v>
      </c>
      <c r="K6" s="265" t="s">
        <v>55</v>
      </c>
    </row>
    <row r="7" spans="1:11" ht="17.100000000000001" customHeight="1" x14ac:dyDescent="0.2">
      <c r="A7" s="284" t="s">
        <v>265</v>
      </c>
      <c r="B7" s="285"/>
      <c r="C7" s="285"/>
      <c r="D7" s="285"/>
      <c r="E7" s="285"/>
      <c r="F7" s="285"/>
      <c r="G7" s="285"/>
      <c r="H7" s="285"/>
      <c r="I7" s="285"/>
      <c r="J7" s="285"/>
      <c r="K7" s="286"/>
    </row>
    <row r="8" spans="1:11" ht="24.95" customHeight="1" x14ac:dyDescent="0.2">
      <c r="A8" s="75" t="s">
        <v>90</v>
      </c>
      <c r="B8" s="27" t="s">
        <v>273</v>
      </c>
      <c r="C8" s="195" t="s">
        <v>173</v>
      </c>
      <c r="D8" s="7" t="s">
        <v>50</v>
      </c>
      <c r="E8" s="7"/>
      <c r="F8" s="94">
        <f>+G8+H8+I8+J8+K8</f>
        <v>3170</v>
      </c>
      <c r="G8" s="22">
        <v>170</v>
      </c>
      <c r="H8" s="22"/>
      <c r="I8" s="22"/>
      <c r="J8" s="22"/>
      <c r="K8" s="22">
        <v>3000</v>
      </c>
    </row>
    <row r="9" spans="1:11" ht="16.350000000000001" customHeight="1" x14ac:dyDescent="0.2">
      <c r="A9" s="78">
        <v>1</v>
      </c>
      <c r="B9" s="103" t="s">
        <v>198</v>
      </c>
      <c r="C9" s="249"/>
      <c r="D9" s="106"/>
      <c r="E9" s="250" t="s">
        <v>13</v>
      </c>
      <c r="F9" s="252">
        <f>+F8</f>
        <v>3170</v>
      </c>
      <c r="G9" s="252">
        <f>SUM(G8:G8)</f>
        <v>170</v>
      </c>
      <c r="H9" s="252">
        <f t="shared" ref="H9:K9" si="0">SUM(H8:H8)</f>
        <v>0</v>
      </c>
      <c r="I9" s="252">
        <f t="shared" si="0"/>
        <v>0</v>
      </c>
      <c r="J9" s="252">
        <f t="shared" si="0"/>
        <v>0</v>
      </c>
      <c r="K9" s="252">
        <f t="shared" si="0"/>
        <v>3000</v>
      </c>
    </row>
    <row r="10" spans="1:11" ht="17.850000000000001" customHeight="1" x14ac:dyDescent="0.2">
      <c r="A10" s="284" t="s">
        <v>146</v>
      </c>
      <c r="B10" s="285"/>
      <c r="C10" s="285"/>
      <c r="D10" s="285"/>
      <c r="E10" s="285"/>
      <c r="F10" s="285"/>
      <c r="G10" s="285"/>
      <c r="H10" s="285"/>
      <c r="I10" s="285"/>
      <c r="J10" s="285"/>
      <c r="K10" s="286"/>
    </row>
    <row r="11" spans="1:11" ht="40.5" customHeight="1" x14ac:dyDescent="0.2">
      <c r="A11" s="75" t="s">
        <v>90</v>
      </c>
      <c r="B11" s="27" t="s">
        <v>95</v>
      </c>
      <c r="C11" s="195" t="s">
        <v>81</v>
      </c>
      <c r="D11" s="7" t="s">
        <v>27</v>
      </c>
      <c r="E11" s="7" t="s">
        <v>50</v>
      </c>
      <c r="F11" s="94">
        <f>+G11+H11+I11+J11+K11</f>
        <v>654.1</v>
      </c>
      <c r="G11" s="22">
        <v>32</v>
      </c>
      <c r="H11" s="22">
        <v>555.6</v>
      </c>
      <c r="I11" s="22"/>
      <c r="J11" s="22"/>
      <c r="K11" s="22">
        <v>66.5</v>
      </c>
    </row>
    <row r="12" spans="1:11" ht="39.6" customHeight="1" x14ac:dyDescent="0.2">
      <c r="A12" s="269">
        <v>2</v>
      </c>
      <c r="B12" s="28" t="s">
        <v>139</v>
      </c>
      <c r="C12" s="195" t="s">
        <v>42</v>
      </c>
      <c r="D12" s="12" t="s">
        <v>18</v>
      </c>
      <c r="E12" s="8" t="s">
        <v>119</v>
      </c>
      <c r="F12" s="74">
        <f>+G12+H12+I12+J12+K12</f>
        <v>1872.4</v>
      </c>
      <c r="G12" s="195">
        <v>1372.4</v>
      </c>
      <c r="H12" s="195"/>
      <c r="I12" s="22"/>
      <c r="J12" s="195"/>
      <c r="K12" s="22">
        <v>500</v>
      </c>
    </row>
    <row r="13" spans="1:11" ht="51.75" customHeight="1" x14ac:dyDescent="0.2">
      <c r="A13" s="270"/>
      <c r="B13" s="48" t="s">
        <v>202</v>
      </c>
      <c r="C13" s="122" t="s">
        <v>42</v>
      </c>
      <c r="D13" s="120" t="s">
        <v>52</v>
      </c>
      <c r="E13" s="148"/>
      <c r="F13" s="151">
        <f>+G13+H13+I13+J13+K13</f>
        <v>5200</v>
      </c>
      <c r="G13" s="122">
        <v>950</v>
      </c>
      <c r="H13" s="122">
        <v>4250</v>
      </c>
      <c r="I13" s="197"/>
      <c r="J13" s="122"/>
      <c r="K13" s="197">
        <v>0</v>
      </c>
    </row>
    <row r="14" spans="1:11" ht="27.6" customHeight="1" x14ac:dyDescent="0.2">
      <c r="A14" s="79">
        <v>3</v>
      </c>
      <c r="B14" s="48" t="s">
        <v>298</v>
      </c>
      <c r="C14" s="122" t="s">
        <v>42</v>
      </c>
      <c r="D14" s="4" t="s">
        <v>52</v>
      </c>
      <c r="E14" s="148" t="s">
        <v>119</v>
      </c>
      <c r="F14" s="90">
        <f>+G14+H14+I14+J14+K14</f>
        <v>688</v>
      </c>
      <c r="G14" s="197">
        <v>688</v>
      </c>
      <c r="H14" s="197"/>
      <c r="I14" s="196"/>
      <c r="J14" s="196"/>
      <c r="K14" s="196"/>
    </row>
    <row r="15" spans="1:11" ht="25.5" customHeight="1" x14ac:dyDescent="0.2">
      <c r="A15" s="80">
        <v>4</v>
      </c>
      <c r="B15" s="115" t="s">
        <v>211</v>
      </c>
      <c r="C15" s="152" t="s">
        <v>173</v>
      </c>
      <c r="D15" s="116">
        <v>2022</v>
      </c>
      <c r="E15" s="55" t="s">
        <v>98</v>
      </c>
      <c r="F15" s="74">
        <f>+G15+H15+I15+J15+K15</f>
        <v>1562</v>
      </c>
      <c r="G15" s="23">
        <v>372</v>
      </c>
      <c r="H15" s="23">
        <v>1190</v>
      </c>
      <c r="I15" s="195"/>
      <c r="J15" s="195"/>
      <c r="K15" s="195"/>
    </row>
    <row r="16" spans="1:11" ht="16.5" customHeight="1" x14ac:dyDescent="0.2">
      <c r="A16" s="78">
        <v>4</v>
      </c>
      <c r="B16" s="103" t="s">
        <v>134</v>
      </c>
      <c r="C16" s="249"/>
      <c r="D16" s="106"/>
      <c r="E16" s="250" t="s">
        <v>13</v>
      </c>
      <c r="F16" s="252">
        <f>SUM(F11:F15)</f>
        <v>9976.5</v>
      </c>
      <c r="G16" s="252">
        <f>SUM(G11:G15)</f>
        <v>3414.4</v>
      </c>
      <c r="H16" s="251">
        <f t="shared" ref="H16:K16" si="1">SUM(H11:H15)</f>
        <v>5995.6</v>
      </c>
      <c r="I16" s="252">
        <f t="shared" si="1"/>
        <v>0</v>
      </c>
      <c r="J16" s="252">
        <f t="shared" si="1"/>
        <v>0</v>
      </c>
      <c r="K16" s="252">
        <f t="shared" si="1"/>
        <v>566.5</v>
      </c>
    </row>
    <row r="17" spans="1:11" s="33" customFormat="1" ht="16.5" customHeight="1" x14ac:dyDescent="0.25">
      <c r="A17" s="284" t="s">
        <v>263</v>
      </c>
      <c r="B17" s="285"/>
      <c r="C17" s="285"/>
      <c r="D17" s="285"/>
      <c r="E17" s="285"/>
      <c r="F17" s="285"/>
      <c r="G17" s="285"/>
      <c r="H17" s="285"/>
      <c r="I17" s="285"/>
      <c r="J17" s="285"/>
      <c r="K17" s="286"/>
    </row>
    <row r="18" spans="1:11" s="33" customFormat="1" ht="41.25" customHeight="1" x14ac:dyDescent="0.25">
      <c r="A18" s="75" t="s">
        <v>90</v>
      </c>
      <c r="B18" s="25" t="s">
        <v>60</v>
      </c>
      <c r="C18" s="23" t="s">
        <v>54</v>
      </c>
      <c r="D18" s="7">
        <v>2017</v>
      </c>
      <c r="E18" s="7" t="s">
        <v>50</v>
      </c>
      <c r="F18" s="71">
        <f t="shared" ref="F18:F23" si="2">+G18+H18+I18+J18+K18</f>
        <v>2428.1999999999998</v>
      </c>
      <c r="G18" s="23">
        <v>843.2</v>
      </c>
      <c r="H18" s="23"/>
      <c r="I18" s="23"/>
      <c r="J18" s="23"/>
      <c r="K18" s="23">
        <v>1585</v>
      </c>
    </row>
    <row r="19" spans="1:11" s="33" customFormat="1" ht="42" customHeight="1" x14ac:dyDescent="0.25">
      <c r="A19" s="75" t="s">
        <v>70</v>
      </c>
      <c r="B19" s="25" t="s">
        <v>57</v>
      </c>
      <c r="C19" s="23" t="s">
        <v>43</v>
      </c>
      <c r="D19" s="7">
        <v>2017</v>
      </c>
      <c r="E19" s="7" t="s">
        <v>50</v>
      </c>
      <c r="F19" s="71">
        <f t="shared" si="2"/>
        <v>1265.2</v>
      </c>
      <c r="G19" s="23">
        <f>1150+59.2+56</f>
        <v>1265.2</v>
      </c>
      <c r="H19" s="23"/>
      <c r="I19" s="23"/>
      <c r="J19" s="23"/>
      <c r="K19" s="23"/>
    </row>
    <row r="20" spans="1:11" s="33" customFormat="1" ht="42" customHeight="1" x14ac:dyDescent="0.25">
      <c r="A20" s="75" t="s">
        <v>102</v>
      </c>
      <c r="B20" s="25" t="s">
        <v>34</v>
      </c>
      <c r="C20" s="23" t="s">
        <v>54</v>
      </c>
      <c r="D20" s="7">
        <v>2017</v>
      </c>
      <c r="E20" s="7" t="s">
        <v>52</v>
      </c>
      <c r="F20" s="71">
        <f t="shared" si="2"/>
        <v>595</v>
      </c>
      <c r="G20" s="26"/>
      <c r="H20" s="26"/>
      <c r="I20" s="26"/>
      <c r="J20" s="26"/>
      <c r="K20" s="26">
        <v>595</v>
      </c>
    </row>
    <row r="21" spans="1:11" s="33" customFormat="1" ht="39" customHeight="1" x14ac:dyDescent="0.25">
      <c r="A21" s="75" t="s">
        <v>103</v>
      </c>
      <c r="B21" s="25" t="s">
        <v>94</v>
      </c>
      <c r="C21" s="23" t="s">
        <v>48</v>
      </c>
      <c r="D21" s="7">
        <v>2018</v>
      </c>
      <c r="E21" s="7" t="s">
        <v>99</v>
      </c>
      <c r="F21" s="74">
        <f t="shared" si="2"/>
        <v>10000</v>
      </c>
      <c r="G21" s="38">
        <f>4401.7-2769</f>
        <v>1632.6999999999998</v>
      </c>
      <c r="H21" s="38">
        <v>8367.2999999999993</v>
      </c>
      <c r="I21" s="38"/>
      <c r="J21" s="38"/>
      <c r="K21" s="38"/>
    </row>
    <row r="22" spans="1:11" s="33" customFormat="1" ht="57" customHeight="1" x14ac:dyDescent="0.25">
      <c r="A22" s="80">
        <v>5</v>
      </c>
      <c r="B22" s="49" t="s">
        <v>189</v>
      </c>
      <c r="C22" s="23" t="s">
        <v>283</v>
      </c>
      <c r="D22" s="7" t="s">
        <v>21</v>
      </c>
      <c r="E22" s="7" t="s">
        <v>50</v>
      </c>
      <c r="F22" s="74">
        <f>+G22+H22+I22+J22+K22</f>
        <v>219.3</v>
      </c>
      <c r="G22" s="38">
        <f>164.3+26+29</f>
        <v>219.3</v>
      </c>
      <c r="H22" s="38"/>
      <c r="I22" s="38"/>
      <c r="J22" s="38"/>
      <c r="K22" s="38"/>
    </row>
    <row r="23" spans="1:11" s="33" customFormat="1" ht="46.35" customHeight="1" x14ac:dyDescent="0.25">
      <c r="A23" s="80">
        <v>6</v>
      </c>
      <c r="B23" s="25" t="s">
        <v>190</v>
      </c>
      <c r="C23" s="23" t="s">
        <v>268</v>
      </c>
      <c r="D23" s="7" t="s">
        <v>46</v>
      </c>
      <c r="E23" s="7" t="s">
        <v>52</v>
      </c>
      <c r="F23" s="74">
        <f t="shared" si="2"/>
        <v>3938.3</v>
      </c>
      <c r="G23" s="38">
        <v>360</v>
      </c>
      <c r="H23" s="38">
        <v>3500</v>
      </c>
      <c r="I23" s="38"/>
      <c r="J23" s="38"/>
      <c r="K23" s="38">
        <v>78.3</v>
      </c>
    </row>
    <row r="24" spans="1:11" s="33" customFormat="1" ht="18.75" customHeight="1" x14ac:dyDescent="0.25">
      <c r="A24" s="253">
        <v>6</v>
      </c>
      <c r="B24" s="254" t="s">
        <v>134</v>
      </c>
      <c r="C24" s="248"/>
      <c r="D24" s="255"/>
      <c r="E24" s="250" t="s">
        <v>13</v>
      </c>
      <c r="F24" s="67">
        <f t="shared" ref="F24:K24" si="3">SUM(F18:F23)</f>
        <v>18446</v>
      </c>
      <c r="G24" s="67">
        <f t="shared" si="3"/>
        <v>4320.3999999999996</v>
      </c>
      <c r="H24" s="67">
        <f t="shared" si="3"/>
        <v>11867.3</v>
      </c>
      <c r="I24" s="67">
        <f t="shared" si="3"/>
        <v>0</v>
      </c>
      <c r="J24" s="67">
        <f t="shared" si="3"/>
        <v>0</v>
      </c>
      <c r="K24" s="67">
        <f t="shared" si="3"/>
        <v>2258.3000000000002</v>
      </c>
    </row>
    <row r="25" spans="1:11" ht="17.25" customHeight="1" x14ac:dyDescent="0.2">
      <c r="A25" s="284" t="s">
        <v>15</v>
      </c>
      <c r="B25" s="285"/>
      <c r="C25" s="285"/>
      <c r="D25" s="285"/>
      <c r="E25" s="285"/>
      <c r="F25" s="285"/>
      <c r="G25" s="285"/>
      <c r="H25" s="285"/>
      <c r="I25" s="285"/>
      <c r="J25" s="285"/>
      <c r="K25" s="286"/>
    </row>
    <row r="26" spans="1:11" ht="54" customHeight="1" x14ac:dyDescent="0.2">
      <c r="A26" s="270" t="s">
        <v>90</v>
      </c>
      <c r="B26" s="267" t="s">
        <v>116</v>
      </c>
      <c r="C26" s="196" t="s">
        <v>42</v>
      </c>
      <c r="D26" s="4">
        <v>2016</v>
      </c>
      <c r="E26" s="4" t="s">
        <v>52</v>
      </c>
      <c r="F26" s="72">
        <f t="shared" ref="F26:F39" si="4">+G26+H26+I26+J26+K26</f>
        <v>741.6</v>
      </c>
      <c r="G26" s="197">
        <v>741.6</v>
      </c>
      <c r="H26" s="197"/>
      <c r="I26" s="197"/>
      <c r="J26" s="197"/>
      <c r="K26" s="197"/>
    </row>
    <row r="27" spans="1:11" ht="41.1" customHeight="1" x14ac:dyDescent="0.2">
      <c r="A27" s="75" t="s">
        <v>70</v>
      </c>
      <c r="B27" s="49" t="s">
        <v>58</v>
      </c>
      <c r="C27" s="23" t="s">
        <v>75</v>
      </c>
      <c r="D27" s="3" t="s">
        <v>21</v>
      </c>
      <c r="E27" s="3" t="s">
        <v>52</v>
      </c>
      <c r="F27" s="71">
        <f t="shared" si="4"/>
        <v>1012.3000000000001</v>
      </c>
      <c r="G27" s="26">
        <v>835.7</v>
      </c>
      <c r="H27" s="26"/>
      <c r="I27" s="26"/>
      <c r="J27" s="26"/>
      <c r="K27" s="26">
        <v>176.6</v>
      </c>
    </row>
    <row r="28" spans="1:11" ht="32.25" customHeight="1" x14ac:dyDescent="0.2">
      <c r="A28" s="270">
        <v>3</v>
      </c>
      <c r="B28" s="267" t="s">
        <v>218</v>
      </c>
      <c r="C28" s="195" t="s">
        <v>42</v>
      </c>
      <c r="D28" s="7" t="s">
        <v>46</v>
      </c>
      <c r="E28" s="7" t="s">
        <v>99</v>
      </c>
      <c r="F28" s="72">
        <f t="shared" si="4"/>
        <v>308</v>
      </c>
      <c r="G28" s="197">
        <v>308</v>
      </c>
      <c r="H28" s="197"/>
      <c r="I28" s="197"/>
      <c r="J28" s="197"/>
      <c r="K28" s="197"/>
    </row>
    <row r="29" spans="1:11" s="19" customFormat="1" ht="41.1" customHeight="1" x14ac:dyDescent="0.2">
      <c r="A29" s="270">
        <v>4</v>
      </c>
      <c r="B29" s="25" t="s">
        <v>26</v>
      </c>
      <c r="C29" s="23" t="s">
        <v>51</v>
      </c>
      <c r="D29" s="3" t="s">
        <v>20</v>
      </c>
      <c r="E29" s="3" t="s">
        <v>50</v>
      </c>
      <c r="F29" s="72">
        <f t="shared" si="4"/>
        <v>2807</v>
      </c>
      <c r="G29" s="26">
        <v>806.5</v>
      </c>
      <c r="H29" s="26">
        <v>1838.3</v>
      </c>
      <c r="I29" s="26">
        <v>162.19999999999999</v>
      </c>
      <c r="J29" s="26"/>
      <c r="K29" s="26"/>
    </row>
    <row r="30" spans="1:11" ht="46.5" customHeight="1" x14ac:dyDescent="0.2">
      <c r="A30" s="270">
        <v>5</v>
      </c>
      <c r="B30" s="25" t="s">
        <v>274</v>
      </c>
      <c r="C30" s="23" t="s">
        <v>179</v>
      </c>
      <c r="D30" s="3" t="s">
        <v>20</v>
      </c>
      <c r="E30" s="3" t="s">
        <v>99</v>
      </c>
      <c r="F30" s="73">
        <f t="shared" si="4"/>
        <v>2946.7</v>
      </c>
      <c r="G30" s="26">
        <v>2035.1</v>
      </c>
      <c r="H30" s="149">
        <v>838.6</v>
      </c>
      <c r="I30" s="149">
        <v>73</v>
      </c>
      <c r="J30" s="26"/>
      <c r="K30" s="26"/>
    </row>
    <row r="31" spans="1:11" ht="41.1" customHeight="1" x14ac:dyDescent="0.2">
      <c r="A31" s="270">
        <v>6</v>
      </c>
      <c r="B31" s="25" t="s">
        <v>74</v>
      </c>
      <c r="C31" s="195" t="s">
        <v>32</v>
      </c>
      <c r="D31" s="7" t="s">
        <v>52</v>
      </c>
      <c r="E31" s="7" t="s">
        <v>98</v>
      </c>
      <c r="F31" s="72">
        <f t="shared" si="4"/>
        <v>1243.2</v>
      </c>
      <c r="G31" s="23">
        <v>1243.2</v>
      </c>
      <c r="H31" s="23"/>
      <c r="I31" s="23"/>
      <c r="J31" s="23"/>
      <c r="K31" s="23"/>
    </row>
    <row r="32" spans="1:11" ht="51.75" customHeight="1" x14ac:dyDescent="0.2">
      <c r="A32" s="270">
        <v>7</v>
      </c>
      <c r="B32" s="25" t="s">
        <v>254</v>
      </c>
      <c r="C32" s="195" t="s">
        <v>284</v>
      </c>
      <c r="D32" s="7" t="s">
        <v>20</v>
      </c>
      <c r="E32" s="7" t="s">
        <v>98</v>
      </c>
      <c r="F32" s="72">
        <f t="shared" si="4"/>
        <v>2000</v>
      </c>
      <c r="G32" s="26">
        <v>2000</v>
      </c>
      <c r="H32" s="23"/>
      <c r="I32" s="23"/>
      <c r="J32" s="23"/>
      <c r="K32" s="23"/>
    </row>
    <row r="33" spans="1:11" ht="38.25" customHeight="1" x14ac:dyDescent="0.2">
      <c r="A33" s="270">
        <v>8</v>
      </c>
      <c r="B33" s="49" t="s">
        <v>299</v>
      </c>
      <c r="C33" s="195" t="s">
        <v>42</v>
      </c>
      <c r="D33" s="7" t="s">
        <v>21</v>
      </c>
      <c r="E33" s="7" t="s">
        <v>52</v>
      </c>
      <c r="F33" s="72">
        <f t="shared" si="4"/>
        <v>136</v>
      </c>
      <c r="G33" s="23">
        <f>50+86</f>
        <v>136</v>
      </c>
      <c r="H33" s="23"/>
      <c r="I33" s="23"/>
      <c r="J33" s="23"/>
      <c r="K33" s="23"/>
    </row>
    <row r="34" spans="1:11" ht="56.1" customHeight="1" x14ac:dyDescent="0.2">
      <c r="A34" s="270">
        <v>9</v>
      </c>
      <c r="B34" s="49" t="s">
        <v>275</v>
      </c>
      <c r="C34" s="23" t="s">
        <v>285</v>
      </c>
      <c r="D34" s="7" t="s">
        <v>52</v>
      </c>
      <c r="E34" s="7"/>
      <c r="F34" s="72">
        <f t="shared" si="4"/>
        <v>23.5</v>
      </c>
      <c r="G34" s="23">
        <v>23.5</v>
      </c>
      <c r="H34" s="23"/>
      <c r="I34" s="23"/>
      <c r="J34" s="23"/>
      <c r="K34" s="23"/>
    </row>
    <row r="35" spans="1:11" ht="56.1" customHeight="1" x14ac:dyDescent="0.2">
      <c r="A35" s="270">
        <v>10</v>
      </c>
      <c r="B35" s="49" t="s">
        <v>276</v>
      </c>
      <c r="C35" s="23" t="s">
        <v>286</v>
      </c>
      <c r="D35" s="7" t="s">
        <v>50</v>
      </c>
      <c r="E35" s="7"/>
      <c r="F35" s="73">
        <f t="shared" si="4"/>
        <v>25</v>
      </c>
      <c r="G35" s="197">
        <v>25</v>
      </c>
      <c r="H35" s="271"/>
      <c r="I35" s="23"/>
      <c r="J35" s="23"/>
      <c r="K35" s="23"/>
    </row>
    <row r="36" spans="1:11" ht="42.95" customHeight="1" x14ac:dyDescent="0.2">
      <c r="A36" s="270">
        <v>11</v>
      </c>
      <c r="B36" s="49" t="s">
        <v>277</v>
      </c>
      <c r="C36" s="23" t="s">
        <v>287</v>
      </c>
      <c r="D36" s="7" t="s">
        <v>50</v>
      </c>
      <c r="E36" s="7"/>
      <c r="F36" s="73">
        <f t="shared" ref="F36:F38" si="5">+G36+H36+I36+J36+K36</f>
        <v>35</v>
      </c>
      <c r="G36" s="197">
        <v>35</v>
      </c>
      <c r="H36" s="271"/>
      <c r="I36" s="23"/>
      <c r="J36" s="23"/>
      <c r="K36" s="23"/>
    </row>
    <row r="37" spans="1:11" ht="31.35" customHeight="1" x14ac:dyDescent="0.2">
      <c r="A37" s="270">
        <v>12</v>
      </c>
      <c r="B37" s="49" t="s">
        <v>300</v>
      </c>
      <c r="C37" s="23" t="s">
        <v>287</v>
      </c>
      <c r="D37" s="7" t="s">
        <v>50</v>
      </c>
      <c r="E37" s="7" t="s">
        <v>99</v>
      </c>
      <c r="F37" s="73">
        <f t="shared" si="5"/>
        <v>790</v>
      </c>
      <c r="G37" s="197">
        <v>790</v>
      </c>
      <c r="H37" s="271"/>
      <c r="I37" s="23"/>
      <c r="J37" s="23"/>
      <c r="K37" s="23"/>
    </row>
    <row r="38" spans="1:11" ht="32.85" customHeight="1" x14ac:dyDescent="0.2">
      <c r="A38" s="270">
        <v>13</v>
      </c>
      <c r="B38" s="49" t="s">
        <v>255</v>
      </c>
      <c r="C38" s="23" t="s">
        <v>287</v>
      </c>
      <c r="D38" s="7" t="s">
        <v>50</v>
      </c>
      <c r="E38" s="7" t="s">
        <v>99</v>
      </c>
      <c r="F38" s="73">
        <f t="shared" si="5"/>
        <v>363</v>
      </c>
      <c r="G38" s="197">
        <v>363</v>
      </c>
      <c r="H38" s="271"/>
      <c r="I38" s="23"/>
      <c r="J38" s="23"/>
      <c r="K38" s="23"/>
    </row>
    <row r="39" spans="1:11" ht="54.6" customHeight="1" x14ac:dyDescent="0.2">
      <c r="A39" s="270">
        <v>14</v>
      </c>
      <c r="B39" s="25" t="s">
        <v>140</v>
      </c>
      <c r="C39" s="195" t="s">
        <v>44</v>
      </c>
      <c r="D39" s="7" t="s">
        <v>21</v>
      </c>
      <c r="E39" s="7" t="s">
        <v>50</v>
      </c>
      <c r="F39" s="72">
        <f t="shared" si="4"/>
        <v>728.3</v>
      </c>
      <c r="G39" s="197">
        <v>728.3</v>
      </c>
      <c r="H39" s="197"/>
      <c r="I39" s="23"/>
      <c r="J39" s="23"/>
      <c r="K39" s="23"/>
    </row>
    <row r="40" spans="1:11" ht="27.6" customHeight="1" x14ac:dyDescent="0.2">
      <c r="A40" s="270">
        <v>15</v>
      </c>
      <c r="B40" s="115" t="s">
        <v>149</v>
      </c>
      <c r="C40" s="23" t="s">
        <v>288</v>
      </c>
      <c r="D40" s="7" t="s">
        <v>46</v>
      </c>
      <c r="E40" s="7" t="s">
        <v>50</v>
      </c>
      <c r="F40" s="72">
        <f t="shared" ref="F40" si="6">+G40+H40+I40+J40+K40</f>
        <v>461.6</v>
      </c>
      <c r="G40" s="271">
        <f>320+141.6</f>
        <v>461.6</v>
      </c>
      <c r="H40" s="197"/>
      <c r="I40" s="23"/>
      <c r="J40" s="23"/>
      <c r="K40" s="23"/>
    </row>
    <row r="41" spans="1:11" ht="15.6" customHeight="1" x14ac:dyDescent="0.2">
      <c r="A41" s="78">
        <v>15</v>
      </c>
      <c r="B41" s="135" t="s">
        <v>135</v>
      </c>
      <c r="C41" s="248"/>
      <c r="D41" s="250"/>
      <c r="E41" s="63" t="s">
        <v>13</v>
      </c>
      <c r="F41" s="64">
        <f t="shared" ref="F41:K41" si="7">SUM(F26:F40)</f>
        <v>13621.199999999999</v>
      </c>
      <c r="G41" s="64">
        <f t="shared" si="7"/>
        <v>10532.499999999998</v>
      </c>
      <c r="H41" s="64">
        <f t="shared" si="7"/>
        <v>2676.9</v>
      </c>
      <c r="I41" s="64">
        <f t="shared" si="7"/>
        <v>235.2</v>
      </c>
      <c r="J41" s="64">
        <f t="shared" si="7"/>
        <v>0</v>
      </c>
      <c r="K41" s="64">
        <f t="shared" si="7"/>
        <v>176.6</v>
      </c>
    </row>
    <row r="42" spans="1:11" ht="16.5" customHeight="1" x14ac:dyDescent="0.2">
      <c r="A42" s="284" t="s">
        <v>11</v>
      </c>
      <c r="B42" s="285"/>
      <c r="C42" s="285"/>
      <c r="D42" s="285"/>
      <c r="E42" s="285"/>
      <c r="F42" s="285"/>
      <c r="G42" s="285"/>
      <c r="H42" s="285"/>
      <c r="I42" s="285"/>
      <c r="J42" s="285"/>
      <c r="K42" s="141"/>
    </row>
    <row r="43" spans="1:11" ht="26.1" customHeight="1" x14ac:dyDescent="0.2">
      <c r="A43" s="268" t="s">
        <v>90</v>
      </c>
      <c r="B43" s="47" t="s">
        <v>129</v>
      </c>
      <c r="C43" s="195" t="s">
        <v>289</v>
      </c>
      <c r="D43" s="46" t="s">
        <v>27</v>
      </c>
      <c r="E43" s="46" t="s">
        <v>99</v>
      </c>
      <c r="F43" s="74">
        <f t="shared" ref="F43:F68" si="8">+G43+H43+I43+J43+K43</f>
        <v>44500</v>
      </c>
      <c r="G43" s="38">
        <v>3687.5</v>
      </c>
      <c r="H43" s="38"/>
      <c r="I43" s="38">
        <v>28001.1</v>
      </c>
      <c r="J43" s="38">
        <f>15445.7-8634.3</f>
        <v>6811.4000000000015</v>
      </c>
      <c r="K43" s="38">
        <v>6000</v>
      </c>
    </row>
    <row r="44" spans="1:11" ht="77.25" customHeight="1" x14ac:dyDescent="0.2">
      <c r="A44" s="75">
        <v>2</v>
      </c>
      <c r="B44" s="115" t="s">
        <v>222</v>
      </c>
      <c r="C44" s="23" t="s">
        <v>76</v>
      </c>
      <c r="D44" s="7" t="s">
        <v>27</v>
      </c>
      <c r="E44" s="7" t="s">
        <v>52</v>
      </c>
      <c r="F44" s="71">
        <f t="shared" si="8"/>
        <v>3632</v>
      </c>
      <c r="G44" s="23">
        <f>843.6+100</f>
        <v>943.6</v>
      </c>
      <c r="H44" s="23">
        <f>1359.1+60.4</f>
        <v>1419.5</v>
      </c>
      <c r="I44" s="23"/>
      <c r="J44" s="23">
        <f>1349.8-80.9</f>
        <v>1268.8999999999999</v>
      </c>
      <c r="K44" s="23"/>
    </row>
    <row r="45" spans="1:11" ht="19.350000000000001" customHeight="1" x14ac:dyDescent="0.2">
      <c r="A45" s="77">
        <v>3</v>
      </c>
      <c r="B45" s="29" t="s">
        <v>204</v>
      </c>
      <c r="C45" s="197" t="s">
        <v>179</v>
      </c>
      <c r="D45" s="56" t="s">
        <v>46</v>
      </c>
      <c r="E45" s="56" t="s">
        <v>52</v>
      </c>
      <c r="F45" s="72">
        <f t="shared" si="8"/>
        <v>1364</v>
      </c>
      <c r="G45" s="197">
        <v>864</v>
      </c>
      <c r="H45" s="197">
        <v>500</v>
      </c>
      <c r="I45" s="197"/>
      <c r="J45" s="197"/>
      <c r="K45" s="197"/>
    </row>
    <row r="46" spans="1:11" ht="19.350000000000001" customHeight="1" x14ac:dyDescent="0.2">
      <c r="A46" s="268">
        <v>4</v>
      </c>
      <c r="B46" s="32" t="s">
        <v>23</v>
      </c>
      <c r="C46" s="23" t="s">
        <v>47</v>
      </c>
      <c r="D46" s="7" t="s">
        <v>40</v>
      </c>
      <c r="E46" s="7" t="s">
        <v>50</v>
      </c>
      <c r="F46" s="71">
        <f t="shared" si="8"/>
        <v>2961</v>
      </c>
      <c r="G46" s="23">
        <f>2742.6-65</f>
        <v>2677.6</v>
      </c>
      <c r="H46" s="23"/>
      <c r="I46" s="23"/>
      <c r="J46" s="23">
        <f>307.4-24</f>
        <v>283.39999999999998</v>
      </c>
      <c r="K46" s="23"/>
    </row>
    <row r="47" spans="1:11" ht="29.1" customHeight="1" x14ac:dyDescent="0.2">
      <c r="A47" s="75">
        <v>5</v>
      </c>
      <c r="B47" s="32" t="s">
        <v>64</v>
      </c>
      <c r="C47" s="23" t="s">
        <v>199</v>
      </c>
      <c r="D47" s="7" t="s">
        <v>45</v>
      </c>
      <c r="E47" s="7" t="s">
        <v>50</v>
      </c>
      <c r="F47" s="95">
        <f t="shared" si="8"/>
        <v>6286.9</v>
      </c>
      <c r="G47" s="31">
        <v>2725.6</v>
      </c>
      <c r="H47" s="23"/>
      <c r="I47" s="23"/>
      <c r="J47" s="23">
        <f>5349.6-1788.3</f>
        <v>3561.3</v>
      </c>
      <c r="K47" s="23"/>
    </row>
    <row r="48" spans="1:11" ht="17.100000000000001" customHeight="1" x14ac:dyDescent="0.2">
      <c r="A48" s="75">
        <v>6</v>
      </c>
      <c r="B48" s="32" t="s">
        <v>156</v>
      </c>
      <c r="C48" s="23" t="s">
        <v>48</v>
      </c>
      <c r="D48" s="7" t="s">
        <v>20</v>
      </c>
      <c r="E48" s="7" t="s">
        <v>197</v>
      </c>
      <c r="F48" s="71">
        <f t="shared" si="8"/>
        <v>4460</v>
      </c>
      <c r="G48" s="23">
        <v>403.2</v>
      </c>
      <c r="H48" s="23"/>
      <c r="I48" s="23"/>
      <c r="J48" s="23">
        <v>4056.8</v>
      </c>
      <c r="K48" s="23"/>
    </row>
    <row r="49" spans="1:12" ht="19.350000000000001" customHeight="1" x14ac:dyDescent="0.2">
      <c r="A49" s="75">
        <v>7</v>
      </c>
      <c r="B49" s="32" t="s">
        <v>136</v>
      </c>
      <c r="C49" s="23" t="s">
        <v>199</v>
      </c>
      <c r="D49" s="3" t="s">
        <v>21</v>
      </c>
      <c r="E49" s="3" t="s">
        <v>99</v>
      </c>
      <c r="F49" s="71">
        <f t="shared" si="8"/>
        <v>5665</v>
      </c>
      <c r="G49" s="26">
        <v>5615</v>
      </c>
      <c r="H49" s="26"/>
      <c r="I49" s="26"/>
      <c r="J49" s="26">
        <v>50</v>
      </c>
      <c r="K49" s="26"/>
    </row>
    <row r="50" spans="1:12" ht="41.85" customHeight="1" x14ac:dyDescent="0.2">
      <c r="A50" s="268">
        <v>8</v>
      </c>
      <c r="B50" s="48" t="s">
        <v>96</v>
      </c>
      <c r="C50" s="197" t="s">
        <v>290</v>
      </c>
      <c r="D50" s="4" t="s">
        <v>18</v>
      </c>
      <c r="E50" s="4" t="s">
        <v>52</v>
      </c>
      <c r="F50" s="72">
        <f t="shared" si="8"/>
        <v>226.4</v>
      </c>
      <c r="G50" s="197">
        <v>68</v>
      </c>
      <c r="H50" s="197">
        <v>158.4</v>
      </c>
      <c r="I50" s="197"/>
      <c r="J50" s="197"/>
      <c r="K50" s="197"/>
    </row>
    <row r="51" spans="1:12" ht="30.6" customHeight="1" x14ac:dyDescent="0.2">
      <c r="A51" s="268">
        <v>9</v>
      </c>
      <c r="B51" s="48" t="s">
        <v>248</v>
      </c>
      <c r="C51" s="197" t="s">
        <v>297</v>
      </c>
      <c r="D51" s="4" t="s">
        <v>50</v>
      </c>
      <c r="E51" s="4" t="s">
        <v>50</v>
      </c>
      <c r="F51" s="72">
        <f t="shared" si="8"/>
        <v>97.1</v>
      </c>
      <c r="G51" s="197">
        <v>97.1</v>
      </c>
      <c r="H51" s="197"/>
      <c r="I51" s="197"/>
      <c r="J51" s="197"/>
      <c r="K51" s="197"/>
    </row>
    <row r="52" spans="1:12" ht="41.1" customHeight="1" x14ac:dyDescent="0.2">
      <c r="A52" s="268">
        <v>10</v>
      </c>
      <c r="B52" s="48" t="s">
        <v>260</v>
      </c>
      <c r="C52" s="197" t="s">
        <v>291</v>
      </c>
      <c r="D52" s="4" t="s">
        <v>50</v>
      </c>
      <c r="E52" s="4" t="s">
        <v>98</v>
      </c>
      <c r="F52" s="72">
        <f t="shared" si="8"/>
        <v>4000</v>
      </c>
      <c r="G52" s="197">
        <v>3625.4</v>
      </c>
      <c r="H52" s="197"/>
      <c r="I52" s="197"/>
      <c r="J52" s="197"/>
      <c r="K52" s="197">
        <v>374.6</v>
      </c>
    </row>
    <row r="53" spans="1:12" ht="30" customHeight="1" x14ac:dyDescent="0.2">
      <c r="A53" s="75">
        <v>11</v>
      </c>
      <c r="B53" s="32" t="s">
        <v>206</v>
      </c>
      <c r="C53" s="23" t="s">
        <v>41</v>
      </c>
      <c r="D53" s="3" t="s">
        <v>21</v>
      </c>
      <c r="E53" s="3" t="s">
        <v>50</v>
      </c>
      <c r="F53" s="74">
        <f t="shared" si="8"/>
        <v>278.89999999999998</v>
      </c>
      <c r="G53" s="38">
        <v>278.89999999999998</v>
      </c>
      <c r="H53" s="38"/>
      <c r="I53" s="38"/>
      <c r="J53" s="38"/>
      <c r="K53" s="38"/>
    </row>
    <row r="54" spans="1:12" ht="33" customHeight="1" x14ac:dyDescent="0.2">
      <c r="A54" s="80">
        <v>12</v>
      </c>
      <c r="B54" s="32" t="s">
        <v>126</v>
      </c>
      <c r="C54" s="23" t="s">
        <v>110</v>
      </c>
      <c r="D54" s="3" t="s">
        <v>21</v>
      </c>
      <c r="E54" s="3" t="s">
        <v>99</v>
      </c>
      <c r="F54" s="71">
        <f t="shared" si="8"/>
        <v>2087.8000000000002</v>
      </c>
      <c r="G54" s="26"/>
      <c r="H54" s="26"/>
      <c r="I54" s="26"/>
      <c r="J54" s="26">
        <v>2087.8000000000002</v>
      </c>
      <c r="K54" s="26"/>
    </row>
    <row r="55" spans="1:12" ht="31.35" customHeight="1" x14ac:dyDescent="0.2">
      <c r="A55" s="91">
        <v>13</v>
      </c>
      <c r="B55" s="48" t="s">
        <v>249</v>
      </c>
      <c r="C55" s="23" t="s">
        <v>266</v>
      </c>
      <c r="D55" s="6" t="s">
        <v>46</v>
      </c>
      <c r="E55" s="4" t="s">
        <v>99</v>
      </c>
      <c r="F55" s="71">
        <f t="shared" si="8"/>
        <v>1059</v>
      </c>
      <c r="G55" s="26">
        <v>1059</v>
      </c>
      <c r="H55" s="30"/>
      <c r="I55" s="30"/>
      <c r="J55" s="30"/>
      <c r="K55" s="30"/>
    </row>
    <row r="56" spans="1:12" s="19" customFormat="1" ht="45.6" customHeight="1" x14ac:dyDescent="0.2">
      <c r="A56" s="270">
        <v>14</v>
      </c>
      <c r="B56" s="48" t="s">
        <v>127</v>
      </c>
      <c r="C56" s="23" t="s">
        <v>292</v>
      </c>
      <c r="D56" s="6" t="s">
        <v>50</v>
      </c>
      <c r="E56" s="6" t="s">
        <v>52</v>
      </c>
      <c r="F56" s="90">
        <f t="shared" si="8"/>
        <v>4997.9000000000005</v>
      </c>
      <c r="G56" s="30">
        <f>768.4+2790.8</f>
        <v>3559.2000000000003</v>
      </c>
      <c r="H56" s="30"/>
      <c r="I56" s="30"/>
      <c r="J56" s="30">
        <v>1438.7</v>
      </c>
      <c r="K56" s="30"/>
      <c r="L56" s="20"/>
    </row>
    <row r="57" spans="1:12" s="19" customFormat="1" ht="28.5" customHeight="1" x14ac:dyDescent="0.2">
      <c r="A57" s="270">
        <v>15</v>
      </c>
      <c r="B57" s="32" t="s">
        <v>132</v>
      </c>
      <c r="C57" s="23" t="s">
        <v>42</v>
      </c>
      <c r="D57" s="3" t="s">
        <v>28</v>
      </c>
      <c r="E57" s="3" t="s">
        <v>50</v>
      </c>
      <c r="F57" s="71">
        <f t="shared" si="8"/>
        <v>572.4</v>
      </c>
      <c r="G57" s="26">
        <v>146.69999999999999</v>
      </c>
      <c r="H57" s="30">
        <v>425.7</v>
      </c>
      <c r="I57" s="30"/>
      <c r="J57" s="30"/>
      <c r="K57" s="30"/>
    </row>
    <row r="58" spans="1:12" ht="44.25" customHeight="1" x14ac:dyDescent="0.2">
      <c r="A58" s="268">
        <v>16</v>
      </c>
      <c r="B58" s="47" t="s">
        <v>195</v>
      </c>
      <c r="C58" s="26" t="s">
        <v>48</v>
      </c>
      <c r="D58" s="46" t="s">
        <v>50</v>
      </c>
      <c r="E58" s="116">
        <v>2023</v>
      </c>
      <c r="F58" s="89">
        <f t="shared" si="8"/>
        <v>1400</v>
      </c>
      <c r="G58" s="52">
        <v>400</v>
      </c>
      <c r="H58" s="128"/>
      <c r="I58" s="26"/>
      <c r="J58" s="26">
        <v>1000</v>
      </c>
      <c r="K58" s="26"/>
    </row>
    <row r="59" spans="1:12" ht="32.1" customHeight="1" x14ac:dyDescent="0.2">
      <c r="A59" s="268">
        <v>17</v>
      </c>
      <c r="B59" s="47" t="s">
        <v>261</v>
      </c>
      <c r="C59" s="23" t="s">
        <v>287</v>
      </c>
      <c r="D59" s="46" t="s">
        <v>50</v>
      </c>
      <c r="E59" s="116">
        <v>2023</v>
      </c>
      <c r="F59" s="89">
        <f t="shared" si="8"/>
        <v>200</v>
      </c>
      <c r="G59" s="52">
        <v>200</v>
      </c>
      <c r="H59" s="128"/>
      <c r="I59" s="26"/>
      <c r="J59" s="26"/>
      <c r="K59" s="26"/>
    </row>
    <row r="60" spans="1:12" ht="22.35" customHeight="1" x14ac:dyDescent="0.2">
      <c r="A60" s="268">
        <v>18</v>
      </c>
      <c r="B60" s="47" t="s">
        <v>262</v>
      </c>
      <c r="C60" s="23" t="s">
        <v>179</v>
      </c>
      <c r="D60" s="46" t="s">
        <v>99</v>
      </c>
      <c r="E60" s="116"/>
      <c r="F60" s="89">
        <f t="shared" si="8"/>
        <v>359</v>
      </c>
      <c r="G60" s="52">
        <v>359</v>
      </c>
      <c r="H60" s="128"/>
      <c r="I60" s="26"/>
      <c r="J60" s="26"/>
      <c r="K60" s="26"/>
    </row>
    <row r="61" spans="1:12" ht="31.5" customHeight="1" x14ac:dyDescent="0.2">
      <c r="A61" s="268">
        <v>19</v>
      </c>
      <c r="B61" s="47" t="s">
        <v>258</v>
      </c>
      <c r="C61" s="26" t="s">
        <v>108</v>
      </c>
      <c r="D61" s="46" t="s">
        <v>50</v>
      </c>
      <c r="E61" s="116"/>
      <c r="F61" s="89">
        <f t="shared" si="8"/>
        <v>130</v>
      </c>
      <c r="G61" s="52">
        <v>130</v>
      </c>
      <c r="H61" s="128"/>
      <c r="I61" s="26"/>
      <c r="J61" s="26"/>
      <c r="K61" s="26"/>
    </row>
    <row r="62" spans="1:12" ht="28.5" customHeight="1" x14ac:dyDescent="0.2">
      <c r="A62" s="75">
        <v>20</v>
      </c>
      <c r="B62" s="115" t="s">
        <v>161</v>
      </c>
      <c r="C62" s="23" t="s">
        <v>288</v>
      </c>
      <c r="D62" s="116">
        <v>2021</v>
      </c>
      <c r="E62" s="116">
        <v>2023</v>
      </c>
      <c r="F62" s="89">
        <f t="shared" si="8"/>
        <v>400</v>
      </c>
      <c r="G62" s="52">
        <v>400</v>
      </c>
      <c r="H62" s="128"/>
      <c r="I62" s="26"/>
      <c r="J62" s="26"/>
      <c r="K62" s="26"/>
    </row>
    <row r="63" spans="1:12" ht="31.5" customHeight="1" x14ac:dyDescent="0.2">
      <c r="A63" s="75">
        <v>21</v>
      </c>
      <c r="B63" s="182" t="s">
        <v>247</v>
      </c>
      <c r="C63" s="23" t="s">
        <v>49</v>
      </c>
      <c r="D63" s="152">
        <v>2021</v>
      </c>
      <c r="E63" s="152">
        <v>2022</v>
      </c>
      <c r="F63" s="89">
        <f t="shared" si="8"/>
        <v>360</v>
      </c>
      <c r="G63" s="52">
        <v>360</v>
      </c>
      <c r="H63" s="128"/>
      <c r="I63" s="26"/>
      <c r="J63" s="26"/>
      <c r="K63" s="26"/>
    </row>
    <row r="64" spans="1:12" ht="55.35" customHeight="1" x14ac:dyDescent="0.2">
      <c r="A64" s="75">
        <v>22</v>
      </c>
      <c r="B64" s="259" t="s">
        <v>256</v>
      </c>
      <c r="C64" s="23" t="s">
        <v>53</v>
      </c>
      <c r="D64" s="260">
        <v>2022</v>
      </c>
      <c r="E64" s="153">
        <v>2023</v>
      </c>
      <c r="F64" s="89">
        <f t="shared" si="8"/>
        <v>432</v>
      </c>
      <c r="G64" s="52"/>
      <c r="H64" s="128"/>
      <c r="I64" s="26">
        <v>432</v>
      </c>
      <c r="J64" s="26"/>
      <c r="K64" s="26"/>
    </row>
    <row r="65" spans="1:11" ht="32.25" customHeight="1" x14ac:dyDescent="0.2">
      <c r="A65" s="75">
        <v>23</v>
      </c>
      <c r="B65" s="259" t="s">
        <v>257</v>
      </c>
      <c r="C65" s="247" t="s">
        <v>53</v>
      </c>
      <c r="D65" s="152">
        <v>2022</v>
      </c>
      <c r="E65" s="153">
        <v>2023</v>
      </c>
      <c r="F65" s="89">
        <f t="shared" si="8"/>
        <v>912.1</v>
      </c>
      <c r="G65" s="52"/>
      <c r="H65" s="128"/>
      <c r="I65" s="26">
        <v>912.1</v>
      </c>
      <c r="J65" s="26"/>
      <c r="K65" s="26"/>
    </row>
    <row r="66" spans="1:11" ht="42.6" customHeight="1" x14ac:dyDescent="0.2">
      <c r="A66" s="75">
        <v>24</v>
      </c>
      <c r="B66" s="259" t="s">
        <v>259</v>
      </c>
      <c r="C66" s="247" t="s">
        <v>288</v>
      </c>
      <c r="D66" s="152">
        <v>2022</v>
      </c>
      <c r="E66" s="153">
        <v>2025</v>
      </c>
      <c r="F66" s="89">
        <f t="shared" si="8"/>
        <v>6625.1</v>
      </c>
      <c r="G66" s="52">
        <v>6625.1</v>
      </c>
      <c r="H66" s="128"/>
      <c r="I66" s="26"/>
      <c r="J66" s="26"/>
      <c r="K66" s="26"/>
    </row>
    <row r="67" spans="1:11" ht="41.85" customHeight="1" x14ac:dyDescent="0.2">
      <c r="A67" s="75">
        <v>25</v>
      </c>
      <c r="B67" s="259" t="s">
        <v>301</v>
      </c>
      <c r="C67" s="247" t="s">
        <v>42</v>
      </c>
      <c r="D67" s="152">
        <v>2022</v>
      </c>
      <c r="E67" s="153">
        <v>2023</v>
      </c>
      <c r="F67" s="89">
        <f t="shared" si="8"/>
        <v>4117.7</v>
      </c>
      <c r="G67" s="52">
        <v>617.70000000000005</v>
      </c>
      <c r="H67" s="26">
        <v>3500</v>
      </c>
      <c r="I67" s="26"/>
      <c r="J67" s="26"/>
      <c r="K67" s="26"/>
    </row>
    <row r="68" spans="1:11" ht="41.25" customHeight="1" x14ac:dyDescent="0.2">
      <c r="A68" s="75">
        <v>26</v>
      </c>
      <c r="B68" s="182" t="s">
        <v>302</v>
      </c>
      <c r="C68" s="23" t="s">
        <v>269</v>
      </c>
      <c r="D68" s="152">
        <v>2022</v>
      </c>
      <c r="E68" s="152">
        <v>2024</v>
      </c>
      <c r="F68" s="89">
        <f t="shared" si="8"/>
        <v>1827.1</v>
      </c>
      <c r="G68" s="52">
        <v>1827.1</v>
      </c>
      <c r="H68" s="128"/>
      <c r="I68" s="26"/>
      <c r="J68" s="26"/>
      <c r="K68" s="26"/>
    </row>
    <row r="69" spans="1:11" ht="17.850000000000001" customHeight="1" x14ac:dyDescent="0.2">
      <c r="A69" s="256">
        <v>26</v>
      </c>
      <c r="B69" s="103" t="s">
        <v>134</v>
      </c>
      <c r="C69" s="249"/>
      <c r="D69" s="250"/>
      <c r="E69" s="107" t="s">
        <v>13</v>
      </c>
      <c r="F69" s="64">
        <f t="shared" ref="F69:K69" si="9">SUM(F43:F68)</f>
        <v>98951.4</v>
      </c>
      <c r="G69" s="64">
        <f t="shared" si="9"/>
        <v>36669.699999999997</v>
      </c>
      <c r="H69" s="64">
        <f t="shared" si="9"/>
        <v>6003.6</v>
      </c>
      <c r="I69" s="64">
        <f t="shared" si="9"/>
        <v>29345.199999999997</v>
      </c>
      <c r="J69" s="64">
        <f t="shared" si="9"/>
        <v>20558.3</v>
      </c>
      <c r="K69" s="64">
        <f t="shared" si="9"/>
        <v>6374.6</v>
      </c>
    </row>
    <row r="70" spans="1:11" ht="18" customHeight="1" x14ac:dyDescent="0.2">
      <c r="A70" s="291" t="s">
        <v>37</v>
      </c>
      <c r="B70" s="292"/>
      <c r="C70" s="292"/>
      <c r="D70" s="292"/>
      <c r="E70" s="292"/>
      <c r="F70" s="292"/>
      <c r="G70" s="292"/>
      <c r="H70" s="292"/>
      <c r="I70" s="292"/>
      <c r="J70" s="292"/>
      <c r="K70" s="257"/>
    </row>
    <row r="71" spans="1:11" ht="41.25" customHeight="1" x14ac:dyDescent="0.2">
      <c r="A71" s="268" t="s">
        <v>90</v>
      </c>
      <c r="B71" s="49" t="s">
        <v>65</v>
      </c>
      <c r="C71" s="23" t="s">
        <v>278</v>
      </c>
      <c r="D71" s="42" t="s">
        <v>28</v>
      </c>
      <c r="E71" s="3" t="s">
        <v>98</v>
      </c>
      <c r="F71" s="95">
        <f t="shared" ref="F71:F82" si="10">+G71+H71+I71+J71+K71</f>
        <v>16532.5</v>
      </c>
      <c r="G71" s="31">
        <v>16532.5</v>
      </c>
      <c r="H71" s="26"/>
      <c r="I71" s="26"/>
      <c r="J71" s="26"/>
      <c r="K71" s="26"/>
    </row>
    <row r="72" spans="1:11" ht="39.6" customHeight="1" x14ac:dyDescent="0.2">
      <c r="A72" s="268" t="s">
        <v>70</v>
      </c>
      <c r="B72" s="49" t="s">
        <v>66</v>
      </c>
      <c r="C72" s="23" t="s">
        <v>279</v>
      </c>
      <c r="D72" s="42" t="s">
        <v>27</v>
      </c>
      <c r="E72" s="3" t="s">
        <v>50</v>
      </c>
      <c r="F72" s="71">
        <f t="shared" si="10"/>
        <v>11241.100000000002</v>
      </c>
      <c r="G72" s="26">
        <v>4468.3</v>
      </c>
      <c r="H72" s="26">
        <v>6222.6</v>
      </c>
      <c r="I72" s="30">
        <v>550.20000000000005</v>
      </c>
      <c r="J72" s="30"/>
      <c r="K72" s="30"/>
    </row>
    <row r="73" spans="1:11" ht="52.5" customHeight="1" x14ac:dyDescent="0.2">
      <c r="A73" s="268">
        <v>3</v>
      </c>
      <c r="B73" s="138" t="s">
        <v>157</v>
      </c>
      <c r="C73" s="197" t="s">
        <v>179</v>
      </c>
      <c r="D73" s="43" t="s">
        <v>28</v>
      </c>
      <c r="E73" s="6" t="s">
        <v>98</v>
      </c>
      <c r="F73" s="72">
        <f t="shared" si="10"/>
        <v>6088.4</v>
      </c>
      <c r="G73" s="30">
        <v>6088.4</v>
      </c>
      <c r="H73" s="30"/>
      <c r="I73" s="30"/>
      <c r="J73" s="26"/>
      <c r="K73" s="26"/>
    </row>
    <row r="74" spans="1:11" ht="43.5" customHeight="1" x14ac:dyDescent="0.2">
      <c r="A74" s="268">
        <v>4</v>
      </c>
      <c r="B74" s="49" t="s">
        <v>117</v>
      </c>
      <c r="C74" s="23" t="s">
        <v>81</v>
      </c>
      <c r="D74" s="42" t="s">
        <v>18</v>
      </c>
      <c r="E74" s="3" t="s">
        <v>52</v>
      </c>
      <c r="F74" s="71">
        <f t="shared" si="10"/>
        <v>365.1</v>
      </c>
      <c r="G74" s="23">
        <v>365.1</v>
      </c>
      <c r="H74" s="26"/>
      <c r="I74" s="26"/>
      <c r="J74" s="26"/>
      <c r="K74" s="26"/>
    </row>
    <row r="75" spans="1:11" ht="29.1" customHeight="1" x14ac:dyDescent="0.2">
      <c r="A75" s="268">
        <v>5</v>
      </c>
      <c r="B75" s="49" t="s">
        <v>29</v>
      </c>
      <c r="C75" s="23" t="s">
        <v>53</v>
      </c>
      <c r="D75" s="3" t="s">
        <v>27</v>
      </c>
      <c r="E75" s="3" t="s">
        <v>98</v>
      </c>
      <c r="F75" s="71">
        <f t="shared" si="10"/>
        <v>1458.8</v>
      </c>
      <c r="G75" s="26">
        <v>1458.8</v>
      </c>
      <c r="H75" s="26"/>
      <c r="I75" s="26"/>
      <c r="J75" s="26"/>
      <c r="K75" s="26"/>
    </row>
    <row r="76" spans="1:11" ht="33" customHeight="1" x14ac:dyDescent="0.2">
      <c r="A76" s="268">
        <v>6</v>
      </c>
      <c r="B76" s="49" t="s">
        <v>121</v>
      </c>
      <c r="C76" s="23" t="s">
        <v>47</v>
      </c>
      <c r="D76" s="3" t="s">
        <v>21</v>
      </c>
      <c r="E76" s="3" t="s">
        <v>52</v>
      </c>
      <c r="F76" s="71">
        <f t="shared" si="10"/>
        <v>165</v>
      </c>
      <c r="G76" s="26">
        <v>165</v>
      </c>
      <c r="H76" s="26"/>
      <c r="I76" s="26"/>
      <c r="J76" s="26"/>
      <c r="K76" s="26"/>
    </row>
    <row r="77" spans="1:11" s="183" customFormat="1" ht="17.850000000000001" customHeight="1" x14ac:dyDescent="0.2">
      <c r="A77" s="268">
        <v>7</v>
      </c>
      <c r="B77" s="261" t="s">
        <v>25</v>
      </c>
      <c r="C77" s="196" t="s">
        <v>41</v>
      </c>
      <c r="D77" s="13" t="s">
        <v>27</v>
      </c>
      <c r="E77" s="13" t="s">
        <v>50</v>
      </c>
      <c r="F77" s="90">
        <f t="shared" si="10"/>
        <v>938.4</v>
      </c>
      <c r="G77" s="44">
        <v>915.5</v>
      </c>
      <c r="H77" s="44"/>
      <c r="I77" s="44"/>
      <c r="J77" s="44"/>
      <c r="K77" s="30">
        <v>22.9</v>
      </c>
    </row>
    <row r="78" spans="1:11" ht="17.850000000000001" customHeight="1" x14ac:dyDescent="0.2">
      <c r="A78" s="268">
        <v>8</v>
      </c>
      <c r="B78" s="49" t="s">
        <v>109</v>
      </c>
      <c r="C78" s="26" t="s">
        <v>110</v>
      </c>
      <c r="D78" s="3" t="s">
        <v>28</v>
      </c>
      <c r="E78" s="3" t="s">
        <v>52</v>
      </c>
      <c r="F78" s="71">
        <f t="shared" si="10"/>
        <v>1006.1</v>
      </c>
      <c r="G78" s="26">
        <v>1006.1</v>
      </c>
      <c r="H78" s="26"/>
      <c r="I78" s="26"/>
      <c r="J78" s="26"/>
      <c r="K78" s="26"/>
    </row>
    <row r="79" spans="1:11" ht="39" customHeight="1" x14ac:dyDescent="0.2">
      <c r="A79" s="268">
        <v>9</v>
      </c>
      <c r="B79" s="49" t="s">
        <v>130</v>
      </c>
      <c r="C79" s="26" t="s">
        <v>280</v>
      </c>
      <c r="D79" s="3" t="s">
        <v>46</v>
      </c>
      <c r="E79" s="2" t="s">
        <v>50</v>
      </c>
      <c r="F79" s="71">
        <f t="shared" si="10"/>
        <v>316.3</v>
      </c>
      <c r="G79" s="26">
        <v>316.3</v>
      </c>
      <c r="H79" s="26"/>
      <c r="I79" s="26"/>
      <c r="J79" s="26"/>
      <c r="K79" s="26"/>
    </row>
    <row r="80" spans="1:11" ht="33" customHeight="1" x14ac:dyDescent="0.2">
      <c r="A80" s="268">
        <v>10</v>
      </c>
      <c r="B80" s="49" t="s">
        <v>133</v>
      </c>
      <c r="C80" s="23" t="s">
        <v>281</v>
      </c>
      <c r="D80" s="12" t="s">
        <v>46</v>
      </c>
      <c r="E80" s="14" t="s">
        <v>98</v>
      </c>
      <c r="F80" s="71">
        <f t="shared" si="10"/>
        <v>3178.3</v>
      </c>
      <c r="G80" s="23">
        <v>3178.3</v>
      </c>
      <c r="H80" s="23"/>
      <c r="I80" s="23"/>
      <c r="J80" s="23"/>
      <c r="K80" s="197"/>
    </row>
    <row r="81" spans="1:11" ht="38.450000000000003" customHeight="1" x14ac:dyDescent="0.2">
      <c r="A81" s="268">
        <v>11</v>
      </c>
      <c r="B81" s="138" t="s">
        <v>250</v>
      </c>
      <c r="C81" s="262" t="s">
        <v>75</v>
      </c>
      <c r="D81" s="7" t="s">
        <v>21</v>
      </c>
      <c r="E81" s="7" t="s">
        <v>99</v>
      </c>
      <c r="F81" s="263">
        <f t="shared" si="10"/>
        <v>2673.9</v>
      </c>
      <c r="G81" s="262">
        <f>14.5+2659.4</f>
        <v>2673.9</v>
      </c>
      <c r="H81" s="196"/>
      <c r="I81" s="264"/>
      <c r="J81" s="264"/>
      <c r="K81" s="197"/>
    </row>
    <row r="82" spans="1:11" ht="28.35" customHeight="1" x14ac:dyDescent="0.2">
      <c r="A82" s="268">
        <v>12</v>
      </c>
      <c r="B82" s="49" t="s">
        <v>69</v>
      </c>
      <c r="C82" s="23" t="s">
        <v>77</v>
      </c>
      <c r="D82" s="42" t="s">
        <v>28</v>
      </c>
      <c r="E82" s="3" t="s">
        <v>50</v>
      </c>
      <c r="F82" s="71">
        <f t="shared" si="10"/>
        <v>6247.9</v>
      </c>
      <c r="G82" s="26">
        <v>1137.2</v>
      </c>
      <c r="H82" s="26">
        <v>4696.3</v>
      </c>
      <c r="I82" s="26">
        <v>414.4</v>
      </c>
      <c r="J82" s="26"/>
      <c r="K82" s="26"/>
    </row>
    <row r="83" spans="1:11" ht="15" customHeight="1" x14ac:dyDescent="0.2">
      <c r="A83" s="78">
        <v>12</v>
      </c>
      <c r="B83" s="103" t="s">
        <v>135</v>
      </c>
      <c r="C83" s="248"/>
      <c r="D83" s="250"/>
      <c r="E83" s="63" t="s">
        <v>13</v>
      </c>
      <c r="F83" s="64">
        <f t="shared" ref="F83:K83" si="11">SUM(F71:F82)</f>
        <v>50211.80000000001</v>
      </c>
      <c r="G83" s="64">
        <f t="shared" si="11"/>
        <v>38305.399999999994</v>
      </c>
      <c r="H83" s="64">
        <f t="shared" si="11"/>
        <v>10918.900000000001</v>
      </c>
      <c r="I83" s="64">
        <f t="shared" si="11"/>
        <v>964.6</v>
      </c>
      <c r="J83" s="64">
        <f t="shared" si="11"/>
        <v>0</v>
      </c>
      <c r="K83" s="64">
        <f t="shared" si="11"/>
        <v>22.9</v>
      </c>
    </row>
    <row r="84" spans="1:11" s="33" customFormat="1" ht="15" customHeight="1" x14ac:dyDescent="0.25">
      <c r="A84" s="293" t="s">
        <v>35</v>
      </c>
      <c r="B84" s="294"/>
      <c r="C84" s="294"/>
      <c r="D84" s="294"/>
      <c r="E84" s="294"/>
      <c r="F84" s="294"/>
      <c r="G84" s="294"/>
      <c r="H84" s="294"/>
      <c r="I84" s="294"/>
      <c r="J84" s="294"/>
      <c r="K84" s="143"/>
    </row>
    <row r="85" spans="1:11" s="33" customFormat="1" ht="53.25" customHeight="1" x14ac:dyDescent="0.25">
      <c r="A85" s="75" t="s">
        <v>90</v>
      </c>
      <c r="B85" s="130" t="s">
        <v>62</v>
      </c>
      <c r="C85" s="34" t="s">
        <v>293</v>
      </c>
      <c r="D85" s="10" t="s">
        <v>20</v>
      </c>
      <c r="E85" s="10" t="s">
        <v>50</v>
      </c>
      <c r="F85" s="71">
        <f t="shared" ref="F85:F89" si="12">+G85+H85+I85+J85+K85</f>
        <v>1916.4</v>
      </c>
      <c r="G85" s="23">
        <v>787</v>
      </c>
      <c r="H85" s="23">
        <v>1129.4000000000001</v>
      </c>
      <c r="I85" s="23"/>
      <c r="J85" s="23"/>
      <c r="K85" s="23"/>
    </row>
    <row r="86" spans="1:11" s="33" customFormat="1" ht="32.1" customHeight="1" x14ac:dyDescent="0.25">
      <c r="A86" s="75">
        <v>2</v>
      </c>
      <c r="B86" s="35" t="s">
        <v>86</v>
      </c>
      <c r="C86" s="34" t="s">
        <v>286</v>
      </c>
      <c r="D86" s="10" t="s">
        <v>27</v>
      </c>
      <c r="E86" s="11" t="s">
        <v>52</v>
      </c>
      <c r="F86" s="71">
        <f t="shared" si="12"/>
        <v>1000</v>
      </c>
      <c r="G86" s="23">
        <v>1000</v>
      </c>
      <c r="H86" s="23"/>
      <c r="I86" s="23"/>
      <c r="J86" s="23"/>
      <c r="K86" s="23"/>
    </row>
    <row r="87" spans="1:11" s="33" customFormat="1" ht="38.25" customHeight="1" x14ac:dyDescent="0.25">
      <c r="A87" s="75">
        <v>3</v>
      </c>
      <c r="B87" s="246" t="s">
        <v>82</v>
      </c>
      <c r="C87" s="34" t="s">
        <v>76</v>
      </c>
      <c r="D87" s="10" t="s">
        <v>27</v>
      </c>
      <c r="E87" s="11" t="s">
        <v>119</v>
      </c>
      <c r="F87" s="71">
        <f t="shared" si="12"/>
        <v>3900</v>
      </c>
      <c r="G87" s="23">
        <v>3900</v>
      </c>
      <c r="H87" s="23"/>
      <c r="I87" s="23"/>
      <c r="J87" s="23"/>
      <c r="K87" s="23"/>
    </row>
    <row r="88" spans="1:11" s="33" customFormat="1" ht="29.85" customHeight="1" x14ac:dyDescent="0.25">
      <c r="A88" s="75">
        <v>4</v>
      </c>
      <c r="B88" s="130" t="s">
        <v>122</v>
      </c>
      <c r="C88" s="34" t="s">
        <v>48</v>
      </c>
      <c r="D88" s="10" t="s">
        <v>50</v>
      </c>
      <c r="E88" s="11" t="s">
        <v>99</v>
      </c>
      <c r="F88" s="71">
        <f t="shared" si="12"/>
        <v>120</v>
      </c>
      <c r="G88" s="23">
        <v>120</v>
      </c>
      <c r="H88" s="23"/>
      <c r="I88" s="23"/>
      <c r="J88" s="23"/>
      <c r="K88" s="23"/>
    </row>
    <row r="89" spans="1:11" s="33" customFormat="1" ht="25.5" customHeight="1" x14ac:dyDescent="0.25">
      <c r="A89" s="75">
        <v>5</v>
      </c>
      <c r="B89" s="144" t="s">
        <v>172</v>
      </c>
      <c r="C89" s="34" t="s">
        <v>294</v>
      </c>
      <c r="D89" s="10" t="s">
        <v>18</v>
      </c>
      <c r="E89" s="10" t="s">
        <v>119</v>
      </c>
      <c r="F89" s="71">
        <f t="shared" si="12"/>
        <v>1639.9</v>
      </c>
      <c r="G89" s="23">
        <v>1639.9</v>
      </c>
      <c r="H89" s="23"/>
      <c r="I89" s="23"/>
      <c r="J89" s="23"/>
      <c r="K89" s="23"/>
    </row>
    <row r="90" spans="1:11" s="33" customFormat="1" ht="15.75" customHeight="1" x14ac:dyDescent="0.25">
      <c r="A90" s="78">
        <v>5</v>
      </c>
      <c r="B90" s="135" t="s">
        <v>134</v>
      </c>
      <c r="C90" s="248"/>
      <c r="D90" s="255"/>
      <c r="E90" s="250" t="s">
        <v>13</v>
      </c>
      <c r="F90" s="67">
        <f t="shared" ref="F90:K90" si="13">SUM(F85:F89)</f>
        <v>8576.2999999999993</v>
      </c>
      <c r="G90" s="67">
        <f t="shared" si="13"/>
        <v>7446.9</v>
      </c>
      <c r="H90" s="67">
        <f t="shared" si="13"/>
        <v>1129.4000000000001</v>
      </c>
      <c r="I90" s="67">
        <f t="shared" si="13"/>
        <v>0</v>
      </c>
      <c r="J90" s="67">
        <f t="shared" si="13"/>
        <v>0</v>
      </c>
      <c r="K90" s="67">
        <f t="shared" si="13"/>
        <v>0</v>
      </c>
    </row>
    <row r="91" spans="1:11" s="33" customFormat="1" ht="18" customHeight="1" x14ac:dyDescent="0.25">
      <c r="A91" s="295" t="s">
        <v>36</v>
      </c>
      <c r="B91" s="296"/>
      <c r="C91" s="296"/>
      <c r="D91" s="296"/>
      <c r="E91" s="296"/>
      <c r="F91" s="296"/>
      <c r="G91" s="296"/>
      <c r="H91" s="296"/>
      <c r="I91" s="296"/>
      <c r="J91" s="296"/>
      <c r="K91" s="143"/>
    </row>
    <row r="92" spans="1:11" s="33" customFormat="1" ht="83.1" customHeight="1" x14ac:dyDescent="0.25">
      <c r="A92" s="75" t="s">
        <v>90</v>
      </c>
      <c r="B92" s="25" t="s">
        <v>270</v>
      </c>
      <c r="C92" s="34" t="s">
        <v>54</v>
      </c>
      <c r="D92" s="7">
        <v>2017</v>
      </c>
      <c r="E92" s="7" t="s">
        <v>50</v>
      </c>
      <c r="F92" s="71">
        <f t="shared" ref="F92:F105" si="14">+G92+H92+I92+J92+K92</f>
        <v>1056.5</v>
      </c>
      <c r="G92" s="23">
        <v>25.9</v>
      </c>
      <c r="H92" s="23">
        <v>946.7</v>
      </c>
      <c r="I92" s="23">
        <v>83.9</v>
      </c>
      <c r="J92" s="23"/>
      <c r="K92" s="23"/>
    </row>
    <row r="93" spans="1:11" s="33" customFormat="1" ht="31.35" customHeight="1" x14ac:dyDescent="0.25">
      <c r="A93" s="75" t="s">
        <v>70</v>
      </c>
      <c r="B93" s="25" t="s">
        <v>30</v>
      </c>
      <c r="C93" s="23" t="s">
        <v>32</v>
      </c>
      <c r="D93" s="1">
        <v>2017</v>
      </c>
      <c r="E93" s="9" t="s">
        <v>52</v>
      </c>
      <c r="F93" s="71">
        <f t="shared" si="14"/>
        <v>15900</v>
      </c>
      <c r="G93" s="195">
        <v>15900</v>
      </c>
      <c r="H93" s="23"/>
      <c r="I93" s="23"/>
      <c r="J93" s="23"/>
      <c r="K93" s="23"/>
    </row>
    <row r="94" spans="1:11" s="33" customFormat="1" ht="106.5" customHeight="1" x14ac:dyDescent="0.25">
      <c r="A94" s="75" t="s">
        <v>102</v>
      </c>
      <c r="B94" s="49" t="s">
        <v>306</v>
      </c>
      <c r="C94" s="23" t="s">
        <v>84</v>
      </c>
      <c r="D94" s="7" t="s">
        <v>21</v>
      </c>
      <c r="E94" s="7" t="s">
        <v>119</v>
      </c>
      <c r="F94" s="71">
        <f>+G94+I94+K94</f>
        <v>8608.6</v>
      </c>
      <c r="G94" s="195">
        <f>8125-270.9+205-172.4+400</f>
        <v>8286.7000000000007</v>
      </c>
      <c r="H94" s="36"/>
      <c r="I94" s="23">
        <v>232</v>
      </c>
      <c r="J94" s="23"/>
      <c r="K94" s="23">
        <v>89.9</v>
      </c>
    </row>
    <row r="95" spans="1:11" s="33" customFormat="1" ht="39.75" customHeight="1" x14ac:dyDescent="0.25">
      <c r="A95" s="75">
        <v>4</v>
      </c>
      <c r="B95" s="49" t="s">
        <v>271</v>
      </c>
      <c r="C95" s="23" t="s">
        <v>84</v>
      </c>
      <c r="D95" s="4" t="s">
        <v>52</v>
      </c>
      <c r="E95" s="4" t="s">
        <v>52</v>
      </c>
      <c r="F95" s="72">
        <f>G95+H95+I95+J95+K95</f>
        <v>362.4</v>
      </c>
      <c r="G95" s="23">
        <v>362.4</v>
      </c>
      <c r="H95" s="23"/>
      <c r="I95" s="23"/>
      <c r="J95" s="23"/>
      <c r="K95" s="23"/>
    </row>
    <row r="96" spans="1:11" s="33" customFormat="1" ht="39.75" customHeight="1" x14ac:dyDescent="0.25">
      <c r="A96" s="75">
        <v>5</v>
      </c>
      <c r="B96" s="49" t="s">
        <v>59</v>
      </c>
      <c r="C96" s="23" t="s">
        <v>54</v>
      </c>
      <c r="D96" s="4" t="s">
        <v>28</v>
      </c>
      <c r="E96" s="4" t="s">
        <v>52</v>
      </c>
      <c r="F96" s="72">
        <f>G96+H96+I96+J96+K96</f>
        <v>895.5</v>
      </c>
      <c r="G96" s="23">
        <v>52.5</v>
      </c>
      <c r="H96" s="23"/>
      <c r="I96" s="23">
        <v>843</v>
      </c>
      <c r="J96" s="23"/>
      <c r="K96" s="23"/>
    </row>
    <row r="97" spans="1:12" s="33" customFormat="1" ht="30" customHeight="1" x14ac:dyDescent="0.25">
      <c r="A97" s="75">
        <v>6</v>
      </c>
      <c r="B97" s="25" t="s">
        <v>87</v>
      </c>
      <c r="C97" s="23" t="s">
        <v>54</v>
      </c>
      <c r="D97" s="7">
        <v>2018</v>
      </c>
      <c r="E97" s="7" t="s">
        <v>50</v>
      </c>
      <c r="F97" s="71">
        <f t="shared" si="14"/>
        <v>1256</v>
      </c>
      <c r="G97" s="23">
        <v>686</v>
      </c>
      <c r="H97" s="23"/>
      <c r="I97" s="23">
        <v>570</v>
      </c>
      <c r="J97" s="23"/>
      <c r="K97" s="23"/>
    </row>
    <row r="98" spans="1:12" s="33" customFormat="1" ht="27.75" customHeight="1" x14ac:dyDescent="0.25">
      <c r="A98" s="75">
        <v>7</v>
      </c>
      <c r="B98" s="25" t="s">
        <v>251</v>
      </c>
      <c r="C98" s="23" t="s">
        <v>76</v>
      </c>
      <c r="D98" s="7">
        <v>2019</v>
      </c>
      <c r="E98" s="7" t="s">
        <v>98</v>
      </c>
      <c r="F98" s="71">
        <f t="shared" si="14"/>
        <v>1839.1</v>
      </c>
      <c r="G98" s="23">
        <v>1639.1</v>
      </c>
      <c r="H98" s="23"/>
      <c r="I98" s="23">
        <f>300-100</f>
        <v>200</v>
      </c>
      <c r="J98" s="23"/>
      <c r="K98" s="23"/>
    </row>
    <row r="99" spans="1:12" s="33" customFormat="1" ht="53.85" customHeight="1" x14ac:dyDescent="0.25">
      <c r="A99" s="75">
        <v>8</v>
      </c>
      <c r="B99" s="25" t="s">
        <v>105</v>
      </c>
      <c r="C99" s="34" t="s">
        <v>76</v>
      </c>
      <c r="D99" s="7">
        <v>2017</v>
      </c>
      <c r="E99" s="7" t="s">
        <v>99</v>
      </c>
      <c r="F99" s="71">
        <f t="shared" si="14"/>
        <v>4867.2</v>
      </c>
      <c r="G99" s="23">
        <v>4867.2</v>
      </c>
      <c r="H99" s="23"/>
      <c r="I99" s="23"/>
      <c r="J99" s="23"/>
      <c r="K99" s="23"/>
    </row>
    <row r="100" spans="1:12" s="33" customFormat="1" ht="55.5" customHeight="1" x14ac:dyDescent="0.25">
      <c r="A100" s="75">
        <v>9</v>
      </c>
      <c r="B100" s="49" t="s">
        <v>106</v>
      </c>
      <c r="C100" s="23" t="s">
        <v>76</v>
      </c>
      <c r="D100" s="7">
        <v>2017</v>
      </c>
      <c r="E100" s="7" t="s">
        <v>52</v>
      </c>
      <c r="F100" s="71">
        <f t="shared" si="14"/>
        <v>2836.1</v>
      </c>
      <c r="G100" s="23">
        <v>1957</v>
      </c>
      <c r="H100" s="23">
        <v>879.1</v>
      </c>
      <c r="I100" s="23"/>
      <c r="J100" s="23"/>
      <c r="K100" s="23"/>
    </row>
    <row r="101" spans="1:12" s="33" customFormat="1" ht="27.75" customHeight="1" x14ac:dyDescent="0.25">
      <c r="A101" s="75">
        <v>10</v>
      </c>
      <c r="B101" s="27" t="s">
        <v>88</v>
      </c>
      <c r="C101" s="23" t="s">
        <v>54</v>
      </c>
      <c r="D101" s="7">
        <v>2018</v>
      </c>
      <c r="E101" s="7" t="s">
        <v>99</v>
      </c>
      <c r="F101" s="71">
        <f t="shared" si="14"/>
        <v>696.3</v>
      </c>
      <c r="G101" s="23">
        <v>696.3</v>
      </c>
      <c r="H101" s="23"/>
      <c r="I101" s="23"/>
      <c r="J101" s="23"/>
      <c r="K101" s="23"/>
    </row>
    <row r="102" spans="1:12" s="33" customFormat="1" ht="54.6" customHeight="1" x14ac:dyDescent="0.25">
      <c r="A102" s="75">
        <v>11</v>
      </c>
      <c r="B102" s="27" t="s">
        <v>31</v>
      </c>
      <c r="C102" s="23" t="s">
        <v>54</v>
      </c>
      <c r="D102" s="7">
        <v>2016</v>
      </c>
      <c r="E102" s="7" t="s">
        <v>50</v>
      </c>
      <c r="F102" s="71">
        <f t="shared" si="14"/>
        <v>745.3</v>
      </c>
      <c r="G102" s="23">
        <v>216.8</v>
      </c>
      <c r="H102" s="23">
        <v>528.5</v>
      </c>
      <c r="I102" s="23"/>
      <c r="J102" s="23"/>
      <c r="K102" s="23"/>
    </row>
    <row r="103" spans="1:12" s="33" customFormat="1" ht="105" customHeight="1" x14ac:dyDescent="0.25">
      <c r="A103" s="75">
        <v>12</v>
      </c>
      <c r="B103" s="27" t="s">
        <v>272</v>
      </c>
      <c r="C103" s="23" t="s">
        <v>282</v>
      </c>
      <c r="D103" s="7" t="s">
        <v>50</v>
      </c>
      <c r="E103" s="7" t="s">
        <v>98</v>
      </c>
      <c r="F103" s="71">
        <f t="shared" si="14"/>
        <v>4884</v>
      </c>
      <c r="G103" s="23">
        <v>4884</v>
      </c>
      <c r="H103" s="23"/>
      <c r="I103" s="23"/>
      <c r="J103" s="23"/>
      <c r="K103" s="23"/>
    </row>
    <row r="104" spans="1:12" s="33" customFormat="1" ht="35.25" customHeight="1" x14ac:dyDescent="0.25">
      <c r="A104" s="75">
        <v>13</v>
      </c>
      <c r="B104" s="27" t="s">
        <v>303</v>
      </c>
      <c r="C104" s="23" t="s">
        <v>181</v>
      </c>
      <c r="D104" s="7" t="s">
        <v>52</v>
      </c>
      <c r="E104" s="7" t="s">
        <v>52</v>
      </c>
      <c r="F104" s="71">
        <f t="shared" si="14"/>
        <v>358.6</v>
      </c>
      <c r="G104" s="23">
        <v>58.6</v>
      </c>
      <c r="H104" s="23"/>
      <c r="I104" s="23">
        <v>300</v>
      </c>
      <c r="J104" s="23"/>
      <c r="K104" s="23"/>
    </row>
    <row r="105" spans="1:12" s="33" customFormat="1" ht="29.25" customHeight="1" x14ac:dyDescent="0.25">
      <c r="A105" s="91">
        <v>14</v>
      </c>
      <c r="B105" s="49" t="s">
        <v>304</v>
      </c>
      <c r="C105" s="54" t="s">
        <v>295</v>
      </c>
      <c r="D105" s="7" t="s">
        <v>50</v>
      </c>
      <c r="E105" s="7" t="s">
        <v>99</v>
      </c>
      <c r="F105" s="71">
        <f t="shared" si="14"/>
        <v>1102.4000000000001</v>
      </c>
      <c r="G105" s="23">
        <v>1102.4000000000001</v>
      </c>
      <c r="H105" s="23"/>
      <c r="I105" s="23"/>
      <c r="J105" s="23"/>
      <c r="K105" s="23"/>
      <c r="L105" s="139"/>
    </row>
    <row r="106" spans="1:12" s="33" customFormat="1" ht="18" customHeight="1" x14ac:dyDescent="0.25">
      <c r="A106" s="78">
        <v>14</v>
      </c>
      <c r="B106" s="135" t="s">
        <v>135</v>
      </c>
      <c r="C106" s="248"/>
      <c r="D106" s="255"/>
      <c r="E106" s="250" t="s">
        <v>13</v>
      </c>
      <c r="F106" s="114">
        <f t="shared" ref="F106:K106" si="15">SUM(F92:F105)</f>
        <v>45408</v>
      </c>
      <c r="G106" s="114">
        <f t="shared" si="15"/>
        <v>40734.900000000009</v>
      </c>
      <c r="H106" s="114">
        <f t="shared" si="15"/>
        <v>2354.3000000000002</v>
      </c>
      <c r="I106" s="114">
        <f t="shared" si="15"/>
        <v>2228.9</v>
      </c>
      <c r="J106" s="114">
        <f t="shared" si="15"/>
        <v>0</v>
      </c>
      <c r="K106" s="114">
        <f t="shared" si="15"/>
        <v>89.9</v>
      </c>
    </row>
    <row r="107" spans="1:12" s="33" customFormat="1" ht="16.5" customHeight="1" x14ac:dyDescent="0.25">
      <c r="A107" s="295" t="s">
        <v>38</v>
      </c>
      <c r="B107" s="296"/>
      <c r="C107" s="296"/>
      <c r="D107" s="296"/>
      <c r="E107" s="296"/>
      <c r="F107" s="296"/>
      <c r="G107" s="296"/>
      <c r="H107" s="296"/>
      <c r="I107" s="296"/>
      <c r="J107" s="296"/>
      <c r="K107" s="143"/>
    </row>
    <row r="108" spans="1:12" s="33" customFormat="1" ht="27" customHeight="1" x14ac:dyDescent="0.25">
      <c r="A108" s="75">
        <v>1</v>
      </c>
      <c r="B108" s="49" t="s">
        <v>147</v>
      </c>
      <c r="C108" s="26" t="s">
        <v>51</v>
      </c>
      <c r="D108" s="7">
        <v>2017</v>
      </c>
      <c r="E108" s="7" t="s">
        <v>98</v>
      </c>
      <c r="F108" s="71">
        <f t="shared" ref="F108:F110" si="16">+G108+H108+I108+J108+K108</f>
        <v>6300</v>
      </c>
      <c r="G108" s="23">
        <v>6300</v>
      </c>
      <c r="H108" s="23"/>
      <c r="I108" s="23"/>
      <c r="J108" s="23"/>
      <c r="K108" s="23"/>
    </row>
    <row r="109" spans="1:12" s="33" customFormat="1" ht="25.5" x14ac:dyDescent="0.25">
      <c r="A109" s="75">
        <v>2</v>
      </c>
      <c r="B109" s="25" t="s">
        <v>73</v>
      </c>
      <c r="C109" s="26" t="s">
        <v>51</v>
      </c>
      <c r="D109" s="18">
        <v>2020</v>
      </c>
      <c r="E109" s="7" t="s">
        <v>99</v>
      </c>
      <c r="F109" s="71">
        <f t="shared" si="16"/>
        <v>1924.1</v>
      </c>
      <c r="G109" s="23"/>
      <c r="H109" s="23"/>
      <c r="I109" s="23">
        <v>1924.1</v>
      </c>
      <c r="J109" s="23"/>
      <c r="K109" s="23"/>
    </row>
    <row r="110" spans="1:12" s="33" customFormat="1" ht="32.25" customHeight="1" x14ac:dyDescent="0.25">
      <c r="A110" s="268">
        <v>3</v>
      </c>
      <c r="B110" s="144" t="s">
        <v>253</v>
      </c>
      <c r="C110" s="195" t="s">
        <v>51</v>
      </c>
      <c r="D110" s="9" t="s">
        <v>52</v>
      </c>
      <c r="E110" s="9"/>
      <c r="F110" s="74">
        <f t="shared" si="16"/>
        <v>2300</v>
      </c>
      <c r="G110" s="23">
        <v>2300</v>
      </c>
      <c r="H110" s="23"/>
      <c r="I110" s="23"/>
      <c r="J110" s="23"/>
      <c r="K110" s="23"/>
    </row>
    <row r="111" spans="1:12" s="33" customFormat="1" ht="21" customHeight="1" x14ac:dyDescent="0.25">
      <c r="A111" s="80">
        <v>4</v>
      </c>
      <c r="B111" s="115" t="s">
        <v>252</v>
      </c>
      <c r="C111" s="23" t="s">
        <v>108</v>
      </c>
      <c r="D111" s="18" t="s">
        <v>50</v>
      </c>
      <c r="E111" s="7" t="s">
        <v>99</v>
      </c>
      <c r="F111" s="71">
        <f>+G111+H111+I111+J111+K111</f>
        <v>3200</v>
      </c>
      <c r="G111" s="23">
        <v>40</v>
      </c>
      <c r="H111" s="23"/>
      <c r="I111" s="23">
        <v>3160</v>
      </c>
      <c r="J111" s="23"/>
      <c r="K111" s="23"/>
    </row>
    <row r="112" spans="1:12" s="33" customFormat="1" ht="17.25" customHeight="1" x14ac:dyDescent="0.25">
      <c r="A112" s="78">
        <v>4</v>
      </c>
      <c r="B112" s="135" t="s">
        <v>134</v>
      </c>
      <c r="C112" s="248"/>
      <c r="D112" s="255"/>
      <c r="E112" s="63" t="s">
        <v>13</v>
      </c>
      <c r="F112" s="67">
        <f t="shared" ref="F112:K112" si="17">SUM(F108:F111)</f>
        <v>13724.1</v>
      </c>
      <c r="G112" s="67">
        <f t="shared" si="17"/>
        <v>8640</v>
      </c>
      <c r="H112" s="67">
        <f t="shared" si="17"/>
        <v>0</v>
      </c>
      <c r="I112" s="67">
        <f t="shared" si="17"/>
        <v>5084.1000000000004</v>
      </c>
      <c r="J112" s="67">
        <f t="shared" si="17"/>
        <v>0</v>
      </c>
      <c r="K112" s="67">
        <f t="shared" si="17"/>
        <v>0</v>
      </c>
    </row>
    <row r="113" spans="1:11" s="33" customFormat="1" ht="19.350000000000001" customHeight="1" x14ac:dyDescent="0.25">
      <c r="A113" s="295" t="s">
        <v>39</v>
      </c>
      <c r="B113" s="296"/>
      <c r="C113" s="296"/>
      <c r="D113" s="296"/>
      <c r="E113" s="296"/>
      <c r="F113" s="296"/>
      <c r="G113" s="296"/>
      <c r="H113" s="296"/>
      <c r="I113" s="296"/>
      <c r="J113" s="296"/>
      <c r="K113" s="143"/>
    </row>
    <row r="114" spans="1:11" s="33" customFormat="1" ht="53.25" customHeight="1" x14ac:dyDescent="0.25">
      <c r="A114" s="75">
        <v>1</v>
      </c>
      <c r="B114" s="25" t="s">
        <v>89</v>
      </c>
      <c r="C114" s="23" t="s">
        <v>177</v>
      </c>
      <c r="D114" s="7" t="s">
        <v>18</v>
      </c>
      <c r="E114" s="7" t="s">
        <v>99</v>
      </c>
      <c r="F114" s="71">
        <f t="shared" ref="F114:F119" si="18">+G114+H114+I114+J114+K114</f>
        <v>3457</v>
      </c>
      <c r="G114" s="23">
        <v>3457</v>
      </c>
      <c r="H114" s="23"/>
      <c r="I114" s="23"/>
      <c r="J114" s="23"/>
      <c r="K114" s="23"/>
    </row>
    <row r="115" spans="1:11" s="33" customFormat="1" ht="42.75" customHeight="1" x14ac:dyDescent="0.25">
      <c r="A115" s="75">
        <v>2</v>
      </c>
      <c r="B115" s="27" t="s">
        <v>208</v>
      </c>
      <c r="C115" s="23" t="s">
        <v>296</v>
      </c>
      <c r="D115" s="5" t="s">
        <v>21</v>
      </c>
      <c r="E115" s="5" t="s">
        <v>99</v>
      </c>
      <c r="F115" s="71">
        <f t="shared" si="18"/>
        <v>3643.5</v>
      </c>
      <c r="G115" s="23">
        <v>686</v>
      </c>
      <c r="H115" s="23"/>
      <c r="I115" s="23">
        <v>2957.5</v>
      </c>
      <c r="J115" s="23"/>
      <c r="K115" s="23"/>
    </row>
    <row r="116" spans="1:11" s="33" customFormat="1" ht="43.5" customHeight="1" x14ac:dyDescent="0.25">
      <c r="A116" s="75">
        <v>3</v>
      </c>
      <c r="B116" s="27" t="s">
        <v>138</v>
      </c>
      <c r="C116" s="23" t="s">
        <v>81</v>
      </c>
      <c r="D116" s="1" t="s">
        <v>21</v>
      </c>
      <c r="E116" s="1" t="s">
        <v>50</v>
      </c>
      <c r="F116" s="71">
        <f t="shared" si="18"/>
        <v>367</v>
      </c>
      <c r="G116" s="23"/>
      <c r="H116" s="23">
        <v>367</v>
      </c>
      <c r="I116" s="23"/>
      <c r="J116" s="23"/>
      <c r="K116" s="23"/>
    </row>
    <row r="117" spans="1:11" s="33" customFormat="1" ht="43.5" customHeight="1" x14ac:dyDescent="0.25">
      <c r="A117" s="75">
        <v>4</v>
      </c>
      <c r="B117" s="115" t="s">
        <v>152</v>
      </c>
      <c r="C117" s="23" t="s">
        <v>177</v>
      </c>
      <c r="D117" s="108">
        <v>2020</v>
      </c>
      <c r="E117" s="108">
        <v>2022</v>
      </c>
      <c r="F117" s="71">
        <f t="shared" si="18"/>
        <v>190.4</v>
      </c>
      <c r="G117" s="23">
        <v>114.2</v>
      </c>
      <c r="H117" s="23">
        <v>76.2</v>
      </c>
      <c r="I117" s="23"/>
      <c r="J117" s="23"/>
      <c r="K117" s="23"/>
    </row>
    <row r="118" spans="1:11" s="33" customFormat="1" ht="43.5" customHeight="1" x14ac:dyDescent="0.25">
      <c r="A118" s="80">
        <v>5</v>
      </c>
      <c r="B118" s="182" t="s">
        <v>264</v>
      </c>
      <c r="C118" s="23" t="s">
        <v>47</v>
      </c>
      <c r="D118" s="108">
        <v>2023</v>
      </c>
      <c r="E118" s="258">
        <v>2025</v>
      </c>
      <c r="F118" s="71">
        <f t="shared" si="18"/>
        <v>605</v>
      </c>
      <c r="G118" s="23">
        <v>120.5</v>
      </c>
      <c r="H118" s="23">
        <v>484.5</v>
      </c>
      <c r="I118" s="23"/>
      <c r="J118" s="23"/>
      <c r="K118" s="23"/>
    </row>
    <row r="119" spans="1:11" s="33" customFormat="1" ht="21" customHeight="1" x14ac:dyDescent="0.25">
      <c r="A119" s="80">
        <v>6</v>
      </c>
      <c r="B119" s="182" t="s">
        <v>267</v>
      </c>
      <c r="C119" s="23" t="s">
        <v>175</v>
      </c>
      <c r="D119" s="108">
        <v>2022</v>
      </c>
      <c r="E119" s="258">
        <v>2024</v>
      </c>
      <c r="F119" s="71">
        <f t="shared" si="18"/>
        <v>1500</v>
      </c>
      <c r="G119" s="23">
        <v>1500</v>
      </c>
      <c r="H119" s="23"/>
      <c r="I119" s="23"/>
      <c r="J119" s="23"/>
      <c r="K119" s="23"/>
    </row>
    <row r="120" spans="1:11" s="33" customFormat="1" ht="18" customHeight="1" x14ac:dyDescent="0.25">
      <c r="A120" s="78" t="s">
        <v>24</v>
      </c>
      <c r="B120" s="135" t="s">
        <v>134</v>
      </c>
      <c r="C120" s="249"/>
      <c r="D120" s="250"/>
      <c r="E120" s="107" t="s">
        <v>13</v>
      </c>
      <c r="F120" s="67">
        <f>F114+F115+F116+F117+F118+F119</f>
        <v>9762.9</v>
      </c>
      <c r="G120" s="67">
        <f t="shared" ref="G120:K120" si="19">G114+G115+G116+G117+G118+G119</f>
        <v>5877.7</v>
      </c>
      <c r="H120" s="67">
        <f t="shared" si="19"/>
        <v>927.7</v>
      </c>
      <c r="I120" s="67">
        <f t="shared" si="19"/>
        <v>2957.5</v>
      </c>
      <c r="J120" s="67">
        <f t="shared" si="19"/>
        <v>0</v>
      </c>
      <c r="K120" s="67">
        <f t="shared" si="19"/>
        <v>0</v>
      </c>
    </row>
    <row r="121" spans="1:11" ht="18.75" customHeight="1" x14ac:dyDescent="0.2">
      <c r="A121" s="83">
        <v>91</v>
      </c>
      <c r="B121" s="288" t="s">
        <v>198</v>
      </c>
      <c r="C121" s="289"/>
      <c r="D121" s="289"/>
      <c r="E121" s="290"/>
      <c r="F121" s="81">
        <f>SUMIF(E10:E120,"Iš viso:",F10:F120)</f>
        <v>268678.2</v>
      </c>
      <c r="G121" s="81">
        <f>SUMIF(E10:E120,"Iš viso:",G10:G120)</f>
        <v>155941.90000000002</v>
      </c>
      <c r="H121" s="81">
        <f>SUMIF(E10:E120,"Iš viso:",H10:H120)</f>
        <v>41873.700000000004</v>
      </c>
      <c r="I121" s="81">
        <f>SUMIF(E10:E120,"Iš viso:",I10:I120)</f>
        <v>40815.499999999993</v>
      </c>
      <c r="J121" s="81">
        <f>SUMIF(E10:E120,"Iš viso:",J10:J120)</f>
        <v>20558.3</v>
      </c>
      <c r="K121" s="81">
        <f>SUMIF(E10:E120,"Iš viso:",K10:K120)</f>
        <v>9488.7999999999993</v>
      </c>
    </row>
    <row r="122" spans="1:11" x14ac:dyDescent="0.2">
      <c r="A122" s="266"/>
      <c r="E122" s="266"/>
      <c r="F122" s="16"/>
      <c r="G122" s="266"/>
      <c r="H122" s="16"/>
      <c r="I122" s="266"/>
      <c r="J122" s="16"/>
      <c r="K122" s="266"/>
    </row>
    <row r="123" spans="1:11" ht="13.5" customHeight="1" x14ac:dyDescent="0.2">
      <c r="A123" s="266"/>
      <c r="E123" s="287" t="s">
        <v>231</v>
      </c>
      <c r="F123" s="287"/>
      <c r="G123" s="287"/>
      <c r="H123" s="16"/>
      <c r="I123" s="266"/>
      <c r="J123" s="16"/>
      <c r="K123" s="266"/>
    </row>
    <row r="124" spans="1:11" x14ac:dyDescent="0.2">
      <c r="A124" s="266"/>
      <c r="E124" s="266"/>
      <c r="F124" s="16"/>
      <c r="G124" s="266"/>
      <c r="H124" s="16"/>
      <c r="I124" s="266"/>
      <c r="J124" s="16"/>
      <c r="K124" s="266"/>
    </row>
    <row r="125" spans="1:11" x14ac:dyDescent="0.2">
      <c r="E125" s="68"/>
      <c r="F125" s="16"/>
      <c r="G125" s="68"/>
      <c r="H125" s="16"/>
      <c r="I125" s="68"/>
      <c r="J125" s="16"/>
      <c r="K125" s="68"/>
    </row>
    <row r="126" spans="1:11" x14ac:dyDescent="0.2">
      <c r="E126" s="68"/>
      <c r="F126" s="16"/>
      <c r="G126" s="68"/>
      <c r="H126" s="16"/>
      <c r="I126" s="68"/>
      <c r="J126" s="16"/>
      <c r="K126" s="68"/>
    </row>
    <row r="127" spans="1:11" x14ac:dyDescent="0.2">
      <c r="E127" s="68"/>
      <c r="F127" s="16"/>
      <c r="G127" s="68"/>
      <c r="H127" s="16"/>
      <c r="I127" s="68"/>
      <c r="J127" s="16"/>
      <c r="K127" s="68"/>
    </row>
    <row r="128" spans="1:11" x14ac:dyDescent="0.2">
      <c r="E128" s="68"/>
      <c r="F128" s="16"/>
      <c r="G128" s="68"/>
      <c r="H128" s="16"/>
      <c r="I128" s="68"/>
      <c r="J128" s="16"/>
      <c r="K128" s="68"/>
    </row>
    <row r="129" spans="5:11" x14ac:dyDescent="0.2">
      <c r="E129" s="68"/>
      <c r="F129" s="16"/>
      <c r="G129" s="68"/>
      <c r="H129" s="16"/>
      <c r="I129" s="68"/>
      <c r="J129" s="16"/>
      <c r="K129" s="68"/>
    </row>
    <row r="130" spans="5:11" x14ac:dyDescent="0.2">
      <c r="E130" s="68"/>
      <c r="F130" s="16"/>
      <c r="G130" s="68"/>
      <c r="H130" s="16"/>
      <c r="I130" s="68"/>
      <c r="J130" s="16"/>
      <c r="K130" s="68"/>
    </row>
    <row r="131" spans="5:11" x14ac:dyDescent="0.2">
      <c r="E131" s="68"/>
      <c r="F131" s="16"/>
      <c r="G131" s="68"/>
      <c r="H131" s="16"/>
      <c r="I131" s="68"/>
      <c r="J131" s="16"/>
      <c r="K131" s="68"/>
    </row>
    <row r="132" spans="5:11" x14ac:dyDescent="0.2">
      <c r="E132" s="68"/>
      <c r="F132" s="16"/>
      <c r="G132" s="68"/>
      <c r="H132" s="16"/>
      <c r="I132" s="68"/>
      <c r="J132" s="16"/>
      <c r="K132" s="68"/>
    </row>
    <row r="133" spans="5:11" x14ac:dyDescent="0.2">
      <c r="E133" s="68"/>
      <c r="F133" s="16"/>
      <c r="G133" s="68"/>
      <c r="H133" s="16"/>
      <c r="I133" s="68"/>
      <c r="J133" s="16"/>
      <c r="K133" s="68"/>
    </row>
    <row r="134" spans="5:11" x14ac:dyDescent="0.2">
      <c r="E134" s="68"/>
      <c r="F134" s="16"/>
      <c r="G134" s="68"/>
      <c r="H134" s="16"/>
      <c r="I134" s="68"/>
      <c r="J134" s="16"/>
      <c r="K134" s="68"/>
    </row>
    <row r="135" spans="5:11" x14ac:dyDescent="0.2">
      <c r="E135" s="68"/>
      <c r="F135" s="16"/>
      <c r="G135" s="68"/>
      <c r="H135" s="16"/>
      <c r="I135" s="68"/>
      <c r="J135" s="16"/>
      <c r="K135" s="68"/>
    </row>
    <row r="136" spans="5:11" x14ac:dyDescent="0.2">
      <c r="E136" s="68"/>
      <c r="F136" s="16"/>
      <c r="G136" s="68"/>
      <c r="H136" s="16"/>
      <c r="I136" s="68"/>
      <c r="J136" s="16"/>
      <c r="K136" s="68"/>
    </row>
    <row r="137" spans="5:11" x14ac:dyDescent="0.2">
      <c r="E137" s="68"/>
      <c r="F137" s="16"/>
      <c r="G137" s="68"/>
      <c r="H137" s="16"/>
      <c r="I137" s="68"/>
      <c r="J137" s="16"/>
      <c r="K137" s="68"/>
    </row>
    <row r="138" spans="5:11" x14ac:dyDescent="0.2">
      <c r="E138" s="68"/>
      <c r="F138" s="16"/>
      <c r="G138" s="68"/>
      <c r="H138" s="16"/>
      <c r="I138" s="68"/>
      <c r="J138" s="16"/>
      <c r="K138" s="68"/>
    </row>
    <row r="139" spans="5:11" x14ac:dyDescent="0.2">
      <c r="E139" s="68"/>
      <c r="F139" s="16"/>
      <c r="G139" s="68"/>
      <c r="H139" s="16"/>
      <c r="I139" s="68"/>
      <c r="J139" s="16"/>
      <c r="K139" s="68"/>
    </row>
    <row r="140" spans="5:11" x14ac:dyDescent="0.2">
      <c r="E140" s="68"/>
      <c r="F140" s="16"/>
      <c r="G140" s="68"/>
      <c r="H140" s="16"/>
      <c r="I140" s="68"/>
      <c r="J140" s="16"/>
      <c r="K140" s="68"/>
    </row>
    <row r="141" spans="5:11" x14ac:dyDescent="0.2">
      <c r="E141" s="68"/>
      <c r="F141" s="16"/>
      <c r="G141" s="68"/>
      <c r="H141" s="16"/>
      <c r="I141" s="68"/>
      <c r="J141" s="16"/>
      <c r="K141" s="68"/>
    </row>
    <row r="142" spans="5:11" x14ac:dyDescent="0.2">
      <c r="E142" s="68"/>
      <c r="F142" s="16"/>
      <c r="G142" s="68"/>
      <c r="H142" s="16"/>
      <c r="I142" s="68"/>
      <c r="J142" s="16"/>
      <c r="K142" s="68"/>
    </row>
    <row r="143" spans="5:11" x14ac:dyDescent="0.2">
      <c r="E143" s="68"/>
      <c r="F143" s="16"/>
      <c r="G143" s="68"/>
      <c r="H143" s="16"/>
      <c r="I143" s="68"/>
      <c r="J143" s="16"/>
      <c r="K143" s="68"/>
    </row>
    <row r="144" spans="5:11" x14ac:dyDescent="0.2">
      <c r="E144" s="68"/>
      <c r="F144" s="16"/>
      <c r="G144" s="68"/>
      <c r="H144" s="16"/>
      <c r="I144" s="68"/>
      <c r="J144" s="16"/>
      <c r="K144" s="68"/>
    </row>
    <row r="145" spans="5:11" x14ac:dyDescent="0.2">
      <c r="E145" s="68"/>
      <c r="F145" s="16"/>
      <c r="G145" s="68"/>
      <c r="H145" s="16"/>
      <c r="I145" s="68"/>
      <c r="J145" s="16"/>
      <c r="K145" s="68"/>
    </row>
    <row r="146" spans="5:11" x14ac:dyDescent="0.2">
      <c r="E146" s="68"/>
      <c r="F146" s="16"/>
      <c r="G146" s="68"/>
      <c r="H146" s="16"/>
      <c r="I146" s="68"/>
      <c r="J146" s="16"/>
      <c r="K146" s="68"/>
    </row>
    <row r="147" spans="5:11" x14ac:dyDescent="0.2">
      <c r="E147" s="68"/>
      <c r="F147" s="16"/>
      <c r="G147" s="68"/>
      <c r="H147" s="16"/>
      <c r="I147" s="68"/>
      <c r="J147" s="16"/>
      <c r="K147" s="68"/>
    </row>
    <row r="148" spans="5:11" x14ac:dyDescent="0.2">
      <c r="E148" s="68"/>
      <c r="F148" s="16"/>
      <c r="G148" s="68"/>
      <c r="H148" s="16"/>
      <c r="I148" s="68"/>
      <c r="J148" s="16"/>
      <c r="K148" s="68"/>
    </row>
    <row r="149" spans="5:11" x14ac:dyDescent="0.2">
      <c r="E149" s="68"/>
      <c r="F149" s="16"/>
      <c r="G149" s="68"/>
      <c r="H149" s="16"/>
      <c r="I149" s="68"/>
      <c r="J149" s="16"/>
      <c r="K149" s="68"/>
    </row>
    <row r="150" spans="5:11" x14ac:dyDescent="0.2">
      <c r="E150" s="68"/>
      <c r="F150" s="16"/>
      <c r="G150" s="68"/>
      <c r="H150" s="16"/>
      <c r="I150" s="68"/>
      <c r="J150" s="16"/>
      <c r="K150" s="68"/>
    </row>
    <row r="151" spans="5:11" x14ac:dyDescent="0.2">
      <c r="E151" s="68"/>
      <c r="F151" s="16"/>
      <c r="G151" s="68"/>
      <c r="H151" s="16"/>
      <c r="I151" s="68"/>
      <c r="J151" s="16"/>
      <c r="K151" s="68"/>
    </row>
    <row r="152" spans="5:11" x14ac:dyDescent="0.2">
      <c r="E152" s="68"/>
      <c r="F152" s="16"/>
      <c r="G152" s="68"/>
      <c r="H152" s="16"/>
      <c r="I152" s="68"/>
      <c r="J152" s="16"/>
      <c r="K152" s="68"/>
    </row>
    <row r="153" spans="5:11" x14ac:dyDescent="0.2">
      <c r="E153" s="68"/>
      <c r="F153" s="16"/>
      <c r="G153" s="68"/>
      <c r="H153" s="16"/>
      <c r="I153" s="68"/>
      <c r="J153" s="16"/>
      <c r="K153" s="68"/>
    </row>
    <row r="154" spans="5:11" x14ac:dyDescent="0.2">
      <c r="E154" s="68"/>
      <c r="F154" s="16"/>
      <c r="G154" s="68"/>
      <c r="H154" s="16"/>
      <c r="I154" s="68"/>
      <c r="J154" s="16"/>
      <c r="K154" s="68"/>
    </row>
    <row r="155" spans="5:11" x14ac:dyDescent="0.2">
      <c r="E155" s="68"/>
      <c r="F155" s="16"/>
      <c r="G155" s="68"/>
      <c r="H155" s="16"/>
      <c r="I155" s="68"/>
      <c r="J155" s="16"/>
      <c r="K155" s="68"/>
    </row>
    <row r="156" spans="5:11" x14ac:dyDescent="0.2">
      <c r="E156" s="68"/>
      <c r="F156" s="16"/>
      <c r="G156" s="68"/>
      <c r="H156" s="16"/>
      <c r="I156" s="68"/>
      <c r="J156" s="16"/>
      <c r="K156" s="68"/>
    </row>
    <row r="157" spans="5:11" x14ac:dyDescent="0.2">
      <c r="E157" s="68"/>
      <c r="F157" s="16"/>
      <c r="G157" s="68"/>
      <c r="H157" s="16"/>
      <c r="I157" s="68"/>
      <c r="J157" s="16"/>
      <c r="K157" s="68"/>
    </row>
    <row r="158" spans="5:11" x14ac:dyDescent="0.2">
      <c r="E158" s="68"/>
      <c r="F158" s="16"/>
      <c r="G158" s="68"/>
      <c r="H158" s="16"/>
      <c r="I158" s="68"/>
      <c r="J158" s="16"/>
      <c r="K158" s="68"/>
    </row>
    <row r="159" spans="5:11" x14ac:dyDescent="0.2">
      <c r="E159" s="68"/>
      <c r="F159" s="16"/>
      <c r="G159" s="68"/>
      <c r="H159" s="16"/>
      <c r="I159" s="68"/>
      <c r="J159" s="16"/>
      <c r="K159" s="68"/>
    </row>
    <row r="160" spans="5:11" x14ac:dyDescent="0.2">
      <c r="E160" s="68"/>
      <c r="F160" s="16"/>
      <c r="G160" s="68"/>
      <c r="H160" s="16"/>
      <c r="I160" s="68"/>
      <c r="J160" s="16"/>
      <c r="K160" s="68"/>
    </row>
    <row r="161" spans="5:11" x14ac:dyDescent="0.2">
      <c r="E161" s="68"/>
      <c r="F161" s="16"/>
      <c r="G161" s="68"/>
      <c r="H161" s="16"/>
      <c r="I161" s="68"/>
      <c r="J161" s="16"/>
      <c r="K161" s="68"/>
    </row>
    <row r="162" spans="5:11" x14ac:dyDescent="0.2">
      <c r="E162" s="68"/>
      <c r="F162" s="16"/>
      <c r="G162" s="68"/>
      <c r="H162" s="16"/>
      <c r="I162" s="68"/>
      <c r="J162" s="16"/>
      <c r="K162" s="68"/>
    </row>
    <row r="163" spans="5:11" x14ac:dyDescent="0.2">
      <c r="E163" s="68"/>
      <c r="F163" s="16"/>
      <c r="G163" s="68"/>
      <c r="H163" s="16"/>
      <c r="I163" s="68"/>
      <c r="J163" s="16"/>
      <c r="K163" s="68"/>
    </row>
    <row r="164" spans="5:11" x14ac:dyDescent="0.2">
      <c r="E164" s="68"/>
      <c r="F164" s="16"/>
      <c r="G164" s="68"/>
      <c r="H164" s="16"/>
      <c r="I164" s="68"/>
      <c r="J164" s="16"/>
      <c r="K164" s="68"/>
    </row>
    <row r="165" spans="5:11" x14ac:dyDescent="0.2">
      <c r="E165" s="68"/>
      <c r="F165" s="16"/>
      <c r="G165" s="68"/>
      <c r="H165" s="16"/>
      <c r="I165" s="68"/>
      <c r="J165" s="16"/>
      <c r="K165" s="68"/>
    </row>
    <row r="166" spans="5:11" x14ac:dyDescent="0.2">
      <c r="E166" s="68"/>
      <c r="F166" s="16"/>
      <c r="G166" s="68"/>
      <c r="H166" s="16"/>
      <c r="I166" s="68"/>
      <c r="J166" s="16"/>
      <c r="K166" s="68"/>
    </row>
    <row r="167" spans="5:11" x14ac:dyDescent="0.2">
      <c r="E167" s="68"/>
      <c r="F167" s="16"/>
      <c r="G167" s="68"/>
      <c r="H167" s="16"/>
      <c r="I167" s="68"/>
      <c r="J167" s="16"/>
      <c r="K167" s="68"/>
    </row>
    <row r="168" spans="5:11" x14ac:dyDescent="0.2">
      <c r="E168" s="68"/>
      <c r="F168" s="16"/>
      <c r="G168" s="68"/>
      <c r="H168" s="16"/>
      <c r="I168" s="68"/>
      <c r="J168" s="16"/>
      <c r="K168" s="68"/>
    </row>
    <row r="169" spans="5:11" x14ac:dyDescent="0.2">
      <c r="E169" s="68"/>
      <c r="F169" s="16"/>
      <c r="G169" s="68"/>
      <c r="H169" s="16"/>
      <c r="I169" s="68"/>
      <c r="J169" s="16"/>
      <c r="K169" s="68"/>
    </row>
    <row r="170" spans="5:11" x14ac:dyDescent="0.2">
      <c r="E170" s="68"/>
      <c r="F170" s="16"/>
      <c r="G170" s="68"/>
      <c r="H170" s="16"/>
      <c r="I170" s="68"/>
      <c r="J170" s="16"/>
      <c r="K170" s="68"/>
    </row>
    <row r="171" spans="5:11" x14ac:dyDescent="0.2">
      <c r="E171" s="68"/>
      <c r="F171" s="16"/>
      <c r="G171" s="68"/>
      <c r="H171" s="16"/>
      <c r="I171" s="68"/>
      <c r="J171" s="16"/>
      <c r="K171" s="68"/>
    </row>
    <row r="172" spans="5:11" x14ac:dyDescent="0.2">
      <c r="E172" s="68"/>
      <c r="F172" s="16"/>
      <c r="G172" s="68"/>
      <c r="H172" s="16"/>
      <c r="I172" s="68"/>
      <c r="J172" s="16"/>
      <c r="K172" s="68"/>
    </row>
  </sheetData>
  <mergeCells count="26">
    <mergeCell ref="A7:K7"/>
    <mergeCell ref="E123:G123"/>
    <mergeCell ref="B121:E121"/>
    <mergeCell ref="A10:K10"/>
    <mergeCell ref="A25:K25"/>
    <mergeCell ref="A70:J70"/>
    <mergeCell ref="A84:J84"/>
    <mergeCell ref="A91:J91"/>
    <mergeCell ref="A107:J107"/>
    <mergeCell ref="A113:J113"/>
    <mergeCell ref="A42:J42"/>
    <mergeCell ref="A17:K17"/>
    <mergeCell ref="H1:K1"/>
    <mergeCell ref="B4:B6"/>
    <mergeCell ref="C4:C6"/>
    <mergeCell ref="D5:D6"/>
    <mergeCell ref="E5:E6"/>
    <mergeCell ref="D4:E4"/>
    <mergeCell ref="F4:F5"/>
    <mergeCell ref="A2:K2"/>
    <mergeCell ref="J4:J5"/>
    <mergeCell ref="K4:K5"/>
    <mergeCell ref="G4:G5"/>
    <mergeCell ref="H4:H5"/>
    <mergeCell ref="I4:I5"/>
    <mergeCell ref="A4:A5"/>
  </mergeCells>
  <printOptions horizontalCentered="1"/>
  <pageMargins left="0.70866141732283472" right="0.31496062992125984" top="0.35433070866141736" bottom="0.35433070866141736" header="0.31496062992125984" footer="0.31496062992125984"/>
  <pageSetup paperSize="9" scale="6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13"/>
  <sheetViews>
    <sheetView zoomScaleNormal="100" workbookViewId="0">
      <pane ySplit="6" topLeftCell="A136" activePane="bottomLeft" state="frozen"/>
      <selection pane="bottomLeft" activeCell="X124" sqref="X124"/>
    </sheetView>
  </sheetViews>
  <sheetFormatPr defaultColWidth="9.140625" defaultRowHeight="12.75" x14ac:dyDescent="0.2"/>
  <cols>
    <col min="1" max="1" width="4.42578125" style="68" customWidth="1"/>
    <col min="2" max="2" width="32.140625" style="19" customWidth="1"/>
    <col min="3" max="3" width="3.42578125" style="20" hidden="1" customWidth="1"/>
    <col min="4" max="5" width="8.42578125" style="16" customWidth="1"/>
    <col min="6" max="6" width="9.85546875" style="207" customWidth="1"/>
    <col min="7" max="7" width="10.5703125" style="207" customWidth="1"/>
    <col min="8" max="8" width="8.5703125" style="207" customWidth="1"/>
    <col min="9" max="9" width="10.140625" style="208" customWidth="1"/>
    <col min="10" max="10" width="10.42578125" style="208" customWidth="1"/>
    <col min="11" max="11" width="8.5703125" style="208" customWidth="1"/>
    <col min="12" max="12" width="9" style="208" customWidth="1"/>
    <col min="13" max="13" width="9.85546875" style="208" customWidth="1"/>
    <col min="14" max="14" width="8.5703125" style="208" customWidth="1"/>
    <col min="15" max="15" width="10" style="208" customWidth="1"/>
    <col min="16" max="16" width="9.5703125" style="208" customWidth="1"/>
    <col min="17" max="17" width="8.5703125" style="208" customWidth="1"/>
    <col min="18" max="18" width="10.5703125" style="208" customWidth="1"/>
    <col min="19" max="19" width="10.42578125" style="208" customWidth="1"/>
    <col min="20" max="20" width="8.5703125" style="208" customWidth="1"/>
    <col min="21" max="22" width="9.5703125" style="208" customWidth="1"/>
    <col min="23" max="23" width="8.5703125" style="208" customWidth="1"/>
    <col min="24" max="24" width="36.140625" style="208" customWidth="1"/>
    <col min="25" max="25" width="30.140625" style="39" customWidth="1"/>
    <col min="26" max="16384" width="9.140625" style="20"/>
  </cols>
  <sheetData>
    <row r="1" spans="1:25" ht="21.75" customHeight="1" x14ac:dyDescent="0.2">
      <c r="A1" s="191"/>
      <c r="C1" s="19"/>
      <c r="D1" s="41"/>
      <c r="E1" s="41"/>
      <c r="F1" s="70"/>
      <c r="G1" s="70"/>
      <c r="H1" s="70"/>
      <c r="I1" s="21"/>
      <c r="J1" s="21"/>
      <c r="K1" s="21"/>
      <c r="L1" s="156"/>
      <c r="M1" s="156"/>
      <c r="N1" s="156"/>
      <c r="O1" s="156"/>
      <c r="P1" s="156"/>
      <c r="Q1" s="156"/>
      <c r="R1" s="156"/>
      <c r="S1" s="156"/>
      <c r="T1" s="156"/>
      <c r="U1" s="156"/>
      <c r="V1" s="156"/>
      <c r="W1" s="156"/>
      <c r="X1" s="176" t="s">
        <v>216</v>
      </c>
      <c r="Y1" s="20"/>
    </row>
    <row r="2" spans="1:25" ht="23.85" customHeight="1" x14ac:dyDescent="0.2">
      <c r="A2" s="280" t="s">
        <v>115</v>
      </c>
      <c r="B2" s="280"/>
      <c r="C2" s="280"/>
      <c r="D2" s="280"/>
      <c r="E2" s="280"/>
      <c r="F2" s="280"/>
      <c r="G2" s="280"/>
      <c r="H2" s="280"/>
      <c r="I2" s="280"/>
      <c r="J2" s="280"/>
      <c r="K2" s="280"/>
      <c r="L2" s="280"/>
      <c r="M2" s="280"/>
      <c r="N2" s="280"/>
      <c r="O2" s="280"/>
      <c r="P2" s="280"/>
      <c r="Q2" s="280"/>
      <c r="R2" s="280"/>
      <c r="S2" s="280"/>
      <c r="T2" s="280"/>
      <c r="U2" s="280"/>
      <c r="V2" s="280"/>
      <c r="W2" s="280"/>
      <c r="X2" s="280"/>
    </row>
    <row r="3" spans="1:25" ht="12" customHeight="1" x14ac:dyDescent="0.2">
      <c r="A3" s="191"/>
      <c r="C3" s="19"/>
      <c r="D3" s="41"/>
      <c r="E3" s="19"/>
      <c r="F3" s="41"/>
      <c r="G3" s="41"/>
      <c r="H3" s="41"/>
      <c r="I3" s="19"/>
      <c r="J3" s="19"/>
      <c r="K3" s="19"/>
      <c r="L3" s="41"/>
      <c r="M3" s="41"/>
      <c r="N3" s="41"/>
      <c r="O3" s="19"/>
      <c r="P3" s="19"/>
      <c r="Q3" s="19"/>
      <c r="R3" s="41"/>
      <c r="S3" s="41"/>
      <c r="T3" s="41"/>
      <c r="U3" s="41"/>
      <c r="V3" s="41"/>
      <c r="W3" s="41"/>
      <c r="X3" s="40" t="s">
        <v>124</v>
      </c>
    </row>
    <row r="4" spans="1:25" ht="44.1" customHeight="1" x14ac:dyDescent="0.2">
      <c r="A4" s="318" t="s">
        <v>101</v>
      </c>
      <c r="B4" s="273" t="s">
        <v>0</v>
      </c>
      <c r="C4" s="320" t="s">
        <v>22</v>
      </c>
      <c r="D4" s="278" t="s">
        <v>12</v>
      </c>
      <c r="E4" s="278"/>
      <c r="F4" s="297" t="s">
        <v>14</v>
      </c>
      <c r="G4" s="298"/>
      <c r="H4" s="299"/>
      <c r="I4" s="297" t="s">
        <v>1</v>
      </c>
      <c r="J4" s="298"/>
      <c r="K4" s="299"/>
      <c r="L4" s="297" t="s">
        <v>2</v>
      </c>
      <c r="M4" s="298"/>
      <c r="N4" s="299"/>
      <c r="O4" s="297" t="s">
        <v>3</v>
      </c>
      <c r="P4" s="298"/>
      <c r="Q4" s="299"/>
      <c r="R4" s="297" t="s">
        <v>4</v>
      </c>
      <c r="S4" s="298"/>
      <c r="T4" s="299"/>
      <c r="U4" s="297" t="s">
        <v>17</v>
      </c>
      <c r="V4" s="298"/>
      <c r="W4" s="299"/>
      <c r="X4" s="281" t="s">
        <v>215</v>
      </c>
    </row>
    <row r="5" spans="1:25" x14ac:dyDescent="0.2">
      <c r="A5" s="319"/>
      <c r="B5" s="274"/>
      <c r="C5" s="321"/>
      <c r="D5" s="276" t="s">
        <v>5</v>
      </c>
      <c r="E5" s="276" t="s">
        <v>6</v>
      </c>
      <c r="F5" s="300" t="s">
        <v>13</v>
      </c>
      <c r="G5" s="301"/>
      <c r="H5" s="302"/>
      <c r="I5" s="300" t="s">
        <v>7</v>
      </c>
      <c r="J5" s="301"/>
      <c r="K5" s="302"/>
      <c r="L5" s="300" t="s">
        <v>8</v>
      </c>
      <c r="M5" s="301"/>
      <c r="N5" s="302"/>
      <c r="O5" s="300" t="s">
        <v>9</v>
      </c>
      <c r="P5" s="301"/>
      <c r="Q5" s="302"/>
      <c r="R5" s="300" t="s">
        <v>10</v>
      </c>
      <c r="S5" s="301"/>
      <c r="T5" s="302"/>
      <c r="U5" s="300" t="s">
        <v>55</v>
      </c>
      <c r="V5" s="301"/>
      <c r="W5" s="302"/>
      <c r="X5" s="281"/>
    </row>
    <row r="6" spans="1:25" ht="45.75" customHeight="1" x14ac:dyDescent="0.2">
      <c r="A6" s="85"/>
      <c r="B6" s="275"/>
      <c r="C6" s="322"/>
      <c r="D6" s="277"/>
      <c r="E6" s="277"/>
      <c r="F6" s="190" t="s">
        <v>212</v>
      </c>
      <c r="G6" s="190" t="s">
        <v>213</v>
      </c>
      <c r="H6" s="190" t="s">
        <v>214</v>
      </c>
      <c r="I6" s="190" t="s">
        <v>212</v>
      </c>
      <c r="J6" s="190" t="s">
        <v>213</v>
      </c>
      <c r="K6" s="190" t="s">
        <v>214</v>
      </c>
      <c r="L6" s="190" t="s">
        <v>212</v>
      </c>
      <c r="M6" s="190" t="s">
        <v>213</v>
      </c>
      <c r="N6" s="190" t="s">
        <v>214</v>
      </c>
      <c r="O6" s="190" t="s">
        <v>212</v>
      </c>
      <c r="P6" s="190" t="s">
        <v>213</v>
      </c>
      <c r="Q6" s="190" t="s">
        <v>214</v>
      </c>
      <c r="R6" s="190" t="s">
        <v>212</v>
      </c>
      <c r="S6" s="190" t="s">
        <v>213</v>
      </c>
      <c r="T6" s="190" t="s">
        <v>214</v>
      </c>
      <c r="U6" s="190" t="s">
        <v>212</v>
      </c>
      <c r="V6" s="190" t="s">
        <v>213</v>
      </c>
      <c r="W6" s="190" t="s">
        <v>214</v>
      </c>
      <c r="X6" s="189"/>
    </row>
    <row r="7" spans="1:25" ht="15" customHeight="1" x14ac:dyDescent="0.2">
      <c r="A7" s="284" t="s">
        <v>146</v>
      </c>
      <c r="B7" s="285"/>
      <c r="C7" s="285"/>
      <c r="D7" s="285"/>
      <c r="E7" s="285"/>
      <c r="F7" s="285"/>
      <c r="G7" s="285"/>
      <c r="H7" s="285"/>
      <c r="I7" s="285"/>
      <c r="J7" s="285"/>
      <c r="K7" s="285"/>
      <c r="L7" s="285"/>
      <c r="M7" s="285"/>
      <c r="N7" s="285"/>
      <c r="O7" s="285"/>
      <c r="P7" s="285"/>
      <c r="Q7" s="285"/>
      <c r="R7" s="285"/>
      <c r="S7" s="285"/>
      <c r="T7" s="285"/>
      <c r="U7" s="285"/>
      <c r="V7" s="285"/>
      <c r="W7" s="285"/>
      <c r="X7" s="286"/>
      <c r="Y7" s="134"/>
    </row>
    <row r="8" spans="1:25" ht="40.5" customHeight="1" x14ac:dyDescent="0.2">
      <c r="A8" s="75" t="s">
        <v>90</v>
      </c>
      <c r="B8" s="27" t="s">
        <v>95</v>
      </c>
      <c r="C8" s="24" t="s">
        <v>81</v>
      </c>
      <c r="D8" s="7" t="s">
        <v>27</v>
      </c>
      <c r="E8" s="7" t="s">
        <v>46</v>
      </c>
      <c r="F8" s="94">
        <f t="shared" ref="F8:G11" si="0">+I8+L8+O8+R8+U8</f>
        <v>654.1</v>
      </c>
      <c r="G8" s="94">
        <f t="shared" si="0"/>
        <v>654.1</v>
      </c>
      <c r="H8" s="94"/>
      <c r="I8" s="22">
        <v>32</v>
      </c>
      <c r="J8" s="22">
        <v>32</v>
      </c>
      <c r="K8" s="22"/>
      <c r="L8" s="22">
        <v>555.6</v>
      </c>
      <c r="M8" s="22">
        <v>555.6</v>
      </c>
      <c r="N8" s="22"/>
      <c r="O8" s="22"/>
      <c r="P8" s="22"/>
      <c r="Q8" s="22"/>
      <c r="R8" s="22"/>
      <c r="S8" s="22"/>
      <c r="T8" s="22"/>
      <c r="U8" s="22">
        <v>66.5</v>
      </c>
      <c r="V8" s="22">
        <v>66.5</v>
      </c>
      <c r="W8" s="22"/>
      <c r="X8" s="22"/>
      <c r="Y8" s="185"/>
    </row>
    <row r="9" spans="1:25" ht="39.6" customHeight="1" x14ac:dyDescent="0.2">
      <c r="A9" s="194">
        <v>2</v>
      </c>
      <c r="B9" s="28" t="s">
        <v>139</v>
      </c>
      <c r="C9" s="24" t="s">
        <v>42</v>
      </c>
      <c r="D9" s="12" t="s">
        <v>18</v>
      </c>
      <c r="E9" s="8" t="s">
        <v>119</v>
      </c>
      <c r="F9" s="74">
        <f t="shared" si="0"/>
        <v>1872.4</v>
      </c>
      <c r="G9" s="74">
        <f t="shared" si="0"/>
        <v>1872.4</v>
      </c>
      <c r="H9" s="74"/>
      <c r="I9" s="195">
        <v>1372.4</v>
      </c>
      <c r="J9" s="195">
        <v>1372.4</v>
      </c>
      <c r="K9" s="195"/>
      <c r="L9" s="195"/>
      <c r="M9" s="195"/>
      <c r="N9" s="22"/>
      <c r="O9" s="22"/>
      <c r="P9" s="22"/>
      <c r="Q9" s="22"/>
      <c r="R9" s="195"/>
      <c r="S9" s="22"/>
      <c r="T9" s="22"/>
      <c r="U9" s="22">
        <v>500</v>
      </c>
      <c r="V9" s="22">
        <v>500</v>
      </c>
      <c r="W9" s="22"/>
      <c r="X9" s="22"/>
    </row>
    <row r="10" spans="1:25" ht="52.5" customHeight="1" x14ac:dyDescent="0.2">
      <c r="A10" s="79"/>
      <c r="B10" s="48" t="s">
        <v>202</v>
      </c>
      <c r="C10" s="150" t="s">
        <v>42</v>
      </c>
      <c r="D10" s="120" t="s">
        <v>52</v>
      </c>
      <c r="E10" s="148"/>
      <c r="F10" s="151">
        <f t="shared" si="0"/>
        <v>5200</v>
      </c>
      <c r="G10" s="151">
        <f t="shared" si="0"/>
        <v>5200</v>
      </c>
      <c r="H10" s="151"/>
      <c r="I10" s="122">
        <v>950</v>
      </c>
      <c r="J10" s="122">
        <v>950</v>
      </c>
      <c r="K10" s="122"/>
      <c r="L10" s="122">
        <v>4250</v>
      </c>
      <c r="M10" s="122">
        <v>4250</v>
      </c>
      <c r="N10" s="197"/>
      <c r="O10" s="197"/>
      <c r="P10" s="197"/>
      <c r="Q10" s="197"/>
      <c r="R10" s="122"/>
      <c r="S10" s="197"/>
      <c r="T10" s="197"/>
      <c r="U10" s="197">
        <v>0</v>
      </c>
      <c r="V10" s="197">
        <v>0</v>
      </c>
      <c r="W10" s="197"/>
      <c r="X10" s="197"/>
    </row>
    <row r="11" spans="1:25" ht="25.5" customHeight="1" x14ac:dyDescent="0.2">
      <c r="A11" s="80">
        <v>3</v>
      </c>
      <c r="B11" s="115" t="s">
        <v>211</v>
      </c>
      <c r="C11" s="116"/>
      <c r="D11" s="116">
        <v>2022</v>
      </c>
      <c r="E11" s="55" t="s">
        <v>98</v>
      </c>
      <c r="F11" s="74">
        <f t="shared" si="0"/>
        <v>1562</v>
      </c>
      <c r="G11" s="74">
        <f t="shared" si="0"/>
        <v>1562</v>
      </c>
      <c r="H11" s="74"/>
      <c r="I11" s="23">
        <v>372</v>
      </c>
      <c r="J11" s="23">
        <v>372</v>
      </c>
      <c r="K11" s="23"/>
      <c r="L11" s="23">
        <v>1190</v>
      </c>
      <c r="M11" s="23">
        <v>1190</v>
      </c>
      <c r="N11" s="195"/>
      <c r="O11" s="195"/>
      <c r="P11" s="195"/>
      <c r="Q11" s="195"/>
      <c r="R11" s="195"/>
      <c r="S11" s="195"/>
      <c r="T11" s="195"/>
      <c r="U11" s="195"/>
      <c r="V11" s="195"/>
      <c r="W11" s="195"/>
      <c r="X11" s="195"/>
      <c r="Y11" s="110"/>
    </row>
    <row r="12" spans="1:25" ht="16.5" customHeight="1" x14ac:dyDescent="0.2">
      <c r="A12" s="76">
        <v>3</v>
      </c>
      <c r="B12" s="147" t="s">
        <v>134</v>
      </c>
      <c r="C12" s="118"/>
      <c r="D12" s="97"/>
      <c r="E12" s="59" t="s">
        <v>13</v>
      </c>
      <c r="F12" s="113">
        <f t="shared" ref="F12:T12" si="1">SUM(F8:F11)</f>
        <v>9288.5</v>
      </c>
      <c r="G12" s="113">
        <f>SUM(G8:G11)</f>
        <v>9288.5</v>
      </c>
      <c r="H12" s="131">
        <f t="shared" si="1"/>
        <v>0</v>
      </c>
      <c r="I12" s="131">
        <f t="shared" si="1"/>
        <v>2726.4</v>
      </c>
      <c r="J12" s="131">
        <f t="shared" si="1"/>
        <v>2726.4</v>
      </c>
      <c r="K12" s="131">
        <f t="shared" si="1"/>
        <v>0</v>
      </c>
      <c r="L12" s="113">
        <f t="shared" si="1"/>
        <v>5995.6</v>
      </c>
      <c r="M12" s="113">
        <f t="shared" si="1"/>
        <v>5995.6</v>
      </c>
      <c r="N12" s="131">
        <f t="shared" si="1"/>
        <v>0</v>
      </c>
      <c r="O12" s="131">
        <f t="shared" si="1"/>
        <v>0</v>
      </c>
      <c r="P12" s="131">
        <f t="shared" si="1"/>
        <v>0</v>
      </c>
      <c r="Q12" s="131">
        <f t="shared" si="1"/>
        <v>0</v>
      </c>
      <c r="R12" s="131">
        <f t="shared" si="1"/>
        <v>0</v>
      </c>
      <c r="S12" s="131">
        <f t="shared" si="1"/>
        <v>0</v>
      </c>
      <c r="T12" s="131">
        <f t="shared" si="1"/>
        <v>0</v>
      </c>
      <c r="U12" s="113">
        <f t="shared" ref="U12:W12" si="2">SUM(U8:U11)</f>
        <v>566.5</v>
      </c>
      <c r="V12" s="113">
        <f t="shared" si="2"/>
        <v>566.5</v>
      </c>
      <c r="W12" s="131">
        <f t="shared" si="2"/>
        <v>0</v>
      </c>
      <c r="X12" s="164"/>
    </row>
    <row r="13" spans="1:25" ht="15" customHeight="1" x14ac:dyDescent="0.2">
      <c r="A13" s="284" t="s">
        <v>192</v>
      </c>
      <c r="B13" s="285"/>
      <c r="C13" s="285"/>
      <c r="D13" s="285"/>
      <c r="E13" s="285"/>
      <c r="F13" s="285"/>
      <c r="G13" s="285"/>
      <c r="H13" s="285"/>
      <c r="I13" s="285"/>
      <c r="J13" s="285"/>
      <c r="K13" s="285"/>
      <c r="L13" s="285"/>
      <c r="M13" s="285"/>
      <c r="N13" s="285"/>
      <c r="O13" s="285"/>
      <c r="P13" s="285"/>
      <c r="Q13" s="285"/>
      <c r="R13" s="285"/>
      <c r="S13" s="285"/>
      <c r="T13" s="285"/>
      <c r="U13" s="285"/>
      <c r="V13" s="285"/>
      <c r="W13" s="285"/>
      <c r="X13" s="286"/>
      <c r="Y13" s="134"/>
    </row>
    <row r="14" spans="1:25" ht="32.85" customHeight="1" x14ac:dyDescent="0.2">
      <c r="A14" s="75" t="s">
        <v>90</v>
      </c>
      <c r="B14" s="27" t="s">
        <v>159</v>
      </c>
      <c r="C14" s="24" t="s">
        <v>178</v>
      </c>
      <c r="D14" s="7" t="s">
        <v>46</v>
      </c>
      <c r="E14" s="7"/>
      <c r="F14" s="94">
        <f>+I14+L14+O14+R14+U14</f>
        <v>24</v>
      </c>
      <c r="G14" s="94">
        <f>+J14+M14+P14+S14+V14</f>
        <v>24</v>
      </c>
      <c r="H14" s="94"/>
      <c r="I14" s="22">
        <v>24</v>
      </c>
      <c r="J14" s="22">
        <v>24</v>
      </c>
      <c r="K14" s="22"/>
      <c r="L14" s="22"/>
      <c r="M14" s="22"/>
      <c r="N14" s="22"/>
      <c r="O14" s="22"/>
      <c r="P14" s="22"/>
      <c r="Q14" s="22"/>
      <c r="R14" s="22"/>
      <c r="S14" s="22"/>
      <c r="T14" s="22"/>
      <c r="U14" s="22"/>
      <c r="V14" s="22"/>
      <c r="W14" s="22"/>
      <c r="X14" s="22"/>
      <c r="Y14" s="185"/>
    </row>
    <row r="15" spans="1:25" ht="16.5" customHeight="1" x14ac:dyDescent="0.2">
      <c r="A15" s="76">
        <v>1</v>
      </c>
      <c r="B15" s="147" t="s">
        <v>198</v>
      </c>
      <c r="C15" s="118"/>
      <c r="D15" s="97"/>
      <c r="E15" s="59" t="s">
        <v>13</v>
      </c>
      <c r="F15" s="131">
        <f>+F14</f>
        <v>24</v>
      </c>
      <c r="G15" s="131">
        <f>+G14</f>
        <v>24</v>
      </c>
      <c r="H15" s="131">
        <f>+H14</f>
        <v>0</v>
      </c>
      <c r="I15" s="131">
        <f t="shared" ref="I15:T15" si="3">+I14</f>
        <v>24</v>
      </c>
      <c r="J15" s="131">
        <f t="shared" si="3"/>
        <v>24</v>
      </c>
      <c r="K15" s="131">
        <f t="shared" si="3"/>
        <v>0</v>
      </c>
      <c r="L15" s="131">
        <f t="shared" si="3"/>
        <v>0</v>
      </c>
      <c r="M15" s="131">
        <f t="shared" si="3"/>
        <v>0</v>
      </c>
      <c r="N15" s="131">
        <f t="shared" si="3"/>
        <v>0</v>
      </c>
      <c r="O15" s="131">
        <f t="shared" si="3"/>
        <v>0</v>
      </c>
      <c r="P15" s="131">
        <f t="shared" si="3"/>
        <v>0</v>
      </c>
      <c r="Q15" s="131">
        <f t="shared" si="3"/>
        <v>0</v>
      </c>
      <c r="R15" s="131">
        <f t="shared" si="3"/>
        <v>0</v>
      </c>
      <c r="S15" s="131">
        <f t="shared" si="3"/>
        <v>0</v>
      </c>
      <c r="T15" s="131">
        <f t="shared" si="3"/>
        <v>0</v>
      </c>
      <c r="U15" s="131">
        <f t="shared" ref="U15:W15" si="4">+U14</f>
        <v>0</v>
      </c>
      <c r="V15" s="131">
        <f t="shared" si="4"/>
        <v>0</v>
      </c>
      <c r="W15" s="131">
        <f t="shared" si="4"/>
        <v>0</v>
      </c>
      <c r="X15" s="165"/>
    </row>
    <row r="16" spans="1:25" s="33" customFormat="1" ht="16.5" customHeight="1" x14ac:dyDescent="0.25">
      <c r="A16" s="309" t="s">
        <v>167</v>
      </c>
      <c r="B16" s="310"/>
      <c r="C16" s="310"/>
      <c r="D16" s="310"/>
      <c r="E16" s="310"/>
      <c r="F16" s="310"/>
      <c r="G16" s="310"/>
      <c r="H16" s="310"/>
      <c r="I16" s="310"/>
      <c r="J16" s="310"/>
      <c r="K16" s="310"/>
      <c r="L16" s="310"/>
      <c r="M16" s="310"/>
      <c r="N16" s="310"/>
      <c r="O16" s="310"/>
      <c r="P16" s="310"/>
      <c r="Q16" s="310"/>
      <c r="R16" s="310"/>
      <c r="S16" s="310"/>
      <c r="T16" s="310"/>
      <c r="U16" s="310"/>
      <c r="V16" s="310"/>
      <c r="W16" s="310"/>
      <c r="X16" s="311"/>
    </row>
    <row r="17" spans="1:25" s="33" customFormat="1" ht="41.25" customHeight="1" x14ac:dyDescent="0.25">
      <c r="A17" s="75" t="s">
        <v>90</v>
      </c>
      <c r="B17" s="25" t="s">
        <v>60</v>
      </c>
      <c r="C17" s="23" t="s">
        <v>54</v>
      </c>
      <c r="D17" s="7">
        <v>2017</v>
      </c>
      <c r="E17" s="7" t="s">
        <v>46</v>
      </c>
      <c r="F17" s="71">
        <f t="shared" ref="F17:G26" si="5">+I17+L17+O17+R17+U17</f>
        <v>2432</v>
      </c>
      <c r="G17" s="71">
        <f t="shared" si="5"/>
        <v>2432</v>
      </c>
      <c r="H17" s="71"/>
      <c r="I17" s="23">
        <v>847</v>
      </c>
      <c r="J17" s="23">
        <v>847</v>
      </c>
      <c r="K17" s="23"/>
      <c r="L17" s="23"/>
      <c r="M17" s="23"/>
      <c r="N17" s="23"/>
      <c r="O17" s="23"/>
      <c r="P17" s="23"/>
      <c r="Q17" s="23"/>
      <c r="R17" s="23"/>
      <c r="S17" s="23"/>
      <c r="T17" s="23"/>
      <c r="U17" s="23">
        <v>1585</v>
      </c>
      <c r="V17" s="23">
        <v>1585</v>
      </c>
      <c r="W17" s="23"/>
      <c r="X17" s="23"/>
      <c r="Y17" s="109"/>
    </row>
    <row r="18" spans="1:25" s="33" customFormat="1" ht="42" customHeight="1" x14ac:dyDescent="0.25">
      <c r="A18" s="75" t="s">
        <v>70</v>
      </c>
      <c r="B18" s="25" t="s">
        <v>57</v>
      </c>
      <c r="C18" s="23" t="s">
        <v>47</v>
      </c>
      <c r="D18" s="7">
        <v>2017</v>
      </c>
      <c r="E18" s="7" t="s">
        <v>21</v>
      </c>
      <c r="F18" s="71">
        <f>I18+L18+O18+R18+U18</f>
        <v>1209.2</v>
      </c>
      <c r="G18" s="71">
        <v>1209.2</v>
      </c>
      <c r="H18" s="71"/>
      <c r="I18" s="23">
        <v>1209.2</v>
      </c>
      <c r="J18" s="23">
        <v>1209.2</v>
      </c>
      <c r="K18" s="23"/>
      <c r="L18" s="23"/>
      <c r="M18" s="23"/>
      <c r="N18" s="23"/>
      <c r="O18" s="23"/>
      <c r="P18" s="23"/>
      <c r="Q18" s="23"/>
      <c r="R18" s="23"/>
      <c r="S18" s="23"/>
      <c r="T18" s="23"/>
      <c r="U18" s="23"/>
      <c r="V18" s="23"/>
      <c r="W18" s="23"/>
      <c r="X18" s="49"/>
    </row>
    <row r="19" spans="1:25" s="33" customFormat="1" ht="42" customHeight="1" x14ac:dyDescent="0.25">
      <c r="A19" s="75" t="s">
        <v>102</v>
      </c>
      <c r="B19" s="25" t="s">
        <v>34</v>
      </c>
      <c r="C19" s="23" t="s">
        <v>54</v>
      </c>
      <c r="D19" s="7">
        <v>2017</v>
      </c>
      <c r="E19" s="7" t="s">
        <v>50</v>
      </c>
      <c r="F19" s="71">
        <f t="shared" si="5"/>
        <v>595</v>
      </c>
      <c r="G19" s="71">
        <f t="shared" si="5"/>
        <v>595</v>
      </c>
      <c r="H19" s="71"/>
      <c r="I19" s="26"/>
      <c r="J19" s="26"/>
      <c r="K19" s="26"/>
      <c r="L19" s="26"/>
      <c r="M19" s="26"/>
      <c r="N19" s="26"/>
      <c r="O19" s="26"/>
      <c r="P19" s="26"/>
      <c r="Q19" s="26"/>
      <c r="R19" s="26"/>
      <c r="S19" s="26"/>
      <c r="T19" s="26"/>
      <c r="U19" s="26">
        <v>595</v>
      </c>
      <c r="V19" s="26">
        <v>595</v>
      </c>
      <c r="W19" s="26"/>
      <c r="X19" s="26"/>
    </row>
    <row r="20" spans="1:25" s="33" customFormat="1" ht="42" customHeight="1" x14ac:dyDescent="0.25">
      <c r="A20" s="75" t="s">
        <v>103</v>
      </c>
      <c r="B20" s="25" t="s">
        <v>94</v>
      </c>
      <c r="C20" s="23"/>
      <c r="D20" s="7">
        <v>2018</v>
      </c>
      <c r="E20" s="7">
        <v>2025</v>
      </c>
      <c r="F20" s="74">
        <f t="shared" si="5"/>
        <v>4401.7</v>
      </c>
      <c r="G20" s="74">
        <f t="shared" si="5"/>
        <v>4401.7</v>
      </c>
      <c r="H20" s="74"/>
      <c r="I20" s="38">
        <v>4401.7</v>
      </c>
      <c r="J20" s="38">
        <v>4401.7</v>
      </c>
      <c r="K20" s="38"/>
      <c r="L20" s="38"/>
      <c r="M20" s="38"/>
      <c r="N20" s="38"/>
      <c r="O20" s="38"/>
      <c r="P20" s="38"/>
      <c r="Q20" s="38"/>
      <c r="R20" s="38"/>
      <c r="S20" s="38"/>
      <c r="T20" s="38"/>
      <c r="U20" s="38"/>
      <c r="V20" s="38"/>
      <c r="W20" s="38"/>
      <c r="X20" s="38"/>
    </row>
    <row r="21" spans="1:25" s="33" customFormat="1" ht="46.35" customHeight="1" x14ac:dyDescent="0.25">
      <c r="A21" s="75" t="s">
        <v>19</v>
      </c>
      <c r="B21" s="25" t="s">
        <v>128</v>
      </c>
      <c r="C21" s="23"/>
      <c r="D21" s="7" t="s">
        <v>21</v>
      </c>
      <c r="E21" s="7" t="s">
        <v>46</v>
      </c>
      <c r="F21" s="74">
        <f t="shared" si="5"/>
        <v>5199.8</v>
      </c>
      <c r="G21" s="74">
        <v>5199.8</v>
      </c>
      <c r="H21" s="74"/>
      <c r="I21" s="38"/>
      <c r="J21" s="38"/>
      <c r="K21" s="38"/>
      <c r="L21" s="38"/>
      <c r="M21" s="38"/>
      <c r="N21" s="38"/>
      <c r="O21" s="38">
        <v>5199.8</v>
      </c>
      <c r="P21" s="38">
        <v>5199.8</v>
      </c>
      <c r="Q21" s="38"/>
      <c r="R21" s="38"/>
      <c r="S21" s="38"/>
      <c r="T21" s="38"/>
      <c r="U21" s="38"/>
      <c r="V21" s="38"/>
      <c r="W21" s="38"/>
      <c r="X21" s="137"/>
    </row>
    <row r="22" spans="1:25" s="33" customFormat="1" ht="41.25" customHeight="1" x14ac:dyDescent="0.25">
      <c r="A22" s="80">
        <v>6</v>
      </c>
      <c r="B22" s="25" t="s">
        <v>168</v>
      </c>
      <c r="C22" s="54" t="s">
        <v>169</v>
      </c>
      <c r="D22" s="7" t="s">
        <v>46</v>
      </c>
      <c r="E22" s="55" t="s">
        <v>50</v>
      </c>
      <c r="F22" s="74">
        <f t="shared" si="5"/>
        <v>210</v>
      </c>
      <c r="G22" s="74">
        <f t="shared" si="5"/>
        <v>210</v>
      </c>
      <c r="H22" s="74"/>
      <c r="I22" s="38">
        <v>210</v>
      </c>
      <c r="J22" s="38">
        <v>210</v>
      </c>
      <c r="K22" s="38"/>
      <c r="L22" s="38"/>
      <c r="M22" s="38"/>
      <c r="N22" s="38"/>
      <c r="O22" s="38"/>
      <c r="P22" s="38"/>
      <c r="Q22" s="38"/>
      <c r="R22" s="38"/>
      <c r="S22" s="38"/>
      <c r="T22" s="38"/>
      <c r="U22" s="38"/>
      <c r="V22" s="38"/>
      <c r="W22" s="38"/>
      <c r="X22" s="38"/>
    </row>
    <row r="23" spans="1:25" s="33" customFormat="1" ht="41.25" customHeight="1" x14ac:dyDescent="0.25">
      <c r="A23" s="80">
        <v>7</v>
      </c>
      <c r="B23" s="25" t="s">
        <v>210</v>
      </c>
      <c r="C23" s="54" t="s">
        <v>169</v>
      </c>
      <c r="D23" s="7" t="s">
        <v>46</v>
      </c>
      <c r="E23" s="55" t="s">
        <v>46</v>
      </c>
      <c r="F23" s="74">
        <f t="shared" si="5"/>
        <v>100</v>
      </c>
      <c r="G23" s="74">
        <f t="shared" si="5"/>
        <v>100</v>
      </c>
      <c r="H23" s="74"/>
      <c r="I23" s="38">
        <v>100</v>
      </c>
      <c r="J23" s="38">
        <v>100</v>
      </c>
      <c r="K23" s="38"/>
      <c r="L23" s="38"/>
      <c r="M23" s="38"/>
      <c r="N23" s="38"/>
      <c r="O23" s="38"/>
      <c r="P23" s="38"/>
      <c r="Q23" s="38"/>
      <c r="R23" s="38"/>
      <c r="S23" s="38"/>
      <c r="T23" s="38"/>
      <c r="U23" s="38"/>
      <c r="V23" s="38"/>
      <c r="W23" s="38"/>
      <c r="X23" s="38"/>
    </row>
    <row r="24" spans="1:25" s="33" customFormat="1" ht="41.25" customHeight="1" x14ac:dyDescent="0.25">
      <c r="A24" s="80">
        <v>8</v>
      </c>
      <c r="B24" s="25" t="s">
        <v>170</v>
      </c>
      <c r="C24" s="54" t="s">
        <v>171</v>
      </c>
      <c r="D24" s="7" t="s">
        <v>46</v>
      </c>
      <c r="E24" s="55" t="s">
        <v>46</v>
      </c>
      <c r="F24" s="74">
        <f t="shared" si="5"/>
        <v>200</v>
      </c>
      <c r="G24" s="74">
        <f t="shared" si="5"/>
        <v>200</v>
      </c>
      <c r="H24" s="74"/>
      <c r="I24" s="38"/>
      <c r="J24" s="38"/>
      <c r="K24" s="38"/>
      <c r="L24" s="38"/>
      <c r="M24" s="38"/>
      <c r="N24" s="38"/>
      <c r="O24" s="38"/>
      <c r="P24" s="38"/>
      <c r="Q24" s="38"/>
      <c r="R24" s="38"/>
      <c r="S24" s="38"/>
      <c r="T24" s="38"/>
      <c r="U24" s="38">
        <v>200</v>
      </c>
      <c r="V24" s="38">
        <v>200</v>
      </c>
      <c r="W24" s="38"/>
      <c r="X24" s="38"/>
    </row>
    <row r="25" spans="1:25" s="33" customFormat="1" ht="85.5" customHeight="1" x14ac:dyDescent="0.25">
      <c r="A25" s="80">
        <v>9</v>
      </c>
      <c r="B25" s="212" t="s">
        <v>189</v>
      </c>
      <c r="C25" s="23" t="s">
        <v>84</v>
      </c>
      <c r="D25" s="7" t="s">
        <v>21</v>
      </c>
      <c r="E25" s="7" t="s">
        <v>46</v>
      </c>
      <c r="F25" s="220">
        <f t="shared" si="5"/>
        <v>113.1</v>
      </c>
      <c r="G25" s="220">
        <f t="shared" si="5"/>
        <v>167.6</v>
      </c>
      <c r="H25" s="220">
        <f>+G25-F25</f>
        <v>54.5</v>
      </c>
      <c r="I25" s="219">
        <v>113.1</v>
      </c>
      <c r="J25" s="219">
        <f>113.1+54.5</f>
        <v>167.6</v>
      </c>
      <c r="K25" s="219">
        <f>+J25-I25</f>
        <v>54.5</v>
      </c>
      <c r="L25" s="38"/>
      <c r="M25" s="38"/>
      <c r="N25" s="38"/>
      <c r="O25" s="38"/>
      <c r="P25" s="38"/>
      <c r="Q25" s="38"/>
      <c r="R25" s="38"/>
      <c r="S25" s="38"/>
      <c r="T25" s="38"/>
      <c r="U25" s="38"/>
      <c r="V25" s="38"/>
      <c r="W25" s="38"/>
      <c r="X25" s="245" t="s">
        <v>240</v>
      </c>
      <c r="Y25" s="244" t="s">
        <v>244</v>
      </c>
    </row>
    <row r="26" spans="1:25" s="33" customFormat="1" ht="46.35" customHeight="1" x14ac:dyDescent="0.25">
      <c r="A26" s="80">
        <v>10</v>
      </c>
      <c r="B26" s="25" t="s">
        <v>190</v>
      </c>
      <c r="C26" s="23" t="s">
        <v>191</v>
      </c>
      <c r="D26" s="7" t="s">
        <v>46</v>
      </c>
      <c r="E26" s="7" t="s">
        <v>52</v>
      </c>
      <c r="F26" s="74">
        <f t="shared" si="5"/>
        <v>3938.3</v>
      </c>
      <c r="G26" s="74">
        <f t="shared" si="5"/>
        <v>3938.3</v>
      </c>
      <c r="H26" s="74"/>
      <c r="I26" s="38">
        <v>360</v>
      </c>
      <c r="J26" s="38">
        <v>360</v>
      </c>
      <c r="K26" s="38"/>
      <c r="L26" s="38">
        <v>3500</v>
      </c>
      <c r="M26" s="38">
        <v>3500</v>
      </c>
      <c r="N26" s="38"/>
      <c r="O26" s="38"/>
      <c r="P26" s="38"/>
      <c r="Q26" s="38"/>
      <c r="R26" s="38"/>
      <c r="S26" s="38"/>
      <c r="T26" s="38"/>
      <c r="U26" s="38">
        <v>78.3</v>
      </c>
      <c r="V26" s="38">
        <v>78.3</v>
      </c>
      <c r="W26" s="38"/>
      <c r="X26" s="38"/>
    </row>
    <row r="27" spans="1:25" s="33" customFormat="1" ht="18.75" customHeight="1" x14ac:dyDescent="0.25">
      <c r="A27" s="84">
        <v>10</v>
      </c>
      <c r="B27" s="117" t="s">
        <v>135</v>
      </c>
      <c r="C27" s="57"/>
      <c r="D27" s="58"/>
      <c r="E27" s="65" t="s">
        <v>13</v>
      </c>
      <c r="F27" s="66">
        <f>SUM(F17:F26)</f>
        <v>18399.100000000002</v>
      </c>
      <c r="G27" s="66">
        <f>SUM(G17:G26)</f>
        <v>18453.600000000002</v>
      </c>
      <c r="H27" s="66">
        <f t="shared" ref="H27:L27" si="6">SUM(H17:H26)</f>
        <v>54.5</v>
      </c>
      <c r="I27" s="66">
        <f>SUM(I17:I26)</f>
        <v>7241</v>
      </c>
      <c r="J27" s="66">
        <f t="shared" si="6"/>
        <v>7295.5</v>
      </c>
      <c r="K27" s="66">
        <f t="shared" si="6"/>
        <v>54.5</v>
      </c>
      <c r="L27" s="66">
        <f t="shared" si="6"/>
        <v>3500</v>
      </c>
      <c r="M27" s="66">
        <f t="shared" ref="M27" si="7">SUM(M17:M26)</f>
        <v>3500</v>
      </c>
      <c r="N27" s="66">
        <f t="shared" ref="N27:W27" si="8">SUM(N17:N26)</f>
        <v>0</v>
      </c>
      <c r="O27" s="66">
        <f t="shared" si="8"/>
        <v>5199.8</v>
      </c>
      <c r="P27" s="66">
        <f t="shared" si="8"/>
        <v>5199.8</v>
      </c>
      <c r="Q27" s="66">
        <f t="shared" si="8"/>
        <v>0</v>
      </c>
      <c r="R27" s="66">
        <f t="shared" si="8"/>
        <v>0</v>
      </c>
      <c r="S27" s="66">
        <f t="shared" si="8"/>
        <v>0</v>
      </c>
      <c r="T27" s="66">
        <f t="shared" si="8"/>
        <v>0</v>
      </c>
      <c r="U27" s="66">
        <f t="shared" si="8"/>
        <v>2458.3000000000002</v>
      </c>
      <c r="V27" s="66">
        <f t="shared" si="8"/>
        <v>2458.3000000000002</v>
      </c>
      <c r="W27" s="66">
        <f t="shared" si="8"/>
        <v>0</v>
      </c>
      <c r="X27" s="166"/>
    </row>
    <row r="28" spans="1:25" ht="17.25" customHeight="1" x14ac:dyDescent="0.2">
      <c r="A28" s="309" t="s">
        <v>15</v>
      </c>
      <c r="B28" s="310"/>
      <c r="C28" s="310"/>
      <c r="D28" s="310"/>
      <c r="E28" s="310"/>
      <c r="F28" s="310"/>
      <c r="G28" s="310"/>
      <c r="H28" s="310"/>
      <c r="I28" s="310"/>
      <c r="J28" s="310"/>
      <c r="K28" s="310"/>
      <c r="L28" s="310"/>
      <c r="M28" s="310"/>
      <c r="N28" s="310"/>
      <c r="O28" s="310"/>
      <c r="P28" s="310"/>
      <c r="Q28" s="310"/>
      <c r="R28" s="310"/>
      <c r="S28" s="310"/>
      <c r="T28" s="310"/>
      <c r="U28" s="310"/>
      <c r="V28" s="310"/>
      <c r="W28" s="310"/>
      <c r="X28" s="311"/>
      <c r="Y28" s="134"/>
    </row>
    <row r="29" spans="1:25" ht="51.6" customHeight="1" x14ac:dyDescent="0.2">
      <c r="A29" s="200" t="s">
        <v>90</v>
      </c>
      <c r="B29" s="199" t="s">
        <v>116</v>
      </c>
      <c r="C29" s="119" t="s">
        <v>42</v>
      </c>
      <c r="D29" s="4">
        <v>2016</v>
      </c>
      <c r="E29" s="4" t="s">
        <v>52</v>
      </c>
      <c r="F29" s="72">
        <f t="shared" ref="F29:G43" si="9">+I29+L29+O29+R29+U29</f>
        <v>741.6</v>
      </c>
      <c r="G29" s="72">
        <f t="shared" si="9"/>
        <v>741.6</v>
      </c>
      <c r="H29" s="72"/>
      <c r="I29" s="197">
        <v>741.6</v>
      </c>
      <c r="J29" s="197">
        <v>741.6</v>
      </c>
      <c r="K29" s="197"/>
      <c r="L29" s="197"/>
      <c r="M29" s="197"/>
      <c r="N29" s="197"/>
      <c r="O29" s="197"/>
      <c r="P29" s="197"/>
      <c r="Q29" s="197"/>
      <c r="R29" s="197"/>
      <c r="S29" s="197"/>
      <c r="T29" s="197"/>
      <c r="U29" s="197"/>
      <c r="V29" s="197"/>
      <c r="W29" s="197"/>
      <c r="X29" s="197"/>
    </row>
    <row r="30" spans="1:25" ht="41.1" customHeight="1" x14ac:dyDescent="0.2">
      <c r="A30" s="75" t="s">
        <v>70</v>
      </c>
      <c r="B30" s="221" t="s">
        <v>58</v>
      </c>
      <c r="C30" s="23" t="s">
        <v>165</v>
      </c>
      <c r="D30" s="3" t="s">
        <v>21</v>
      </c>
      <c r="E30" s="3" t="s">
        <v>50</v>
      </c>
      <c r="F30" s="214">
        <f t="shared" si="9"/>
        <v>943.8</v>
      </c>
      <c r="G30" s="214">
        <f t="shared" si="9"/>
        <v>1085.1000000000001</v>
      </c>
      <c r="H30" s="214">
        <f>+G30-F30</f>
        <v>141.30000000000018</v>
      </c>
      <c r="I30" s="215">
        <v>789.1</v>
      </c>
      <c r="J30" s="215">
        <f>789.1+141.3</f>
        <v>930.40000000000009</v>
      </c>
      <c r="K30" s="215">
        <f>+J30-I30</f>
        <v>141.30000000000007</v>
      </c>
      <c r="L30" s="26"/>
      <c r="M30" s="26"/>
      <c r="N30" s="26"/>
      <c r="O30" s="26"/>
      <c r="P30" s="26"/>
      <c r="Q30" s="26"/>
      <c r="R30" s="26"/>
      <c r="S30" s="26"/>
      <c r="T30" s="26"/>
      <c r="U30" s="26">
        <v>154.69999999999999</v>
      </c>
      <c r="V30" s="26">
        <v>154.69999999999999</v>
      </c>
      <c r="W30" s="26"/>
      <c r="X30" s="237" t="s">
        <v>236</v>
      </c>
      <c r="Y30" s="244" t="s">
        <v>243</v>
      </c>
    </row>
    <row r="31" spans="1:25" ht="39.75" customHeight="1" x14ac:dyDescent="0.2">
      <c r="A31" s="200" t="s">
        <v>102</v>
      </c>
      <c r="B31" s="49" t="s">
        <v>209</v>
      </c>
      <c r="C31" s="195"/>
      <c r="D31" s="7">
        <v>2022</v>
      </c>
      <c r="E31" s="7" t="s">
        <v>52</v>
      </c>
      <c r="F31" s="72">
        <f t="shared" si="9"/>
        <v>368.8</v>
      </c>
      <c r="G31" s="72">
        <f t="shared" si="9"/>
        <v>368.8</v>
      </c>
      <c r="H31" s="72"/>
      <c r="I31" s="197">
        <v>368.8</v>
      </c>
      <c r="J31" s="197">
        <v>368.8</v>
      </c>
      <c r="K31" s="197"/>
      <c r="L31" s="197"/>
      <c r="M31" s="197"/>
      <c r="N31" s="197"/>
      <c r="O31" s="23"/>
      <c r="P31" s="23"/>
      <c r="Q31" s="23"/>
      <c r="R31" s="23"/>
      <c r="S31" s="23"/>
      <c r="T31" s="23"/>
      <c r="U31" s="23"/>
      <c r="V31" s="23"/>
      <c r="W31" s="23"/>
      <c r="X31" s="23"/>
    </row>
    <row r="32" spans="1:25" ht="39.6" customHeight="1" x14ac:dyDescent="0.2">
      <c r="A32" s="200" t="s">
        <v>103</v>
      </c>
      <c r="B32" s="199" t="s">
        <v>85</v>
      </c>
      <c r="C32" s="24" t="s">
        <v>42</v>
      </c>
      <c r="D32" s="7">
        <v>2016</v>
      </c>
      <c r="E32" s="7" t="s">
        <v>46</v>
      </c>
      <c r="F32" s="72">
        <f t="shared" si="9"/>
        <v>488.90000000000003</v>
      </c>
      <c r="G32" s="72">
        <f t="shared" si="9"/>
        <v>488.90000000000003</v>
      </c>
      <c r="H32" s="72"/>
      <c r="I32" s="197">
        <v>216.3</v>
      </c>
      <c r="J32" s="197">
        <v>216.3</v>
      </c>
      <c r="K32" s="197"/>
      <c r="L32" s="197">
        <v>272.60000000000002</v>
      </c>
      <c r="M32" s="197">
        <v>272.60000000000002</v>
      </c>
      <c r="N32" s="197"/>
      <c r="O32" s="197"/>
      <c r="P32" s="197"/>
      <c r="Q32" s="197"/>
      <c r="R32" s="197"/>
      <c r="S32" s="197"/>
      <c r="T32" s="197"/>
      <c r="U32" s="197"/>
      <c r="V32" s="197"/>
      <c r="W32" s="197"/>
      <c r="X32" s="197"/>
    </row>
    <row r="33" spans="1:25" ht="40.5" customHeight="1" x14ac:dyDescent="0.2">
      <c r="A33" s="200">
        <v>5</v>
      </c>
      <c r="B33" s="199" t="s">
        <v>218</v>
      </c>
      <c r="C33" s="24" t="s">
        <v>42</v>
      </c>
      <c r="D33" s="7" t="s">
        <v>46</v>
      </c>
      <c r="E33" s="7" t="s">
        <v>99</v>
      </c>
      <c r="F33" s="72">
        <f>I33+L33+O33+R33+U33</f>
        <v>3</v>
      </c>
      <c r="G33" s="72">
        <f t="shared" si="9"/>
        <v>3</v>
      </c>
      <c r="H33" s="72"/>
      <c r="I33" s="197">
        <v>3</v>
      </c>
      <c r="J33" s="197">
        <f>1.5+1.5</f>
        <v>3</v>
      </c>
      <c r="K33" s="197"/>
      <c r="L33" s="197"/>
      <c r="M33" s="197"/>
      <c r="N33" s="197"/>
      <c r="O33" s="197"/>
      <c r="P33" s="197"/>
      <c r="Q33" s="197"/>
      <c r="R33" s="197"/>
      <c r="S33" s="197"/>
      <c r="T33" s="197"/>
      <c r="U33" s="197"/>
      <c r="V33" s="197"/>
      <c r="W33" s="197"/>
      <c r="X33" s="138"/>
    </row>
    <row r="34" spans="1:25" s="19" customFormat="1" ht="41.1" customHeight="1" x14ac:dyDescent="0.2">
      <c r="A34" s="200">
        <v>6</v>
      </c>
      <c r="B34" s="25" t="s">
        <v>26</v>
      </c>
      <c r="C34" s="23" t="s">
        <v>51</v>
      </c>
      <c r="D34" s="3" t="s">
        <v>20</v>
      </c>
      <c r="E34" s="3" t="s">
        <v>46</v>
      </c>
      <c r="F34" s="72">
        <f t="shared" si="9"/>
        <v>2759.6</v>
      </c>
      <c r="G34" s="72">
        <f t="shared" si="9"/>
        <v>2759.6</v>
      </c>
      <c r="H34" s="72"/>
      <c r="I34" s="26">
        <v>759.1</v>
      </c>
      <c r="J34" s="26">
        <v>759.1</v>
      </c>
      <c r="K34" s="197"/>
      <c r="L34" s="26">
        <v>1838.3</v>
      </c>
      <c r="M34" s="26">
        <v>1838.3</v>
      </c>
      <c r="N34" s="26"/>
      <c r="O34" s="26">
        <v>162.19999999999999</v>
      </c>
      <c r="P34" s="26">
        <v>162.19999999999999</v>
      </c>
      <c r="Q34" s="26"/>
      <c r="R34" s="26"/>
      <c r="S34" s="26"/>
      <c r="T34" s="26"/>
      <c r="U34" s="26"/>
      <c r="V34" s="26"/>
      <c r="W34" s="26"/>
      <c r="X34" s="26"/>
      <c r="Y34" s="111"/>
    </row>
    <row r="35" spans="1:25" ht="41.1" customHeight="1" x14ac:dyDescent="0.2">
      <c r="A35" s="200">
        <v>7</v>
      </c>
      <c r="B35" s="25" t="s">
        <v>125</v>
      </c>
      <c r="C35" s="146" t="s">
        <v>179</v>
      </c>
      <c r="D35" s="3" t="s">
        <v>20</v>
      </c>
      <c r="E35" s="3" t="s">
        <v>99</v>
      </c>
      <c r="F35" s="73">
        <f>I35+L35+O35+R35+U35</f>
        <v>2990.5</v>
      </c>
      <c r="G35" s="72">
        <f>+J35+M35+P35+S35+V35</f>
        <v>2990.5</v>
      </c>
      <c r="H35" s="72"/>
      <c r="I35" s="26">
        <f>2092.9-1.5</f>
        <v>2091.4</v>
      </c>
      <c r="J35" s="26">
        <f>2092.9-1.5</f>
        <v>2091.4</v>
      </c>
      <c r="K35" s="197"/>
      <c r="L35" s="149">
        <v>826.1</v>
      </c>
      <c r="M35" s="149">
        <v>826.1</v>
      </c>
      <c r="N35" s="149"/>
      <c r="O35" s="149">
        <v>73</v>
      </c>
      <c r="P35" s="149">
        <v>73</v>
      </c>
      <c r="Q35" s="149"/>
      <c r="R35" s="26"/>
      <c r="S35" s="26"/>
      <c r="T35" s="26"/>
      <c r="U35" s="26"/>
      <c r="V35" s="26"/>
      <c r="W35" s="26"/>
      <c r="X35" s="49"/>
    </row>
    <row r="36" spans="1:25" ht="41.1" customHeight="1" x14ac:dyDescent="0.2">
      <c r="A36" s="200">
        <v>8</v>
      </c>
      <c r="B36" s="25" t="s">
        <v>74</v>
      </c>
      <c r="C36" s="24" t="s">
        <v>32</v>
      </c>
      <c r="D36" s="7" t="s">
        <v>46</v>
      </c>
      <c r="E36" s="7" t="s">
        <v>98</v>
      </c>
      <c r="F36" s="72">
        <f t="shared" si="9"/>
        <v>1243.2</v>
      </c>
      <c r="G36" s="72">
        <f t="shared" si="9"/>
        <v>1243.2</v>
      </c>
      <c r="H36" s="72"/>
      <c r="I36" s="23">
        <v>1243.2</v>
      </c>
      <c r="J36" s="23">
        <v>1243.2</v>
      </c>
      <c r="K36" s="23"/>
      <c r="L36" s="23"/>
      <c r="M36" s="23"/>
      <c r="N36" s="23"/>
      <c r="O36" s="23"/>
      <c r="P36" s="23"/>
      <c r="Q36" s="23"/>
      <c r="R36" s="23"/>
      <c r="S36" s="23"/>
      <c r="T36" s="23"/>
      <c r="U36" s="23"/>
      <c r="V36" s="23"/>
      <c r="W36" s="23"/>
      <c r="X36" s="23"/>
    </row>
    <row r="37" spans="1:25" ht="85.5" customHeight="1" x14ac:dyDescent="0.2">
      <c r="A37" s="200">
        <v>9</v>
      </c>
      <c r="B37" s="25" t="s">
        <v>220</v>
      </c>
      <c r="C37" s="195" t="s">
        <v>43</v>
      </c>
      <c r="D37" s="7" t="s">
        <v>20</v>
      </c>
      <c r="E37" s="7" t="s">
        <v>98</v>
      </c>
      <c r="F37" s="72">
        <f t="shared" si="9"/>
        <v>2000</v>
      </c>
      <c r="G37" s="72">
        <f t="shared" si="9"/>
        <v>2000</v>
      </c>
      <c r="H37" s="72"/>
      <c r="I37" s="26">
        <v>2000</v>
      </c>
      <c r="J37" s="26">
        <v>2000</v>
      </c>
      <c r="K37" s="26"/>
      <c r="L37" s="23"/>
      <c r="M37" s="23"/>
      <c r="N37" s="23"/>
      <c r="O37" s="23"/>
      <c r="P37" s="23"/>
      <c r="Q37" s="23"/>
      <c r="R37" s="23"/>
      <c r="S37" s="23"/>
      <c r="T37" s="23"/>
      <c r="U37" s="23"/>
      <c r="V37" s="23"/>
      <c r="W37" s="23"/>
      <c r="X37" s="49"/>
    </row>
    <row r="38" spans="1:25" ht="73.349999999999994" customHeight="1" x14ac:dyDescent="0.2">
      <c r="A38" s="200">
        <v>10</v>
      </c>
      <c r="B38" s="212" t="s">
        <v>221</v>
      </c>
      <c r="C38" s="24"/>
      <c r="D38" s="209">
        <v>2020</v>
      </c>
      <c r="E38" s="209">
        <v>2022</v>
      </c>
      <c r="F38" s="210">
        <f>I38+L38+O38+R38</f>
        <v>136</v>
      </c>
      <c r="G38" s="210">
        <f>J38+M38+P38+S38</f>
        <v>121.7</v>
      </c>
      <c r="H38" s="210">
        <f>+G38-F38</f>
        <v>-14.299999999999997</v>
      </c>
      <c r="I38" s="211">
        <v>136</v>
      </c>
      <c r="J38" s="211">
        <f>136-14.3</f>
        <v>121.7</v>
      </c>
      <c r="K38" s="211">
        <f>+J38-I38</f>
        <v>-14.299999999999997</v>
      </c>
      <c r="L38" s="23"/>
      <c r="M38" s="23"/>
      <c r="N38" s="23"/>
      <c r="O38" s="23"/>
      <c r="P38" s="23"/>
      <c r="Q38" s="23"/>
      <c r="R38" s="23"/>
      <c r="S38" s="23"/>
      <c r="T38" s="23"/>
      <c r="U38" s="23"/>
      <c r="V38" s="23"/>
      <c r="W38" s="23"/>
      <c r="X38" s="237" t="s">
        <v>233</v>
      </c>
      <c r="Y38" s="244" t="s">
        <v>242</v>
      </c>
    </row>
    <row r="39" spans="1:25" ht="93" customHeight="1" x14ac:dyDescent="0.2">
      <c r="A39" s="200">
        <v>11</v>
      </c>
      <c r="B39" s="25" t="s">
        <v>203</v>
      </c>
      <c r="C39" s="24"/>
      <c r="D39" s="7" t="s">
        <v>46</v>
      </c>
      <c r="E39" s="7" t="s">
        <v>98</v>
      </c>
      <c r="F39" s="72">
        <f t="shared" si="9"/>
        <v>375</v>
      </c>
      <c r="G39" s="72">
        <f t="shared" si="9"/>
        <v>375</v>
      </c>
      <c r="H39" s="72"/>
      <c r="I39" s="23">
        <v>375</v>
      </c>
      <c r="J39" s="23">
        <v>375</v>
      </c>
      <c r="K39" s="23"/>
      <c r="L39" s="23"/>
      <c r="M39" s="23"/>
      <c r="N39" s="23"/>
      <c r="O39" s="23"/>
      <c r="P39" s="23"/>
      <c r="Q39" s="23"/>
      <c r="R39" s="23"/>
      <c r="S39" s="23"/>
      <c r="T39" s="23"/>
      <c r="U39" s="23"/>
      <c r="V39" s="23"/>
      <c r="W39" s="23"/>
      <c r="X39" s="23"/>
      <c r="Y39" s="110"/>
    </row>
    <row r="40" spans="1:25" ht="41.1" customHeight="1" x14ac:dyDescent="0.2">
      <c r="A40" s="200">
        <v>12</v>
      </c>
      <c r="B40" s="25" t="s">
        <v>16</v>
      </c>
      <c r="C40" s="24" t="s">
        <v>42</v>
      </c>
      <c r="D40" s="7">
        <v>2016</v>
      </c>
      <c r="E40" s="7" t="s">
        <v>46</v>
      </c>
      <c r="F40" s="73">
        <f t="shared" si="9"/>
        <v>1638.5</v>
      </c>
      <c r="G40" s="73">
        <f t="shared" si="9"/>
        <v>1638.5</v>
      </c>
      <c r="H40" s="73"/>
      <c r="I40" s="197">
        <v>245.8</v>
      </c>
      <c r="J40" s="197">
        <v>245.8</v>
      </c>
      <c r="K40" s="197"/>
      <c r="L40" s="202">
        <v>1392.7</v>
      </c>
      <c r="M40" s="202">
        <v>1392.7</v>
      </c>
      <c r="N40" s="202"/>
      <c r="O40" s="23"/>
      <c r="P40" s="23"/>
      <c r="Q40" s="23"/>
      <c r="R40" s="23"/>
      <c r="S40" s="23"/>
      <c r="T40" s="23"/>
      <c r="U40" s="23"/>
      <c r="V40" s="23"/>
      <c r="W40" s="23"/>
      <c r="X40" s="23"/>
    </row>
    <row r="41" spans="1:25" ht="53.1" customHeight="1" x14ac:dyDescent="0.2">
      <c r="A41" s="200">
        <v>13</v>
      </c>
      <c r="B41" s="25" t="s">
        <v>140</v>
      </c>
      <c r="C41" s="24"/>
      <c r="D41" s="7" t="s">
        <v>21</v>
      </c>
      <c r="E41" s="7" t="s">
        <v>50</v>
      </c>
      <c r="F41" s="72">
        <f t="shared" si="9"/>
        <v>471.8</v>
      </c>
      <c r="G41" s="72">
        <f t="shared" si="9"/>
        <v>471.8</v>
      </c>
      <c r="H41" s="72"/>
      <c r="I41" s="197">
        <v>471.8</v>
      </c>
      <c r="J41" s="197">
        <v>471.8</v>
      </c>
      <c r="K41" s="197"/>
      <c r="L41" s="197"/>
      <c r="M41" s="197"/>
      <c r="N41" s="197"/>
      <c r="O41" s="23"/>
      <c r="P41" s="23"/>
      <c r="Q41" s="23"/>
      <c r="R41" s="23"/>
      <c r="S41" s="23"/>
      <c r="T41" s="23"/>
      <c r="U41" s="23"/>
      <c r="V41" s="23"/>
      <c r="W41" s="23"/>
      <c r="X41" s="23"/>
    </row>
    <row r="42" spans="1:25" ht="28.5" customHeight="1" x14ac:dyDescent="0.2">
      <c r="A42" s="200">
        <v>14</v>
      </c>
      <c r="B42" s="115" t="s">
        <v>149</v>
      </c>
      <c r="C42" s="146"/>
      <c r="D42" s="7" t="s">
        <v>46</v>
      </c>
      <c r="E42" s="7" t="s">
        <v>50</v>
      </c>
      <c r="F42" s="72">
        <f t="shared" si="9"/>
        <v>461.6</v>
      </c>
      <c r="G42" s="72">
        <f t="shared" si="9"/>
        <v>461.6</v>
      </c>
      <c r="H42" s="72"/>
      <c r="I42" s="202">
        <f>320+141.6</f>
        <v>461.6</v>
      </c>
      <c r="J42" s="202">
        <f>320+141.6</f>
        <v>461.6</v>
      </c>
      <c r="K42" s="202"/>
      <c r="L42" s="197"/>
      <c r="M42" s="197"/>
      <c r="N42" s="197"/>
      <c r="O42" s="23"/>
      <c r="P42" s="23"/>
      <c r="Q42" s="23"/>
      <c r="R42" s="23"/>
      <c r="S42" s="23"/>
      <c r="T42" s="23"/>
      <c r="U42" s="23"/>
      <c r="V42" s="23"/>
      <c r="W42" s="23"/>
      <c r="X42" s="49"/>
    </row>
    <row r="43" spans="1:25" ht="25.5" customHeight="1" x14ac:dyDescent="0.2">
      <c r="A43" s="200">
        <v>15</v>
      </c>
      <c r="B43" s="115" t="s">
        <v>193</v>
      </c>
      <c r="C43" s="146"/>
      <c r="D43" s="7" t="s">
        <v>52</v>
      </c>
      <c r="E43" s="7" t="s">
        <v>52</v>
      </c>
      <c r="F43" s="72">
        <f t="shared" si="9"/>
        <v>214.5</v>
      </c>
      <c r="G43" s="72">
        <f t="shared" si="9"/>
        <v>214.5</v>
      </c>
      <c r="H43" s="72"/>
      <c r="I43" s="197">
        <v>32.200000000000003</v>
      </c>
      <c r="J43" s="197">
        <v>32.200000000000003</v>
      </c>
      <c r="K43" s="197"/>
      <c r="L43" s="197">
        <v>182.3</v>
      </c>
      <c r="M43" s="197">
        <v>182.3</v>
      </c>
      <c r="N43" s="197"/>
      <c r="O43" s="23"/>
      <c r="P43" s="23"/>
      <c r="Q43" s="23"/>
      <c r="R43" s="23"/>
      <c r="S43" s="23"/>
      <c r="T43" s="23"/>
      <c r="U43" s="23"/>
      <c r="V43" s="23"/>
      <c r="W43" s="23"/>
      <c r="X43" s="23"/>
    </row>
    <row r="44" spans="1:25" ht="17.850000000000001" customHeight="1" x14ac:dyDescent="0.2">
      <c r="A44" s="177">
        <v>15</v>
      </c>
      <c r="B44" s="192" t="s">
        <v>135</v>
      </c>
      <c r="C44" s="178"/>
      <c r="D44" s="179"/>
      <c r="E44" s="180" t="s">
        <v>13</v>
      </c>
      <c r="F44" s="64">
        <f>SUM(F29:F43)</f>
        <v>14836.800000000001</v>
      </c>
      <c r="G44" s="64">
        <f>SUM(G29:G43)</f>
        <v>14963.800000000001</v>
      </c>
      <c r="H44" s="64">
        <f>SUM(H29:H43)</f>
        <v>127.00000000000018</v>
      </c>
      <c r="I44" s="64">
        <f t="shared" ref="I44:W44" si="10">SUM(I29:I43)</f>
        <v>9934.9</v>
      </c>
      <c r="J44" s="64">
        <f t="shared" si="10"/>
        <v>10061.9</v>
      </c>
      <c r="K44" s="64">
        <f t="shared" si="10"/>
        <v>127.00000000000007</v>
      </c>
      <c r="L44" s="64">
        <f t="shared" si="10"/>
        <v>4512</v>
      </c>
      <c r="M44" s="64">
        <f t="shared" si="10"/>
        <v>4512</v>
      </c>
      <c r="N44" s="64">
        <f t="shared" si="10"/>
        <v>0</v>
      </c>
      <c r="O44" s="64">
        <f t="shared" si="10"/>
        <v>235.2</v>
      </c>
      <c r="P44" s="64">
        <f t="shared" si="10"/>
        <v>235.2</v>
      </c>
      <c r="Q44" s="64">
        <f t="shared" si="10"/>
        <v>0</v>
      </c>
      <c r="R44" s="64">
        <f t="shared" si="10"/>
        <v>0</v>
      </c>
      <c r="S44" s="64">
        <f t="shared" si="10"/>
        <v>0</v>
      </c>
      <c r="T44" s="64">
        <f t="shared" si="10"/>
        <v>0</v>
      </c>
      <c r="U44" s="64">
        <f t="shared" si="10"/>
        <v>154.69999999999999</v>
      </c>
      <c r="V44" s="64">
        <f t="shared" si="10"/>
        <v>154.69999999999999</v>
      </c>
      <c r="W44" s="64">
        <f t="shared" si="10"/>
        <v>0</v>
      </c>
      <c r="X44" s="167"/>
    </row>
    <row r="45" spans="1:25" ht="16.350000000000001" customHeight="1" x14ac:dyDescent="0.2">
      <c r="A45" s="284" t="s">
        <v>11</v>
      </c>
      <c r="B45" s="285"/>
      <c r="C45" s="285"/>
      <c r="D45" s="285"/>
      <c r="E45" s="285"/>
      <c r="F45" s="285"/>
      <c r="G45" s="285"/>
      <c r="H45" s="285"/>
      <c r="I45" s="285"/>
      <c r="J45" s="285"/>
      <c r="K45" s="285"/>
      <c r="L45" s="285"/>
      <c r="M45" s="285"/>
      <c r="N45" s="285"/>
      <c r="O45" s="285"/>
      <c r="P45" s="285"/>
      <c r="Q45" s="285"/>
      <c r="R45" s="285"/>
      <c r="S45" s="157"/>
      <c r="T45" s="157"/>
      <c r="U45" s="141"/>
      <c r="V45" s="157"/>
      <c r="W45" s="157"/>
      <c r="X45" s="168"/>
      <c r="Y45" s="134"/>
    </row>
    <row r="46" spans="1:25" ht="29.85" customHeight="1" x14ac:dyDescent="0.2">
      <c r="A46" s="193" t="s">
        <v>90</v>
      </c>
      <c r="B46" s="47" t="s">
        <v>129</v>
      </c>
      <c r="C46" s="195" t="s">
        <v>47</v>
      </c>
      <c r="D46" s="46" t="s">
        <v>27</v>
      </c>
      <c r="E46" s="46" t="s">
        <v>52</v>
      </c>
      <c r="F46" s="74">
        <f t="shared" ref="F46:G72" si="11">+I46+L46+O46+R46+U46</f>
        <v>39000.04</v>
      </c>
      <c r="G46" s="74">
        <f>2637+25051.6+6811.4+4500</f>
        <v>39000</v>
      </c>
      <c r="H46" s="74"/>
      <c r="I46" s="38">
        <v>2637</v>
      </c>
      <c r="J46" s="38">
        <v>2637</v>
      </c>
      <c r="K46" s="38"/>
      <c r="L46" s="38"/>
      <c r="M46" s="38"/>
      <c r="N46" s="38"/>
      <c r="O46" s="38">
        <v>25051.599999999999</v>
      </c>
      <c r="P46" s="38">
        <v>25051.599999999999</v>
      </c>
      <c r="Q46" s="38"/>
      <c r="R46" s="38">
        <v>6811.44</v>
      </c>
      <c r="S46" s="38">
        <v>6811.44</v>
      </c>
      <c r="T46" s="38"/>
      <c r="U46" s="38">
        <v>4500</v>
      </c>
      <c r="V46" s="38">
        <v>4500</v>
      </c>
      <c r="W46" s="38"/>
      <c r="X46" s="137"/>
    </row>
    <row r="47" spans="1:25" ht="54.75" customHeight="1" x14ac:dyDescent="0.2">
      <c r="A47" s="193" t="s">
        <v>70</v>
      </c>
      <c r="B47" s="47" t="s">
        <v>56</v>
      </c>
      <c r="C47" s="195" t="s">
        <v>44</v>
      </c>
      <c r="D47" s="9" t="s">
        <v>20</v>
      </c>
      <c r="E47" s="9" t="s">
        <v>46</v>
      </c>
      <c r="F47" s="74">
        <f t="shared" si="11"/>
        <v>6835.9999999999991</v>
      </c>
      <c r="G47" s="74">
        <f t="shared" si="11"/>
        <v>6835.9999999999991</v>
      </c>
      <c r="H47" s="74"/>
      <c r="I47" s="201">
        <f>1524+63.4</f>
        <v>1587.4</v>
      </c>
      <c r="J47" s="201">
        <f>1524+63.4</f>
        <v>1587.4</v>
      </c>
      <c r="K47" s="201"/>
      <c r="L47" s="201">
        <v>1980.8</v>
      </c>
      <c r="M47" s="201">
        <v>1980.8</v>
      </c>
      <c r="N47" s="201"/>
      <c r="O47" s="201"/>
      <c r="P47" s="201"/>
      <c r="Q47" s="201"/>
      <c r="R47" s="201">
        <v>1827.1</v>
      </c>
      <c r="S47" s="201">
        <v>1827.1</v>
      </c>
      <c r="T47" s="201"/>
      <c r="U47" s="201">
        <v>1440.7</v>
      </c>
      <c r="V47" s="201">
        <v>1440.7</v>
      </c>
      <c r="W47" s="201"/>
      <c r="X47" s="198"/>
    </row>
    <row r="48" spans="1:25" ht="80.849999999999994" customHeight="1" x14ac:dyDescent="0.2">
      <c r="A48" s="75">
        <v>3</v>
      </c>
      <c r="B48" s="115" t="s">
        <v>222</v>
      </c>
      <c r="C48" s="23" t="s">
        <v>48</v>
      </c>
      <c r="D48" s="7" t="s">
        <v>27</v>
      </c>
      <c r="E48" s="7" t="s">
        <v>52</v>
      </c>
      <c r="F48" s="71">
        <f t="shared" si="11"/>
        <v>3632</v>
      </c>
      <c r="G48" s="71">
        <f>+J48+M48+S48</f>
        <v>3632</v>
      </c>
      <c r="H48" s="71"/>
      <c r="I48" s="23">
        <v>943.6</v>
      </c>
      <c r="J48" s="23">
        <v>943.6</v>
      </c>
      <c r="K48" s="23"/>
      <c r="L48" s="23">
        <v>1419.5</v>
      </c>
      <c r="M48" s="23">
        <v>1419.5</v>
      </c>
      <c r="N48" s="23"/>
      <c r="O48" s="23"/>
      <c r="P48" s="23"/>
      <c r="Q48" s="23"/>
      <c r="R48" s="23">
        <v>1268.9000000000001</v>
      </c>
      <c r="S48" s="23">
        <v>1268.9000000000001</v>
      </c>
      <c r="T48" s="23"/>
      <c r="U48" s="23"/>
      <c r="V48" s="23"/>
      <c r="W48" s="23"/>
      <c r="X48" s="49"/>
    </row>
    <row r="49" spans="1:25" ht="19.350000000000001" customHeight="1" x14ac:dyDescent="0.2">
      <c r="A49" s="77">
        <v>4</v>
      </c>
      <c r="B49" s="29" t="s">
        <v>204</v>
      </c>
      <c r="C49" s="202"/>
      <c r="D49" s="56" t="s">
        <v>46</v>
      </c>
      <c r="E49" s="56" t="s">
        <v>52</v>
      </c>
      <c r="F49" s="72">
        <f t="shared" si="11"/>
        <v>1364</v>
      </c>
      <c r="G49" s="72">
        <f t="shared" si="11"/>
        <v>1364</v>
      </c>
      <c r="H49" s="72"/>
      <c r="I49" s="197">
        <v>864</v>
      </c>
      <c r="J49" s="197">
        <v>864</v>
      </c>
      <c r="K49" s="197"/>
      <c r="L49" s="197">
        <v>500</v>
      </c>
      <c r="M49" s="197">
        <v>500</v>
      </c>
      <c r="N49" s="197"/>
      <c r="O49" s="197"/>
      <c r="P49" s="197"/>
      <c r="Q49" s="197"/>
      <c r="R49" s="197"/>
      <c r="S49" s="197"/>
      <c r="T49" s="197"/>
      <c r="U49" s="197"/>
      <c r="V49" s="197"/>
      <c r="W49" s="197"/>
      <c r="X49" s="197"/>
      <c r="Y49" s="111"/>
    </row>
    <row r="50" spans="1:25" ht="43.35" customHeight="1" x14ac:dyDescent="0.2">
      <c r="A50" s="193">
        <v>5</v>
      </c>
      <c r="B50" s="213" t="s">
        <v>23</v>
      </c>
      <c r="C50" s="23" t="s">
        <v>47</v>
      </c>
      <c r="D50" s="7" t="s">
        <v>40</v>
      </c>
      <c r="E50" s="7" t="s">
        <v>46</v>
      </c>
      <c r="F50" s="214">
        <f>+I50+L50+O50+R50+U50</f>
        <v>3026</v>
      </c>
      <c r="G50" s="214">
        <f>+J50+M50+P50+S50+V50</f>
        <v>2961</v>
      </c>
      <c r="H50" s="214">
        <f>+G50-F50</f>
        <v>-65</v>
      </c>
      <c r="I50" s="211">
        <v>2742.6</v>
      </c>
      <c r="J50" s="211">
        <f>2742.6-65</f>
        <v>2677.6</v>
      </c>
      <c r="K50" s="211">
        <f>+J50-I50</f>
        <v>-65</v>
      </c>
      <c r="L50" s="23"/>
      <c r="M50" s="23"/>
      <c r="N50" s="23"/>
      <c r="O50" s="23"/>
      <c r="P50" s="23"/>
      <c r="Q50" s="23"/>
      <c r="R50" s="23">
        <v>283.39999999999998</v>
      </c>
      <c r="S50" s="23">
        <v>283.39999999999998</v>
      </c>
      <c r="T50" s="23"/>
      <c r="U50" s="23"/>
      <c r="V50" s="23"/>
      <c r="W50" s="23"/>
      <c r="X50" s="49" t="s">
        <v>232</v>
      </c>
    </row>
    <row r="51" spans="1:25" ht="30" customHeight="1" x14ac:dyDescent="0.2">
      <c r="A51" s="75">
        <v>6</v>
      </c>
      <c r="B51" s="32" t="s">
        <v>64</v>
      </c>
      <c r="C51" s="23" t="s">
        <v>199</v>
      </c>
      <c r="D51" s="7" t="s">
        <v>45</v>
      </c>
      <c r="E51" s="7" t="s">
        <v>50</v>
      </c>
      <c r="F51" s="95">
        <f t="shared" si="11"/>
        <v>6301.1</v>
      </c>
      <c r="G51" s="95">
        <v>6301.1</v>
      </c>
      <c r="H51" s="95"/>
      <c r="I51" s="31">
        <v>2739.8</v>
      </c>
      <c r="J51" s="31">
        <v>2739.8</v>
      </c>
      <c r="K51" s="31"/>
      <c r="L51" s="23"/>
      <c r="M51" s="23"/>
      <c r="N51" s="23"/>
      <c r="O51" s="23"/>
      <c r="P51" s="23"/>
      <c r="Q51" s="23"/>
      <c r="R51" s="23">
        <v>3561.3</v>
      </c>
      <c r="S51" s="23">
        <v>3561.3</v>
      </c>
      <c r="T51" s="23"/>
      <c r="U51" s="23"/>
      <c r="V51" s="23"/>
      <c r="W51" s="23"/>
      <c r="X51" s="49"/>
      <c r="Y51" s="203"/>
    </row>
    <row r="52" spans="1:25" ht="54.6" customHeight="1" x14ac:dyDescent="0.2">
      <c r="A52" s="193">
        <v>7</v>
      </c>
      <c r="B52" s="48" t="s">
        <v>144</v>
      </c>
      <c r="C52" s="197" t="s">
        <v>48</v>
      </c>
      <c r="D52" s="4" t="s">
        <v>27</v>
      </c>
      <c r="E52" s="4" t="s">
        <v>46</v>
      </c>
      <c r="F52" s="72">
        <f>+I52+L52+O52+R52+U52</f>
        <v>2656</v>
      </c>
      <c r="G52" s="72">
        <f>+J52+M52+P52+S52+V52</f>
        <v>2656</v>
      </c>
      <c r="H52" s="72"/>
      <c r="I52" s="197">
        <f>263.1+10</f>
        <v>273.10000000000002</v>
      </c>
      <c r="J52" s="197">
        <f>263.1+10</f>
        <v>273.10000000000002</v>
      </c>
      <c r="K52" s="197"/>
      <c r="L52" s="197">
        <v>1537.7</v>
      </c>
      <c r="M52" s="197">
        <v>1537.7</v>
      </c>
      <c r="N52" s="197"/>
      <c r="O52" s="197"/>
      <c r="P52" s="197"/>
      <c r="Q52" s="197"/>
      <c r="R52" s="197">
        <f>380.9+8.6</f>
        <v>389.5</v>
      </c>
      <c r="S52" s="197">
        <f>380.9+8.6</f>
        <v>389.5</v>
      </c>
      <c r="T52" s="197"/>
      <c r="U52" s="197">
        <f>456.6-0.9</f>
        <v>455.70000000000005</v>
      </c>
      <c r="V52" s="197">
        <f>456.6-0.9</f>
        <v>455.70000000000005</v>
      </c>
      <c r="W52" s="197"/>
      <c r="X52" s="138"/>
      <c r="Y52" s="109"/>
    </row>
    <row r="53" spans="1:25" ht="17.100000000000001" customHeight="1" x14ac:dyDescent="0.2">
      <c r="A53" s="75">
        <v>8</v>
      </c>
      <c r="B53" s="32" t="s">
        <v>156</v>
      </c>
      <c r="C53" s="23" t="s">
        <v>48</v>
      </c>
      <c r="D53" s="7" t="s">
        <v>20</v>
      </c>
      <c r="E53" s="7" t="s">
        <v>197</v>
      </c>
      <c r="F53" s="71">
        <f t="shared" si="11"/>
        <v>4460</v>
      </c>
      <c r="G53" s="71">
        <f t="shared" si="11"/>
        <v>4460</v>
      </c>
      <c r="H53" s="71"/>
      <c r="I53" s="23">
        <v>403.2</v>
      </c>
      <c r="J53" s="23">
        <v>403.2</v>
      </c>
      <c r="K53" s="23"/>
      <c r="L53" s="23"/>
      <c r="M53" s="23"/>
      <c r="N53" s="23"/>
      <c r="O53" s="23"/>
      <c r="P53" s="23"/>
      <c r="Q53" s="23"/>
      <c r="R53" s="23">
        <v>4056.8</v>
      </c>
      <c r="S53" s="23">
        <v>4056.8</v>
      </c>
      <c r="T53" s="23"/>
      <c r="U53" s="23"/>
      <c r="V53" s="23"/>
      <c r="W53" s="23"/>
      <c r="X53" s="23"/>
      <c r="Y53" s="110"/>
    </row>
    <row r="54" spans="1:25" ht="33.6" customHeight="1" x14ac:dyDescent="0.2">
      <c r="A54" s="75">
        <v>9</v>
      </c>
      <c r="B54" s="32" t="s">
        <v>120</v>
      </c>
      <c r="C54" s="23" t="s">
        <v>196</v>
      </c>
      <c r="D54" s="3" t="s">
        <v>21</v>
      </c>
      <c r="E54" s="3" t="s">
        <v>99</v>
      </c>
      <c r="F54" s="71">
        <f t="shared" si="11"/>
        <v>1511.6999999999998</v>
      </c>
      <c r="G54" s="71">
        <f>1511.7</f>
        <v>1511.7</v>
      </c>
      <c r="H54" s="71"/>
      <c r="I54" s="26">
        <v>667.4</v>
      </c>
      <c r="J54" s="26">
        <v>667.4</v>
      </c>
      <c r="K54" s="26"/>
      <c r="L54" s="26"/>
      <c r="M54" s="26"/>
      <c r="N54" s="26"/>
      <c r="O54" s="26"/>
      <c r="P54" s="26"/>
      <c r="Q54" s="26"/>
      <c r="R54" s="26">
        <f>844.3</f>
        <v>844.3</v>
      </c>
      <c r="S54" s="26">
        <f>844.3</f>
        <v>844.3</v>
      </c>
      <c r="T54" s="26"/>
      <c r="U54" s="26"/>
      <c r="V54" s="26"/>
      <c r="W54" s="26"/>
      <c r="X54" s="49"/>
    </row>
    <row r="55" spans="1:25" ht="39.6" customHeight="1" x14ac:dyDescent="0.2">
      <c r="A55" s="193">
        <v>10</v>
      </c>
      <c r="B55" s="213" t="s">
        <v>143</v>
      </c>
      <c r="C55" s="23" t="s">
        <v>47</v>
      </c>
      <c r="D55" s="3" t="s">
        <v>21</v>
      </c>
      <c r="E55" s="3" t="s">
        <v>52</v>
      </c>
      <c r="F55" s="214">
        <f t="shared" si="11"/>
        <v>1271</v>
      </c>
      <c r="G55" s="214">
        <f t="shared" si="11"/>
        <v>1303.1999999999998</v>
      </c>
      <c r="H55" s="214">
        <f>+G55-F55</f>
        <v>32.199999999999818</v>
      </c>
      <c r="I55" s="26">
        <v>974.6</v>
      </c>
      <c r="J55" s="26">
        <v>974.6</v>
      </c>
      <c r="K55" s="26"/>
      <c r="L55" s="26"/>
      <c r="M55" s="26"/>
      <c r="N55" s="26"/>
      <c r="O55" s="26"/>
      <c r="P55" s="26"/>
      <c r="Q55" s="26"/>
      <c r="R55" s="26">
        <v>100</v>
      </c>
      <c r="S55" s="26">
        <v>100</v>
      </c>
      <c r="T55" s="26"/>
      <c r="U55" s="215">
        <v>196.4</v>
      </c>
      <c r="V55" s="215">
        <f>196.4+32.2</f>
        <v>228.60000000000002</v>
      </c>
      <c r="W55" s="215">
        <f>+V55-U55</f>
        <v>32.200000000000017</v>
      </c>
      <c r="X55" s="169" t="s">
        <v>234</v>
      </c>
    </row>
    <row r="56" spans="1:25" ht="19.350000000000001" customHeight="1" x14ac:dyDescent="0.2">
      <c r="A56" s="75">
        <v>11</v>
      </c>
      <c r="B56" s="32" t="s">
        <v>136</v>
      </c>
      <c r="C56" s="23" t="s">
        <v>47</v>
      </c>
      <c r="D56" s="3" t="s">
        <v>21</v>
      </c>
      <c r="E56" s="3" t="s">
        <v>98</v>
      </c>
      <c r="F56" s="71">
        <f t="shared" si="11"/>
        <v>5665</v>
      </c>
      <c r="G56" s="71">
        <f t="shared" si="11"/>
        <v>5665</v>
      </c>
      <c r="H56" s="71"/>
      <c r="I56" s="26">
        <v>5615</v>
      </c>
      <c r="J56" s="26">
        <v>5615</v>
      </c>
      <c r="K56" s="26"/>
      <c r="L56" s="26"/>
      <c r="M56" s="26"/>
      <c r="N56" s="26"/>
      <c r="O56" s="26"/>
      <c r="P56" s="26"/>
      <c r="Q56" s="26"/>
      <c r="R56" s="26">
        <v>50</v>
      </c>
      <c r="S56" s="26">
        <v>50</v>
      </c>
      <c r="T56" s="26"/>
      <c r="U56" s="26"/>
      <c r="V56" s="26"/>
      <c r="W56" s="26"/>
      <c r="X56" s="26"/>
    </row>
    <row r="57" spans="1:25" ht="40.5" customHeight="1" x14ac:dyDescent="0.2">
      <c r="A57" s="193">
        <v>13</v>
      </c>
      <c r="B57" s="48" t="s">
        <v>96</v>
      </c>
      <c r="C57" s="197" t="s">
        <v>49</v>
      </c>
      <c r="D57" s="4" t="s">
        <v>18</v>
      </c>
      <c r="E57" s="4" t="s">
        <v>52</v>
      </c>
      <c r="F57" s="72">
        <f t="shared" si="11"/>
        <v>140.1</v>
      </c>
      <c r="G57" s="72">
        <f t="shared" si="11"/>
        <v>140.1</v>
      </c>
      <c r="H57" s="71"/>
      <c r="I57" s="197">
        <v>19.7</v>
      </c>
      <c r="J57" s="197">
        <v>19.7</v>
      </c>
      <c r="K57" s="197"/>
      <c r="L57" s="197">
        <v>90.3</v>
      </c>
      <c r="M57" s="197">
        <v>90.3</v>
      </c>
      <c r="N57" s="197"/>
      <c r="O57" s="197">
        <v>30.1</v>
      </c>
      <c r="P57" s="197">
        <v>30.1</v>
      </c>
      <c r="Q57" s="197"/>
      <c r="R57" s="197"/>
      <c r="S57" s="197"/>
      <c r="T57" s="197"/>
      <c r="U57" s="197"/>
      <c r="V57" s="197"/>
      <c r="W57" s="197"/>
      <c r="X57" s="197"/>
    </row>
    <row r="58" spans="1:25" ht="17.100000000000001" customHeight="1" x14ac:dyDescent="0.2">
      <c r="A58" s="312">
        <v>14</v>
      </c>
      <c r="B58" s="154" t="s">
        <v>153</v>
      </c>
      <c r="C58" s="315" t="s">
        <v>41</v>
      </c>
      <c r="D58" s="8"/>
      <c r="E58" s="12"/>
      <c r="F58" s="161"/>
      <c r="G58" s="161"/>
      <c r="H58" s="22"/>
      <c r="I58" s="162"/>
      <c r="J58" s="196"/>
      <c r="K58" s="196"/>
      <c r="L58" s="22"/>
      <c r="M58" s="22"/>
      <c r="N58" s="22"/>
      <c r="O58" s="22"/>
      <c r="P58" s="195"/>
      <c r="Q58" s="195"/>
      <c r="R58" s="22"/>
      <c r="S58" s="22"/>
      <c r="T58" s="22"/>
      <c r="U58" s="22"/>
      <c r="V58" s="22"/>
      <c r="W58" s="22"/>
      <c r="X58" s="22"/>
    </row>
    <row r="59" spans="1:25" ht="29.1" customHeight="1" x14ac:dyDescent="0.2">
      <c r="A59" s="313"/>
      <c r="B59" s="225" t="s">
        <v>154</v>
      </c>
      <c r="C59" s="316"/>
      <c r="D59" s="126" t="s">
        <v>46</v>
      </c>
      <c r="E59" s="126" t="s">
        <v>46</v>
      </c>
      <c r="F59" s="223">
        <f>+I59+L59+O59+R59+U59</f>
        <v>360</v>
      </c>
      <c r="G59" s="223">
        <f>+J59+M59+P59+S59+V59</f>
        <v>320</v>
      </c>
      <c r="H59" s="227">
        <f>+G59-F59</f>
        <v>-40</v>
      </c>
      <c r="I59" s="124">
        <v>20</v>
      </c>
      <c r="J59" s="124">
        <v>20</v>
      </c>
      <c r="K59" s="124"/>
      <c r="L59" s="184"/>
      <c r="M59" s="125"/>
      <c r="N59" s="125"/>
      <c r="O59" s="124"/>
      <c r="P59" s="184"/>
      <c r="Q59" s="124"/>
      <c r="R59" s="222">
        <v>340</v>
      </c>
      <c r="S59" s="222">
        <f>340-40</f>
        <v>300</v>
      </c>
      <c r="T59" s="222">
        <f>+S59-R59</f>
        <v>-40</v>
      </c>
      <c r="U59" s="196"/>
      <c r="V59" s="196"/>
      <c r="W59" s="196"/>
      <c r="X59" s="163" t="s">
        <v>237</v>
      </c>
    </row>
    <row r="60" spans="1:25" ht="33.75" customHeight="1" x14ac:dyDescent="0.2">
      <c r="A60" s="313"/>
      <c r="B60" s="226" t="s">
        <v>201</v>
      </c>
      <c r="C60" s="316"/>
      <c r="D60" s="126" t="s">
        <v>46</v>
      </c>
      <c r="E60" s="17" t="s">
        <v>46</v>
      </c>
      <c r="F60" s="223">
        <f t="shared" si="11"/>
        <v>100</v>
      </c>
      <c r="G60" s="223">
        <f t="shared" si="11"/>
        <v>78.099999999999994</v>
      </c>
      <c r="H60" s="224">
        <f>+G60-F60</f>
        <v>-21.900000000000006</v>
      </c>
      <c r="I60" s="196"/>
      <c r="J60" s="125"/>
      <c r="K60" s="125"/>
      <c r="L60" s="124"/>
      <c r="M60" s="125"/>
      <c r="N60" s="125"/>
      <c r="O60" s="125"/>
      <c r="P60" s="125"/>
      <c r="Q60" s="125"/>
      <c r="R60" s="228">
        <v>100</v>
      </c>
      <c r="S60" s="228">
        <f>100-21.9</f>
        <v>78.099999999999994</v>
      </c>
      <c r="T60" s="229">
        <f>+S60-R60</f>
        <v>-21.900000000000006</v>
      </c>
      <c r="U60" s="123"/>
      <c r="V60" s="123"/>
      <c r="W60" s="123"/>
      <c r="X60" s="163" t="s">
        <v>237</v>
      </c>
    </row>
    <row r="61" spans="1:25" ht="26.1" customHeight="1" x14ac:dyDescent="0.2">
      <c r="A61" s="313"/>
      <c r="B61" s="181" t="s">
        <v>155</v>
      </c>
      <c r="C61" s="316"/>
      <c r="D61" s="126" t="s">
        <v>46</v>
      </c>
      <c r="E61" s="12" t="s">
        <v>46</v>
      </c>
      <c r="F61" s="132">
        <f t="shared" si="11"/>
        <v>250</v>
      </c>
      <c r="G61" s="132">
        <f t="shared" si="11"/>
        <v>250</v>
      </c>
      <c r="H61" s="132"/>
      <c r="I61" s="123"/>
      <c r="J61" s="196"/>
      <c r="K61" s="196"/>
      <c r="L61" s="196"/>
      <c r="M61" s="196"/>
      <c r="N61" s="196"/>
      <c r="O61" s="196"/>
      <c r="P61" s="196"/>
      <c r="Q61" s="196"/>
      <c r="R61" s="123">
        <v>250</v>
      </c>
      <c r="S61" s="123">
        <v>250</v>
      </c>
      <c r="T61" s="124"/>
      <c r="U61" s="124"/>
      <c r="V61" s="124"/>
      <c r="W61" s="124"/>
      <c r="X61" s="124"/>
    </row>
    <row r="62" spans="1:25" ht="26.85" customHeight="1" x14ac:dyDescent="0.2">
      <c r="A62" s="313"/>
      <c r="B62" s="155" t="s">
        <v>205</v>
      </c>
      <c r="C62" s="316"/>
      <c r="D62" s="126" t="s">
        <v>50</v>
      </c>
      <c r="E62" s="121" t="s">
        <v>52</v>
      </c>
      <c r="F62" s="127">
        <f t="shared" si="11"/>
        <v>1220</v>
      </c>
      <c r="G62" s="127">
        <f>+J62+M62+P62+S62+V62</f>
        <v>1220</v>
      </c>
      <c r="H62" s="127"/>
      <c r="I62" s="124">
        <v>40</v>
      </c>
      <c r="J62" s="124">
        <v>40</v>
      </c>
      <c r="K62" s="124"/>
      <c r="L62" s="124"/>
      <c r="M62" s="124"/>
      <c r="N62" s="124"/>
      <c r="O62" s="124"/>
      <c r="P62" s="123"/>
      <c r="Q62" s="123"/>
      <c r="R62" s="123">
        <f>590*2</f>
        <v>1180</v>
      </c>
      <c r="S62" s="123">
        <f>590*2</f>
        <v>1180</v>
      </c>
      <c r="T62" s="125"/>
      <c r="U62" s="125"/>
      <c r="V62" s="125"/>
      <c r="W62" s="125"/>
      <c r="X62" s="125"/>
    </row>
    <row r="63" spans="1:25" ht="16.350000000000001" customHeight="1" x14ac:dyDescent="0.2">
      <c r="A63" s="313"/>
      <c r="B63" s="155" t="s">
        <v>162</v>
      </c>
      <c r="C63" s="316"/>
      <c r="D63" s="12" t="s">
        <v>18</v>
      </c>
      <c r="E63" s="126" t="s">
        <v>99</v>
      </c>
      <c r="F63" s="90">
        <f t="shared" si="11"/>
        <v>3168.1</v>
      </c>
      <c r="G63" s="132">
        <f t="shared" si="11"/>
        <v>3168.1</v>
      </c>
      <c r="H63" s="90"/>
      <c r="I63" s="124"/>
      <c r="J63" s="124"/>
      <c r="K63" s="124"/>
      <c r="L63" s="124"/>
      <c r="M63" s="196"/>
      <c r="N63" s="124"/>
      <c r="O63" s="123"/>
      <c r="P63" s="123"/>
      <c r="Q63" s="123"/>
      <c r="R63" s="123">
        <f>17+1500+1651.1</f>
        <v>3168.1</v>
      </c>
      <c r="S63" s="123">
        <f>17+1500+1651.1</f>
        <v>3168.1</v>
      </c>
      <c r="T63" s="124"/>
      <c r="U63" s="196"/>
      <c r="V63" s="196"/>
      <c r="W63" s="124"/>
      <c r="X63" s="124"/>
    </row>
    <row r="64" spans="1:25" ht="16.350000000000001" customHeight="1" x14ac:dyDescent="0.2">
      <c r="A64" s="313"/>
      <c r="B64" s="188" t="s">
        <v>224</v>
      </c>
      <c r="C64" s="316"/>
      <c r="D64" s="126" t="s">
        <v>46</v>
      </c>
      <c r="E64" s="17" t="s">
        <v>46</v>
      </c>
      <c r="F64" s="132">
        <f>I64+L64+O64+R64+U64</f>
        <v>50</v>
      </c>
      <c r="G64" s="132">
        <f>+J64</f>
        <v>50</v>
      </c>
      <c r="H64" s="132"/>
      <c r="I64" s="123">
        <v>50</v>
      </c>
      <c r="J64" s="123">
        <v>50</v>
      </c>
      <c r="K64" s="123"/>
      <c r="L64" s="196"/>
      <c r="M64" s="123"/>
      <c r="N64" s="196"/>
      <c r="O64" s="123"/>
      <c r="P64" s="123"/>
      <c r="Q64" s="123"/>
      <c r="R64" s="124"/>
      <c r="S64" s="124"/>
      <c r="T64" s="196"/>
      <c r="U64" s="124"/>
      <c r="V64" s="124"/>
      <c r="W64" s="124"/>
      <c r="X64" s="124"/>
    </row>
    <row r="65" spans="1:25" ht="16.350000000000001" customHeight="1" x14ac:dyDescent="0.2">
      <c r="A65" s="313"/>
      <c r="B65" s="188" t="s">
        <v>225</v>
      </c>
      <c r="C65" s="316"/>
      <c r="D65" s="126" t="s">
        <v>46</v>
      </c>
      <c r="E65" s="17" t="s">
        <v>46</v>
      </c>
      <c r="F65" s="132">
        <f t="shared" ref="F65:F69" si="12">I65+L65+O65+R65+U65</f>
        <v>65</v>
      </c>
      <c r="G65" s="132">
        <f t="shared" ref="G65:G68" si="13">+J65</f>
        <v>65</v>
      </c>
      <c r="H65" s="132"/>
      <c r="I65" s="123">
        <v>65</v>
      </c>
      <c r="J65" s="123">
        <v>65</v>
      </c>
      <c r="K65" s="123"/>
      <c r="L65" s="124"/>
      <c r="M65" s="124"/>
      <c r="N65" s="124"/>
      <c r="O65" s="124"/>
      <c r="P65" s="123"/>
      <c r="Q65" s="123"/>
      <c r="R65" s="123"/>
      <c r="S65" s="123"/>
      <c r="T65" s="124"/>
      <c r="U65" s="196"/>
      <c r="V65" s="124"/>
      <c r="W65" s="196"/>
      <c r="X65" s="124"/>
    </row>
    <row r="66" spans="1:25" ht="16.350000000000001" customHeight="1" x14ac:dyDescent="0.2">
      <c r="A66" s="313"/>
      <c r="B66" s="188" t="s">
        <v>226</v>
      </c>
      <c r="C66" s="316"/>
      <c r="D66" s="126" t="s">
        <v>46</v>
      </c>
      <c r="E66" s="17" t="s">
        <v>46</v>
      </c>
      <c r="F66" s="132">
        <f t="shared" si="12"/>
        <v>65</v>
      </c>
      <c r="G66" s="132">
        <f t="shared" si="13"/>
        <v>65</v>
      </c>
      <c r="H66" s="132"/>
      <c r="I66" s="123">
        <v>65</v>
      </c>
      <c r="J66" s="123">
        <v>65</v>
      </c>
      <c r="K66" s="123"/>
      <c r="L66" s="124"/>
      <c r="M66" s="124"/>
      <c r="N66" s="196"/>
      <c r="O66" s="196"/>
      <c r="P66" s="123"/>
      <c r="Q66" s="123"/>
      <c r="R66" s="123"/>
      <c r="S66" s="123"/>
      <c r="T66" s="124"/>
      <c r="U66" s="123"/>
      <c r="V66" s="124"/>
      <c r="W66" s="124"/>
      <c r="X66" s="124"/>
    </row>
    <row r="67" spans="1:25" ht="16.350000000000001" customHeight="1" x14ac:dyDescent="0.2">
      <c r="A67" s="313"/>
      <c r="B67" s="188" t="s">
        <v>227</v>
      </c>
      <c r="C67" s="316"/>
      <c r="D67" s="126" t="s">
        <v>46</v>
      </c>
      <c r="E67" s="17" t="s">
        <v>46</v>
      </c>
      <c r="F67" s="132">
        <f t="shared" si="12"/>
        <v>65</v>
      </c>
      <c r="G67" s="132">
        <f t="shared" si="13"/>
        <v>65</v>
      </c>
      <c r="H67" s="132"/>
      <c r="I67" s="123">
        <v>65</v>
      </c>
      <c r="J67" s="123">
        <v>65</v>
      </c>
      <c r="K67" s="123"/>
      <c r="L67" s="196"/>
      <c r="M67" s="124"/>
      <c r="N67" s="124"/>
      <c r="O67" s="123"/>
      <c r="P67" s="123"/>
      <c r="Q67" s="123"/>
      <c r="R67" s="123"/>
      <c r="S67" s="123"/>
      <c r="T67" s="124"/>
      <c r="U67" s="123"/>
      <c r="V67" s="196"/>
      <c r="W67" s="196"/>
      <c r="X67" s="124"/>
    </row>
    <row r="68" spans="1:25" ht="16.350000000000001" customHeight="1" x14ac:dyDescent="0.2">
      <c r="A68" s="313"/>
      <c r="B68" s="188" t="s">
        <v>229</v>
      </c>
      <c r="C68" s="316"/>
      <c r="D68" s="126" t="s">
        <v>46</v>
      </c>
      <c r="E68" s="17" t="s">
        <v>46</v>
      </c>
      <c r="F68" s="132">
        <f t="shared" si="12"/>
        <v>46.2</v>
      </c>
      <c r="G68" s="132">
        <f t="shared" si="13"/>
        <v>46.2</v>
      </c>
      <c r="H68" s="132"/>
      <c r="I68" s="123">
        <v>46.2</v>
      </c>
      <c r="J68" s="124">
        <v>46.2</v>
      </c>
      <c r="K68" s="123"/>
      <c r="L68" s="124"/>
      <c r="M68" s="196"/>
      <c r="N68" s="196"/>
      <c r="O68" s="123"/>
      <c r="P68" s="123"/>
      <c r="Q68" s="123"/>
      <c r="R68" s="123"/>
      <c r="S68" s="123"/>
      <c r="T68" s="124"/>
      <c r="U68" s="124"/>
      <c r="V68" s="124"/>
      <c r="W68" s="124"/>
      <c r="X68" s="196"/>
    </row>
    <row r="69" spans="1:25" ht="41.25" customHeight="1" x14ac:dyDescent="0.2">
      <c r="A69" s="314"/>
      <c r="B69" s="188" t="s">
        <v>230</v>
      </c>
      <c r="C69" s="317"/>
      <c r="D69" s="126" t="s">
        <v>46</v>
      </c>
      <c r="E69" s="17" t="s">
        <v>46</v>
      </c>
      <c r="F69" s="132">
        <f t="shared" si="12"/>
        <v>46</v>
      </c>
      <c r="G69" s="132">
        <f>+S69</f>
        <v>46</v>
      </c>
      <c r="H69" s="132"/>
      <c r="I69" s="123"/>
      <c r="J69" s="196"/>
      <c r="K69" s="122"/>
      <c r="L69" s="122"/>
      <c r="M69" s="122"/>
      <c r="N69" s="122"/>
      <c r="O69" s="122"/>
      <c r="P69" s="122"/>
      <c r="Q69" s="122"/>
      <c r="R69" s="122">
        <v>46</v>
      </c>
      <c r="S69" s="123">
        <v>46</v>
      </c>
      <c r="T69" s="196"/>
      <c r="U69" s="122"/>
      <c r="V69" s="122"/>
      <c r="W69" s="122"/>
      <c r="X69" s="122"/>
    </row>
    <row r="70" spans="1:25" ht="33.6" customHeight="1" x14ac:dyDescent="0.2">
      <c r="A70" s="75">
        <v>15</v>
      </c>
      <c r="B70" s="32" t="s">
        <v>223</v>
      </c>
      <c r="C70" s="69" t="s">
        <v>41</v>
      </c>
      <c r="D70" s="3" t="s">
        <v>18</v>
      </c>
      <c r="E70" s="3" t="s">
        <v>46</v>
      </c>
      <c r="F70" s="71">
        <f t="shared" si="11"/>
        <v>47.4</v>
      </c>
      <c r="G70" s="71">
        <v>47.4</v>
      </c>
      <c r="H70" s="71"/>
      <c r="I70" s="26"/>
      <c r="J70" s="26"/>
      <c r="K70" s="26"/>
      <c r="L70" s="26"/>
      <c r="M70" s="26"/>
      <c r="N70" s="26"/>
      <c r="O70" s="26"/>
      <c r="P70" s="26"/>
      <c r="Q70" s="26"/>
      <c r="R70" s="26">
        <v>47.4</v>
      </c>
      <c r="S70" s="26">
        <v>47.4</v>
      </c>
      <c r="T70" s="26"/>
      <c r="U70" s="26"/>
      <c r="V70" s="26"/>
      <c r="W70" s="26"/>
      <c r="X70" s="49"/>
    </row>
    <row r="71" spans="1:25" ht="30" customHeight="1" x14ac:dyDescent="0.2">
      <c r="A71" s="75">
        <v>16</v>
      </c>
      <c r="B71" s="213" t="s">
        <v>206</v>
      </c>
      <c r="C71" s="69" t="s">
        <v>41</v>
      </c>
      <c r="D71" s="3" t="s">
        <v>21</v>
      </c>
      <c r="E71" s="3" t="s">
        <v>50</v>
      </c>
      <c r="F71" s="220">
        <f t="shared" si="11"/>
        <v>433</v>
      </c>
      <c r="G71" s="220">
        <f t="shared" si="11"/>
        <v>402.2</v>
      </c>
      <c r="H71" s="220">
        <f>+G71-F71</f>
        <v>-30.800000000000011</v>
      </c>
      <c r="I71" s="219">
        <f>5+150+278</f>
        <v>433</v>
      </c>
      <c r="J71" s="219">
        <f>5+150+278-30.8</f>
        <v>402.2</v>
      </c>
      <c r="K71" s="219">
        <f>+J71-I71</f>
        <v>-30.800000000000011</v>
      </c>
      <c r="L71" s="38"/>
      <c r="M71" s="38"/>
      <c r="N71" s="38"/>
      <c r="O71" s="38"/>
      <c r="P71" s="38"/>
      <c r="Q71" s="38"/>
      <c r="R71" s="38"/>
      <c r="S71" s="38"/>
      <c r="T71" s="38"/>
      <c r="U71" s="38"/>
      <c r="V71" s="38"/>
      <c r="W71" s="38"/>
      <c r="X71" s="230" t="s">
        <v>237</v>
      </c>
    </row>
    <row r="72" spans="1:25" ht="39.75" customHeight="1" x14ac:dyDescent="0.2">
      <c r="A72" s="79">
        <v>17</v>
      </c>
      <c r="B72" s="86" t="s">
        <v>145</v>
      </c>
      <c r="C72" s="315" t="s">
        <v>110</v>
      </c>
      <c r="D72" s="13" t="s">
        <v>21</v>
      </c>
      <c r="E72" s="13" t="s">
        <v>99</v>
      </c>
      <c r="F72" s="74">
        <f t="shared" si="11"/>
        <v>529.6</v>
      </c>
      <c r="G72" s="74">
        <f t="shared" si="11"/>
        <v>529.6</v>
      </c>
      <c r="H72" s="74"/>
      <c r="I72" s="38"/>
      <c r="J72" s="38"/>
      <c r="K72" s="38"/>
      <c r="L72" s="38"/>
      <c r="M72" s="38"/>
      <c r="N72" s="38"/>
      <c r="O72" s="38"/>
      <c r="P72" s="38"/>
      <c r="Q72" s="38"/>
      <c r="R72" s="38">
        <f>9.2+96.8+151.3+272.3</f>
        <v>529.6</v>
      </c>
      <c r="S72" s="38">
        <f>9.2+96.8+151.3+272.3</f>
        <v>529.6</v>
      </c>
      <c r="T72" s="38"/>
      <c r="U72" s="38"/>
      <c r="V72" s="38"/>
      <c r="W72" s="38"/>
      <c r="X72" s="38"/>
    </row>
    <row r="73" spans="1:25" ht="14.25" customHeight="1" x14ac:dyDescent="0.2">
      <c r="A73" s="79"/>
      <c r="B73" s="86" t="s">
        <v>141</v>
      </c>
      <c r="C73" s="316"/>
      <c r="D73" s="13"/>
      <c r="E73" s="13"/>
      <c r="F73" s="90"/>
      <c r="G73" s="90"/>
      <c r="H73" s="90"/>
      <c r="I73" s="44"/>
      <c r="J73" s="44"/>
      <c r="K73" s="44"/>
      <c r="L73" s="44"/>
      <c r="M73" s="44"/>
      <c r="N73" s="44"/>
      <c r="O73" s="44"/>
      <c r="P73" s="44"/>
      <c r="Q73" s="44"/>
      <c r="R73" s="44"/>
      <c r="S73" s="44"/>
      <c r="T73" s="44"/>
      <c r="U73" s="44"/>
      <c r="V73" s="44"/>
      <c r="W73" s="44"/>
      <c r="X73" s="44"/>
    </row>
    <row r="74" spans="1:25" ht="18" customHeight="1" x14ac:dyDescent="0.2">
      <c r="A74" s="91"/>
      <c r="B74" s="87" t="s">
        <v>142</v>
      </c>
      <c r="C74" s="317"/>
      <c r="D74" s="6"/>
      <c r="E74" s="6"/>
      <c r="F74" s="72"/>
      <c r="G74" s="72"/>
      <c r="H74" s="72"/>
      <c r="I74" s="30"/>
      <c r="J74" s="30"/>
      <c r="K74" s="30"/>
      <c r="L74" s="30"/>
      <c r="M74" s="30"/>
      <c r="N74" s="30"/>
      <c r="O74" s="30"/>
      <c r="P74" s="30"/>
      <c r="Q74" s="30"/>
      <c r="R74" s="30"/>
      <c r="S74" s="30"/>
      <c r="T74" s="30"/>
      <c r="U74" s="30"/>
      <c r="V74" s="30"/>
      <c r="W74" s="30"/>
      <c r="X74" s="30"/>
    </row>
    <row r="75" spans="1:25" ht="33" customHeight="1" x14ac:dyDescent="0.2">
      <c r="A75" s="80">
        <v>18</v>
      </c>
      <c r="B75" s="32" t="s">
        <v>126</v>
      </c>
      <c r="C75" s="69" t="s">
        <v>110</v>
      </c>
      <c r="D75" s="3" t="s">
        <v>21</v>
      </c>
      <c r="E75" s="3" t="s">
        <v>98</v>
      </c>
      <c r="F75" s="71">
        <f t="shared" ref="F75:G85" si="14">+I75+L75+O75+R75+U75</f>
        <v>1821.8</v>
      </c>
      <c r="G75" s="71">
        <f t="shared" si="14"/>
        <v>1821.8</v>
      </c>
      <c r="H75" s="71"/>
      <c r="I75" s="26"/>
      <c r="J75" s="26"/>
      <c r="K75" s="26"/>
      <c r="L75" s="26"/>
      <c r="M75" s="26"/>
      <c r="N75" s="26"/>
      <c r="O75" s="26"/>
      <c r="P75" s="26"/>
      <c r="Q75" s="26"/>
      <c r="R75" s="26">
        <f>21.8+1800</f>
        <v>1821.8</v>
      </c>
      <c r="S75" s="26">
        <f>21.8+1800</f>
        <v>1821.8</v>
      </c>
      <c r="T75" s="26"/>
      <c r="U75" s="26"/>
      <c r="V75" s="26"/>
      <c r="W75" s="26"/>
      <c r="X75" s="26"/>
    </row>
    <row r="76" spans="1:25" ht="41.25" customHeight="1" x14ac:dyDescent="0.2">
      <c r="A76" s="80">
        <v>19</v>
      </c>
      <c r="B76" s="32" t="s">
        <v>97</v>
      </c>
      <c r="C76" s="69" t="s">
        <v>163</v>
      </c>
      <c r="D76" s="3" t="s">
        <v>46</v>
      </c>
      <c r="E76" s="3" t="s">
        <v>52</v>
      </c>
      <c r="F76" s="71">
        <f t="shared" si="14"/>
        <v>124.5</v>
      </c>
      <c r="G76" s="71">
        <f t="shared" si="14"/>
        <v>124.5</v>
      </c>
      <c r="H76" s="71"/>
      <c r="I76" s="26">
        <v>124.5</v>
      </c>
      <c r="J76" s="26">
        <v>124.5</v>
      </c>
      <c r="K76" s="26"/>
      <c r="L76" s="26"/>
      <c r="M76" s="26"/>
      <c r="N76" s="26"/>
      <c r="O76" s="26"/>
      <c r="P76" s="26"/>
      <c r="Q76" s="26"/>
      <c r="R76" s="26"/>
      <c r="S76" s="26"/>
      <c r="T76" s="26"/>
      <c r="U76" s="26"/>
      <c r="V76" s="26"/>
      <c r="W76" s="26"/>
      <c r="X76" s="26"/>
    </row>
    <row r="77" spans="1:25" ht="31.35" customHeight="1" x14ac:dyDescent="0.2">
      <c r="A77" s="80">
        <v>20</v>
      </c>
      <c r="B77" s="32" t="s">
        <v>79</v>
      </c>
      <c r="C77" s="69" t="s">
        <v>110</v>
      </c>
      <c r="D77" s="3" t="s">
        <v>46</v>
      </c>
      <c r="E77" s="7" t="s">
        <v>52</v>
      </c>
      <c r="F77" s="71">
        <f t="shared" si="14"/>
        <v>135</v>
      </c>
      <c r="G77" s="71">
        <f t="shared" si="14"/>
        <v>135</v>
      </c>
      <c r="H77" s="71"/>
      <c r="I77" s="26">
        <v>135</v>
      </c>
      <c r="J77" s="26">
        <v>135</v>
      </c>
      <c r="K77" s="26"/>
      <c r="L77" s="26"/>
      <c r="M77" s="26"/>
      <c r="N77" s="26"/>
      <c r="O77" s="26"/>
      <c r="P77" s="26"/>
      <c r="Q77" s="26"/>
      <c r="R77" s="26"/>
      <c r="S77" s="26"/>
      <c r="T77" s="26"/>
      <c r="U77" s="26"/>
      <c r="V77" s="26"/>
      <c r="W77" s="26"/>
      <c r="X77" s="26"/>
    </row>
    <row r="78" spans="1:25" s="19" customFormat="1" ht="30" customHeight="1" x14ac:dyDescent="0.2">
      <c r="A78" s="200">
        <v>21</v>
      </c>
      <c r="B78" s="48" t="s">
        <v>127</v>
      </c>
      <c r="C78" s="69" t="s">
        <v>164</v>
      </c>
      <c r="D78" s="6" t="s">
        <v>50</v>
      </c>
      <c r="E78" s="6" t="s">
        <v>52</v>
      </c>
      <c r="F78" s="90">
        <f t="shared" si="14"/>
        <v>3913.3999999999996</v>
      </c>
      <c r="G78" s="90">
        <v>3913.4</v>
      </c>
      <c r="H78" s="90"/>
      <c r="I78" s="30">
        <v>3524.7</v>
      </c>
      <c r="J78" s="30">
        <v>3524.7</v>
      </c>
      <c r="K78" s="30"/>
      <c r="L78" s="30"/>
      <c r="M78" s="30"/>
      <c r="N78" s="30"/>
      <c r="O78" s="30"/>
      <c r="P78" s="30"/>
      <c r="Q78" s="30"/>
      <c r="R78" s="30">
        <v>388.7</v>
      </c>
      <c r="S78" s="30">
        <v>388.7</v>
      </c>
      <c r="T78" s="30"/>
      <c r="U78" s="30"/>
      <c r="V78" s="30"/>
      <c r="W78" s="30"/>
      <c r="X78" s="138"/>
      <c r="Y78" s="185"/>
    </row>
    <row r="79" spans="1:25" s="19" customFormat="1" ht="28.5" customHeight="1" x14ac:dyDescent="0.2">
      <c r="A79" s="200">
        <v>22</v>
      </c>
      <c r="B79" s="32" t="s">
        <v>132</v>
      </c>
      <c r="C79" s="23" t="s">
        <v>42</v>
      </c>
      <c r="D79" s="3" t="s">
        <v>28</v>
      </c>
      <c r="E79" s="3" t="s">
        <v>46</v>
      </c>
      <c r="F79" s="71">
        <f t="shared" si="14"/>
        <v>575.4</v>
      </c>
      <c r="G79" s="71">
        <f t="shared" si="14"/>
        <v>575.4</v>
      </c>
      <c r="H79" s="71"/>
      <c r="I79" s="26">
        <v>149.69999999999999</v>
      </c>
      <c r="J79" s="26">
        <v>149.69999999999999</v>
      </c>
      <c r="K79" s="30"/>
      <c r="L79" s="30">
        <v>425.7</v>
      </c>
      <c r="M79" s="30">
        <v>425.7</v>
      </c>
      <c r="N79" s="30"/>
      <c r="O79" s="30"/>
      <c r="P79" s="30"/>
      <c r="Q79" s="30"/>
      <c r="R79" s="30"/>
      <c r="S79" s="30"/>
      <c r="T79" s="30"/>
      <c r="U79" s="30"/>
      <c r="V79" s="30"/>
      <c r="W79" s="30"/>
      <c r="X79" s="30"/>
      <c r="Y79" s="111"/>
    </row>
    <row r="80" spans="1:25" ht="44.25" customHeight="1" x14ac:dyDescent="0.2">
      <c r="A80" s="193">
        <v>23</v>
      </c>
      <c r="B80" s="98" t="s">
        <v>148</v>
      </c>
      <c r="C80" s="37" t="s">
        <v>47</v>
      </c>
      <c r="D80" s="46" t="s">
        <v>20</v>
      </c>
      <c r="E80" s="99"/>
      <c r="F80" s="89">
        <f t="shared" si="14"/>
        <v>31063.3</v>
      </c>
      <c r="G80" s="89">
        <f t="shared" si="14"/>
        <v>31063.3</v>
      </c>
      <c r="H80" s="89"/>
      <c r="I80" s="52">
        <v>2994.3</v>
      </c>
      <c r="J80" s="52">
        <v>2994.3</v>
      </c>
      <c r="K80" s="52"/>
      <c r="L80" s="128"/>
      <c r="M80" s="128"/>
      <c r="N80" s="128"/>
      <c r="O80" s="26">
        <v>28000</v>
      </c>
      <c r="P80" s="26">
        <v>28000</v>
      </c>
      <c r="Q80" s="26"/>
      <c r="R80" s="26">
        <v>69</v>
      </c>
      <c r="S80" s="26">
        <v>69</v>
      </c>
      <c r="T80" s="26"/>
      <c r="U80" s="26"/>
      <c r="V80" s="26"/>
      <c r="W80" s="26"/>
      <c r="X80" s="26"/>
    </row>
    <row r="81" spans="1:25" ht="44.25" customHeight="1" x14ac:dyDescent="0.2">
      <c r="A81" s="193">
        <v>24</v>
      </c>
      <c r="B81" s="47" t="s">
        <v>195</v>
      </c>
      <c r="C81" s="37" t="s">
        <v>48</v>
      </c>
      <c r="D81" s="46" t="s">
        <v>50</v>
      </c>
      <c r="E81" s="116">
        <v>2024</v>
      </c>
      <c r="F81" s="89">
        <f t="shared" si="14"/>
        <v>1400</v>
      </c>
      <c r="G81" s="89">
        <f t="shared" si="14"/>
        <v>1400</v>
      </c>
      <c r="H81" s="89"/>
      <c r="I81" s="52">
        <v>400</v>
      </c>
      <c r="J81" s="52">
        <v>400</v>
      </c>
      <c r="K81" s="52"/>
      <c r="L81" s="128"/>
      <c r="M81" s="128"/>
      <c r="N81" s="128"/>
      <c r="O81" s="26"/>
      <c r="P81" s="26"/>
      <c r="Q81" s="26"/>
      <c r="R81" s="26">
        <v>1000</v>
      </c>
      <c r="S81" s="26">
        <v>1000</v>
      </c>
      <c r="T81" s="26"/>
      <c r="U81" s="26"/>
      <c r="V81" s="26"/>
      <c r="W81" s="26"/>
      <c r="X81" s="26"/>
    </row>
    <row r="82" spans="1:25" ht="28.5" customHeight="1" x14ac:dyDescent="0.2">
      <c r="A82" s="75">
        <v>25</v>
      </c>
      <c r="B82" s="115" t="s">
        <v>161</v>
      </c>
      <c r="C82" s="23" t="s">
        <v>47</v>
      </c>
      <c r="D82" s="116">
        <v>2021</v>
      </c>
      <c r="E82" s="116">
        <v>2023</v>
      </c>
      <c r="F82" s="89">
        <f t="shared" si="14"/>
        <v>400</v>
      </c>
      <c r="G82" s="89">
        <f t="shared" si="14"/>
        <v>400</v>
      </c>
      <c r="H82" s="89"/>
      <c r="I82" s="52">
        <v>400</v>
      </c>
      <c r="J82" s="52">
        <v>400</v>
      </c>
      <c r="K82" s="52"/>
      <c r="L82" s="128"/>
      <c r="M82" s="128"/>
      <c r="N82" s="128"/>
      <c r="O82" s="26"/>
      <c r="P82" s="26"/>
      <c r="Q82" s="26"/>
      <c r="R82" s="26"/>
      <c r="S82" s="26"/>
      <c r="T82" s="26"/>
      <c r="U82" s="26"/>
      <c r="V82" s="26"/>
      <c r="W82" s="26"/>
      <c r="X82" s="26"/>
    </row>
    <row r="83" spans="1:25" ht="32.25" customHeight="1" x14ac:dyDescent="0.2">
      <c r="A83" s="75">
        <v>26</v>
      </c>
      <c r="B83" s="115" t="s">
        <v>180</v>
      </c>
      <c r="C83" s="23" t="s">
        <v>47</v>
      </c>
      <c r="D83" s="116">
        <v>2021</v>
      </c>
      <c r="E83" s="108">
        <v>2025</v>
      </c>
      <c r="F83" s="89">
        <f t="shared" si="14"/>
        <v>833.8</v>
      </c>
      <c r="G83" s="89">
        <f t="shared" si="14"/>
        <v>833.8</v>
      </c>
      <c r="H83" s="89"/>
      <c r="I83" s="52">
        <v>833.8</v>
      </c>
      <c r="J83" s="52">
        <v>833.8</v>
      </c>
      <c r="K83" s="52"/>
      <c r="L83" s="128"/>
      <c r="M83" s="128"/>
      <c r="N83" s="128"/>
      <c r="O83" s="26"/>
      <c r="P83" s="26"/>
      <c r="Q83" s="26"/>
      <c r="R83" s="26"/>
      <c r="S83" s="26"/>
      <c r="T83" s="26"/>
      <c r="U83" s="26"/>
      <c r="V83" s="26"/>
      <c r="W83" s="26"/>
      <c r="X83" s="26"/>
    </row>
    <row r="84" spans="1:25" ht="27.6" customHeight="1" x14ac:dyDescent="0.2">
      <c r="A84" s="75">
        <v>27</v>
      </c>
      <c r="B84" s="115" t="s">
        <v>150</v>
      </c>
      <c r="C84" s="23" t="s">
        <v>42</v>
      </c>
      <c r="D84" s="116">
        <v>2022</v>
      </c>
      <c r="E84" s="108">
        <v>2022</v>
      </c>
      <c r="F84" s="89">
        <f t="shared" si="14"/>
        <v>5000</v>
      </c>
      <c r="G84" s="89">
        <f>2250+2750</f>
        <v>5000</v>
      </c>
      <c r="H84" s="89"/>
      <c r="I84" s="52">
        <v>2250</v>
      </c>
      <c r="J84" s="52">
        <v>2250</v>
      </c>
      <c r="K84" s="52"/>
      <c r="L84" s="26">
        <v>2750</v>
      </c>
      <c r="M84" s="26">
        <v>2750</v>
      </c>
      <c r="N84" s="26"/>
      <c r="O84" s="26"/>
      <c r="P84" s="26"/>
      <c r="Q84" s="26"/>
      <c r="R84" s="26"/>
      <c r="S84" s="26"/>
      <c r="T84" s="26"/>
      <c r="U84" s="26"/>
      <c r="V84" s="26"/>
      <c r="W84" s="26"/>
      <c r="X84" s="169"/>
    </row>
    <row r="85" spans="1:25" ht="92.85" customHeight="1" x14ac:dyDescent="0.2">
      <c r="A85" s="75">
        <v>28</v>
      </c>
      <c r="B85" s="218" t="s">
        <v>200</v>
      </c>
      <c r="C85" s="23" t="s">
        <v>47</v>
      </c>
      <c r="D85" s="152">
        <v>2021</v>
      </c>
      <c r="E85" s="153">
        <v>2021</v>
      </c>
      <c r="F85" s="216">
        <f t="shared" si="14"/>
        <v>308</v>
      </c>
      <c r="G85" s="216">
        <f t="shared" si="14"/>
        <v>373</v>
      </c>
      <c r="H85" s="216">
        <f>+G85-F85</f>
        <v>65</v>
      </c>
      <c r="I85" s="217">
        <f>43-24.2</f>
        <v>18.8</v>
      </c>
      <c r="J85" s="217">
        <f>43-24.2+89.2</f>
        <v>108</v>
      </c>
      <c r="K85" s="217">
        <f>+J85-I85</f>
        <v>89.2</v>
      </c>
      <c r="L85" s="128"/>
      <c r="M85" s="128"/>
      <c r="N85" s="128"/>
      <c r="O85" s="26"/>
      <c r="P85" s="26"/>
      <c r="Q85" s="26"/>
      <c r="R85" s="215">
        <v>289.2</v>
      </c>
      <c r="S85" s="215">
        <f>289.2-24.2</f>
        <v>265</v>
      </c>
      <c r="T85" s="215">
        <f>+S85-R85</f>
        <v>-24.199999999999989</v>
      </c>
      <c r="U85" s="26"/>
      <c r="V85" s="26"/>
      <c r="W85" s="26"/>
      <c r="X85" s="49" t="s">
        <v>235</v>
      </c>
    </row>
    <row r="86" spans="1:25" ht="30" customHeight="1" x14ac:dyDescent="0.2">
      <c r="A86" s="75">
        <v>29</v>
      </c>
      <c r="B86" s="182" t="s">
        <v>219</v>
      </c>
      <c r="C86" s="23"/>
      <c r="D86" s="152">
        <v>2021</v>
      </c>
      <c r="E86" s="152">
        <v>2022</v>
      </c>
      <c r="F86" s="89">
        <f>I86+L86+O86+R86+U86</f>
        <v>360</v>
      </c>
      <c r="G86" s="89">
        <v>360</v>
      </c>
      <c r="H86" s="89"/>
      <c r="I86" s="52">
        <v>360</v>
      </c>
      <c r="J86" s="52">
        <v>360</v>
      </c>
      <c r="K86" s="52"/>
      <c r="L86" s="128"/>
      <c r="M86" s="128"/>
      <c r="N86" s="128"/>
      <c r="O86" s="26"/>
      <c r="P86" s="26"/>
      <c r="Q86" s="26"/>
      <c r="R86" s="26"/>
      <c r="S86" s="26"/>
      <c r="T86" s="26"/>
      <c r="U86" s="26"/>
      <c r="V86" s="26"/>
      <c r="W86" s="26"/>
      <c r="X86" s="49"/>
    </row>
    <row r="87" spans="1:25" ht="15" customHeight="1" x14ac:dyDescent="0.2">
      <c r="A87" s="100">
        <v>29</v>
      </c>
      <c r="B87" s="147" t="s">
        <v>134</v>
      </c>
      <c r="C87" s="96"/>
      <c r="D87" s="97"/>
      <c r="E87" s="101" t="s">
        <v>13</v>
      </c>
      <c r="F87" s="60">
        <f t="shared" ref="F87:W87" si="15">SUM(F46:F86)</f>
        <v>128243.44</v>
      </c>
      <c r="G87" s="60">
        <f t="shared" si="15"/>
        <v>128182.90000000001</v>
      </c>
      <c r="H87" s="60">
        <f>SUM(H46:H86)</f>
        <v>-60.500000000000199</v>
      </c>
      <c r="I87" s="60">
        <f t="shared" si="15"/>
        <v>31442.400000000005</v>
      </c>
      <c r="J87" s="60">
        <f t="shared" si="15"/>
        <v>31435.800000000007</v>
      </c>
      <c r="K87" s="60">
        <f t="shared" si="15"/>
        <v>-6.6000000000000085</v>
      </c>
      <c r="L87" s="60">
        <f t="shared" si="15"/>
        <v>8704</v>
      </c>
      <c r="M87" s="60">
        <f t="shared" si="15"/>
        <v>8704</v>
      </c>
      <c r="N87" s="60">
        <f t="shared" si="15"/>
        <v>0</v>
      </c>
      <c r="O87" s="60">
        <f t="shared" si="15"/>
        <v>53081.7</v>
      </c>
      <c r="P87" s="60">
        <f t="shared" si="15"/>
        <v>53081.7</v>
      </c>
      <c r="Q87" s="60">
        <f t="shared" si="15"/>
        <v>0</v>
      </c>
      <c r="R87" s="60">
        <f t="shared" si="15"/>
        <v>28422.539999999997</v>
      </c>
      <c r="S87" s="60">
        <f t="shared" si="15"/>
        <v>28336.439999999995</v>
      </c>
      <c r="T87" s="60">
        <f t="shared" si="15"/>
        <v>-86.1</v>
      </c>
      <c r="U87" s="60">
        <f t="shared" si="15"/>
        <v>6592.7999999999993</v>
      </c>
      <c r="V87" s="60">
        <f t="shared" si="15"/>
        <v>6625</v>
      </c>
      <c r="W87" s="60">
        <f t="shared" si="15"/>
        <v>32.200000000000017</v>
      </c>
      <c r="X87" s="170"/>
    </row>
    <row r="88" spans="1:25" ht="18" customHeight="1" x14ac:dyDescent="0.2">
      <c r="A88" s="303" t="s">
        <v>37</v>
      </c>
      <c r="B88" s="304"/>
      <c r="C88" s="304"/>
      <c r="D88" s="304"/>
      <c r="E88" s="304"/>
      <c r="F88" s="304"/>
      <c r="G88" s="304"/>
      <c r="H88" s="304"/>
      <c r="I88" s="304"/>
      <c r="J88" s="304"/>
      <c r="K88" s="304"/>
      <c r="L88" s="304"/>
      <c r="M88" s="304"/>
      <c r="N88" s="304"/>
      <c r="O88" s="304"/>
      <c r="P88" s="304"/>
      <c r="Q88" s="304"/>
      <c r="R88" s="304"/>
      <c r="S88" s="158"/>
      <c r="T88" s="158"/>
      <c r="U88" s="142"/>
      <c r="V88" s="158"/>
      <c r="W88" s="158"/>
      <c r="X88" s="171"/>
    </row>
    <row r="89" spans="1:25" ht="41.25" customHeight="1" x14ac:dyDescent="0.2">
      <c r="A89" s="193" t="s">
        <v>90</v>
      </c>
      <c r="B89" s="49" t="s">
        <v>65</v>
      </c>
      <c r="C89" s="69" t="s">
        <v>77</v>
      </c>
      <c r="D89" s="42" t="s">
        <v>28</v>
      </c>
      <c r="E89" s="3" t="s">
        <v>98</v>
      </c>
      <c r="F89" s="95">
        <f t="shared" ref="F89:G107" si="16">+I89+L89+O89+R89+U89</f>
        <v>16532.5</v>
      </c>
      <c r="G89" s="95">
        <f t="shared" si="16"/>
        <v>16532.5</v>
      </c>
      <c r="H89" s="95"/>
      <c r="I89" s="31">
        <v>16532.5</v>
      </c>
      <c r="J89" s="31">
        <v>16532.5</v>
      </c>
      <c r="K89" s="31"/>
      <c r="L89" s="26"/>
      <c r="M89" s="26"/>
      <c r="N89" s="26"/>
      <c r="O89" s="26"/>
      <c r="P89" s="26"/>
      <c r="Q89" s="26"/>
      <c r="R89" s="26"/>
      <c r="S89" s="26"/>
      <c r="T89" s="26"/>
      <c r="U89" s="26"/>
      <c r="V89" s="26"/>
      <c r="W89" s="26"/>
      <c r="X89" s="26"/>
    </row>
    <row r="90" spans="1:25" ht="39.6" customHeight="1" x14ac:dyDescent="0.2">
      <c r="A90" s="193" t="s">
        <v>70</v>
      </c>
      <c r="B90" s="49" t="s">
        <v>66</v>
      </c>
      <c r="C90" s="69" t="s">
        <v>77</v>
      </c>
      <c r="D90" s="42" t="s">
        <v>27</v>
      </c>
      <c r="E90" s="3" t="s">
        <v>50</v>
      </c>
      <c r="F90" s="71">
        <f t="shared" si="16"/>
        <v>11483.5</v>
      </c>
      <c r="G90" s="71">
        <f t="shared" si="16"/>
        <v>11483.5</v>
      </c>
      <c r="H90" s="71"/>
      <c r="I90" s="26">
        <v>4662.8999999999996</v>
      </c>
      <c r="J90" s="26">
        <v>4662.8999999999996</v>
      </c>
      <c r="K90" s="26"/>
      <c r="L90" s="26">
        <v>6267.5</v>
      </c>
      <c r="M90" s="26">
        <v>6267.5</v>
      </c>
      <c r="N90" s="30"/>
      <c r="O90" s="30">
        <v>553.1</v>
      </c>
      <c r="P90" s="30">
        <v>553.1</v>
      </c>
      <c r="Q90" s="30"/>
      <c r="R90" s="30"/>
      <c r="S90" s="30"/>
      <c r="T90" s="30"/>
      <c r="U90" s="30"/>
      <c r="V90" s="30"/>
      <c r="W90" s="30"/>
      <c r="X90" s="30"/>
    </row>
    <row r="91" spans="1:25" ht="65.099999999999994" customHeight="1" x14ac:dyDescent="0.2">
      <c r="A91" s="193" t="s">
        <v>102</v>
      </c>
      <c r="B91" s="49" t="s">
        <v>67</v>
      </c>
      <c r="C91" s="202" t="s">
        <v>179</v>
      </c>
      <c r="D91" s="42" t="s">
        <v>28</v>
      </c>
      <c r="E91" s="3" t="s">
        <v>46</v>
      </c>
      <c r="F91" s="71">
        <f t="shared" si="16"/>
        <v>3017.6000000000004</v>
      </c>
      <c r="G91" s="71">
        <f>561.32+2257+199.3</f>
        <v>3017.6200000000003</v>
      </c>
      <c r="H91" s="71"/>
      <c r="I91" s="26">
        <v>561.29999999999995</v>
      </c>
      <c r="J91" s="26">
        <v>561.29999999999995</v>
      </c>
      <c r="K91" s="26"/>
      <c r="L91" s="26">
        <v>2257</v>
      </c>
      <c r="M91" s="26">
        <v>2257</v>
      </c>
      <c r="N91" s="26"/>
      <c r="O91" s="26">
        <v>199.3</v>
      </c>
      <c r="P91" s="26">
        <v>199.3</v>
      </c>
      <c r="Q91" s="26"/>
      <c r="R91" s="26"/>
      <c r="S91" s="26"/>
      <c r="T91" s="26"/>
      <c r="U91" s="26"/>
      <c r="V91" s="26"/>
      <c r="W91" s="26"/>
      <c r="X91" s="49"/>
    </row>
    <row r="92" spans="1:25" ht="54" customHeight="1" x14ac:dyDescent="0.2">
      <c r="A92" s="193" t="s">
        <v>103</v>
      </c>
      <c r="B92" s="138" t="s">
        <v>157</v>
      </c>
      <c r="C92" s="202" t="s">
        <v>179</v>
      </c>
      <c r="D92" s="43" t="s">
        <v>28</v>
      </c>
      <c r="E92" s="6" t="s">
        <v>98</v>
      </c>
      <c r="F92" s="72">
        <f t="shared" si="16"/>
        <v>6088.4</v>
      </c>
      <c r="G92" s="72">
        <f t="shared" si="16"/>
        <v>6088.4</v>
      </c>
      <c r="H92" s="72"/>
      <c r="I92" s="30">
        <v>6088.4</v>
      </c>
      <c r="J92" s="30">
        <v>6088.4</v>
      </c>
      <c r="K92" s="30"/>
      <c r="L92" s="30"/>
      <c r="M92" s="30"/>
      <c r="N92" s="30"/>
      <c r="O92" s="30"/>
      <c r="P92" s="30"/>
      <c r="Q92" s="30"/>
      <c r="R92" s="26"/>
      <c r="S92" s="26"/>
      <c r="T92" s="26"/>
      <c r="U92" s="26"/>
      <c r="V92" s="26"/>
      <c r="W92" s="26"/>
      <c r="X92" s="26"/>
      <c r="Y92" s="110"/>
    </row>
    <row r="93" spans="1:25" ht="32.1" customHeight="1" x14ac:dyDescent="0.2">
      <c r="A93" s="193" t="s">
        <v>19</v>
      </c>
      <c r="B93" s="49" t="s">
        <v>68</v>
      </c>
      <c r="C93" s="197" t="s">
        <v>179</v>
      </c>
      <c r="D93" s="42" t="s">
        <v>28</v>
      </c>
      <c r="E93" s="3" t="s">
        <v>46</v>
      </c>
      <c r="F93" s="71">
        <f t="shared" si="16"/>
        <v>1866.2</v>
      </c>
      <c r="G93" s="71">
        <f t="shared" si="16"/>
        <v>1866.2</v>
      </c>
      <c r="H93" s="71"/>
      <c r="I93" s="26">
        <f>451-7</f>
        <v>444</v>
      </c>
      <c r="J93" s="26">
        <f>451-7</f>
        <v>444</v>
      </c>
      <c r="K93" s="26"/>
      <c r="L93" s="26">
        <f>1304.5+2.4</f>
        <v>1306.9000000000001</v>
      </c>
      <c r="M93" s="26">
        <f>1304.5+2.4</f>
        <v>1306.9000000000001</v>
      </c>
      <c r="N93" s="26"/>
      <c r="O93" s="26">
        <f>115.1+0.2</f>
        <v>115.3</v>
      </c>
      <c r="P93" s="26">
        <f>115.1+0.2</f>
        <v>115.3</v>
      </c>
      <c r="Q93" s="26"/>
      <c r="R93" s="26"/>
      <c r="S93" s="26"/>
      <c r="T93" s="26"/>
      <c r="U93" s="26"/>
      <c r="V93" s="26"/>
      <c r="W93" s="26"/>
      <c r="X93" s="49"/>
    </row>
    <row r="94" spans="1:25" ht="40.5" customHeight="1" x14ac:dyDescent="0.2">
      <c r="A94" s="193" t="s">
        <v>24</v>
      </c>
      <c r="B94" s="49" t="s">
        <v>117</v>
      </c>
      <c r="C94" s="69" t="s">
        <v>78</v>
      </c>
      <c r="D94" s="42" t="s">
        <v>18</v>
      </c>
      <c r="E94" s="3" t="s">
        <v>50</v>
      </c>
      <c r="F94" s="71">
        <f t="shared" si="16"/>
        <v>94</v>
      </c>
      <c r="G94" s="71">
        <f t="shared" si="16"/>
        <v>94</v>
      </c>
      <c r="H94" s="71"/>
      <c r="I94" s="23">
        <v>94</v>
      </c>
      <c r="J94" s="23">
        <v>94</v>
      </c>
      <c r="K94" s="23"/>
      <c r="L94" s="26"/>
      <c r="M94" s="26"/>
      <c r="N94" s="26"/>
      <c r="O94" s="26"/>
      <c r="P94" s="26"/>
      <c r="Q94" s="26"/>
      <c r="R94" s="26"/>
      <c r="S94" s="26"/>
      <c r="T94" s="26"/>
      <c r="U94" s="26"/>
      <c r="V94" s="26"/>
      <c r="W94" s="26"/>
      <c r="X94" s="26"/>
    </row>
    <row r="95" spans="1:25" ht="27" customHeight="1" x14ac:dyDescent="0.2">
      <c r="A95" s="193" t="s">
        <v>104</v>
      </c>
      <c r="B95" s="49" t="s">
        <v>29</v>
      </c>
      <c r="C95" s="32" t="s">
        <v>53</v>
      </c>
      <c r="D95" s="3" t="s">
        <v>27</v>
      </c>
      <c r="E95" s="3" t="s">
        <v>98</v>
      </c>
      <c r="F95" s="71">
        <f t="shared" si="16"/>
        <v>1458.8</v>
      </c>
      <c r="G95" s="71">
        <f t="shared" si="16"/>
        <v>1458.8</v>
      </c>
      <c r="H95" s="71"/>
      <c r="I95" s="26">
        <v>1458.8</v>
      </c>
      <c r="J95" s="26">
        <v>1458.8</v>
      </c>
      <c r="K95" s="26"/>
      <c r="L95" s="26"/>
      <c r="M95" s="26"/>
      <c r="N95" s="26"/>
      <c r="O95" s="26"/>
      <c r="P95" s="26"/>
      <c r="Q95" s="26"/>
      <c r="R95" s="26"/>
      <c r="S95" s="26"/>
      <c r="T95" s="26"/>
      <c r="U95" s="26"/>
      <c r="V95" s="26"/>
      <c r="W95" s="26"/>
      <c r="X95" s="26"/>
    </row>
    <row r="96" spans="1:25" ht="39" customHeight="1" x14ac:dyDescent="0.2">
      <c r="A96" s="193" t="s">
        <v>111</v>
      </c>
      <c r="B96" s="49" t="s">
        <v>121</v>
      </c>
      <c r="C96" s="23" t="s">
        <v>47</v>
      </c>
      <c r="D96" s="3" t="s">
        <v>21</v>
      </c>
      <c r="E96" s="3" t="s">
        <v>52</v>
      </c>
      <c r="F96" s="71">
        <f t="shared" si="16"/>
        <v>314.8</v>
      </c>
      <c r="G96" s="71">
        <f t="shared" si="16"/>
        <v>314.8</v>
      </c>
      <c r="H96" s="71"/>
      <c r="I96" s="26">
        <v>314.8</v>
      </c>
      <c r="J96" s="26">
        <v>314.8</v>
      </c>
      <c r="K96" s="26"/>
      <c r="L96" s="26"/>
      <c r="M96" s="26"/>
      <c r="N96" s="26"/>
      <c r="O96" s="26"/>
      <c r="P96" s="26"/>
      <c r="Q96" s="26"/>
      <c r="R96" s="26"/>
      <c r="S96" s="26"/>
      <c r="T96" s="26"/>
      <c r="U96" s="26"/>
      <c r="V96" s="26"/>
      <c r="W96" s="26"/>
      <c r="X96" s="26"/>
    </row>
    <row r="97" spans="1:25" ht="27" customHeight="1" x14ac:dyDescent="0.2">
      <c r="A97" s="193" t="s">
        <v>112</v>
      </c>
      <c r="B97" s="232" t="s">
        <v>25</v>
      </c>
      <c r="C97" s="196" t="s">
        <v>41</v>
      </c>
      <c r="D97" s="13" t="s">
        <v>27</v>
      </c>
      <c r="E97" s="13" t="s">
        <v>46</v>
      </c>
      <c r="F97" s="224">
        <f t="shared" si="16"/>
        <v>927.09999999999991</v>
      </c>
      <c r="G97" s="224">
        <f t="shared" si="16"/>
        <v>916.19999999999993</v>
      </c>
      <c r="H97" s="224">
        <f>+G97-F97</f>
        <v>-10.899999999999977</v>
      </c>
      <c r="I97" s="231">
        <f>753.4+158.2+19.7-27.1</f>
        <v>904.19999999999993</v>
      </c>
      <c r="J97" s="231">
        <f>753.4+158.2+19.7-27.1-10.9</f>
        <v>893.3</v>
      </c>
      <c r="K97" s="231">
        <f>+J97-I97</f>
        <v>-10.899999999999977</v>
      </c>
      <c r="L97" s="44"/>
      <c r="M97" s="44"/>
      <c r="N97" s="44"/>
      <c r="O97" s="44"/>
      <c r="P97" s="44"/>
      <c r="Q97" s="44"/>
      <c r="R97" s="44"/>
      <c r="S97" s="44"/>
      <c r="T97" s="44"/>
      <c r="U97" s="30">
        <v>22.9</v>
      </c>
      <c r="V97" s="30">
        <v>22.9</v>
      </c>
      <c r="W97" s="44"/>
      <c r="X97" s="138" t="s">
        <v>237</v>
      </c>
    </row>
    <row r="98" spans="1:25" ht="17.850000000000001" customHeight="1" x14ac:dyDescent="0.2">
      <c r="A98" s="193" t="s">
        <v>113</v>
      </c>
      <c r="B98" s="221" t="s">
        <v>109</v>
      </c>
      <c r="C98" s="26" t="s">
        <v>41</v>
      </c>
      <c r="D98" s="3" t="s">
        <v>28</v>
      </c>
      <c r="E98" s="3" t="s">
        <v>52</v>
      </c>
      <c r="F98" s="214">
        <f t="shared" si="16"/>
        <v>1137.8000000000002</v>
      </c>
      <c r="G98" s="214">
        <f t="shared" si="16"/>
        <v>859.4000000000002</v>
      </c>
      <c r="H98" s="214">
        <f>+G98-F98</f>
        <v>-278.39999999999998</v>
      </c>
      <c r="I98" s="215">
        <f>16.6+512.7+591.5+17</f>
        <v>1137.8000000000002</v>
      </c>
      <c r="J98" s="215">
        <f>16.6+512.7+591.5+17-278.4</f>
        <v>859.4000000000002</v>
      </c>
      <c r="K98" s="215">
        <f>+J98-I98</f>
        <v>-278.39999999999998</v>
      </c>
      <c r="L98" s="26"/>
      <c r="M98" s="26"/>
      <c r="N98" s="26"/>
      <c r="O98" s="26"/>
      <c r="P98" s="26"/>
      <c r="Q98" s="26"/>
      <c r="R98" s="26"/>
      <c r="S98" s="26"/>
      <c r="T98" s="26"/>
      <c r="U98" s="26"/>
      <c r="V98" s="26"/>
      <c r="W98" s="26"/>
      <c r="X98" s="169" t="s">
        <v>237</v>
      </c>
    </row>
    <row r="99" spans="1:25" ht="43.5" customHeight="1" x14ac:dyDescent="0.2">
      <c r="A99" s="193" t="s">
        <v>114</v>
      </c>
      <c r="B99" s="49" t="s">
        <v>130</v>
      </c>
      <c r="C99" s="50"/>
      <c r="D99" s="3" t="s">
        <v>46</v>
      </c>
      <c r="E99" s="2" t="s">
        <v>50</v>
      </c>
      <c r="F99" s="71">
        <f t="shared" si="16"/>
        <v>427.1</v>
      </c>
      <c r="G99" s="71">
        <f t="shared" si="16"/>
        <v>427.1</v>
      </c>
      <c r="H99" s="71"/>
      <c r="I99" s="26">
        <f>400+27.1</f>
        <v>427.1</v>
      </c>
      <c r="J99" s="26">
        <f>400+27.1</f>
        <v>427.1</v>
      </c>
      <c r="K99" s="26"/>
      <c r="L99" s="26"/>
      <c r="M99" s="26"/>
      <c r="N99" s="26"/>
      <c r="O99" s="26"/>
      <c r="P99" s="26"/>
      <c r="Q99" s="26"/>
      <c r="R99" s="26"/>
      <c r="S99" s="26"/>
      <c r="T99" s="26"/>
      <c r="U99" s="26"/>
      <c r="V99" s="26"/>
      <c r="W99" s="26"/>
      <c r="X99" s="49"/>
    </row>
    <row r="100" spans="1:25" ht="20.100000000000001" customHeight="1" x14ac:dyDescent="0.2">
      <c r="A100" s="193">
        <v>12</v>
      </c>
      <c r="B100" s="49" t="s">
        <v>133</v>
      </c>
      <c r="C100" s="23"/>
      <c r="D100" s="12" t="s">
        <v>46</v>
      </c>
      <c r="E100" s="14" t="s">
        <v>52</v>
      </c>
      <c r="F100" s="71">
        <f t="shared" si="16"/>
        <v>3178.3</v>
      </c>
      <c r="G100" s="71">
        <f t="shared" si="16"/>
        <v>3178.3</v>
      </c>
      <c r="H100" s="71"/>
      <c r="I100" s="23">
        <v>3178.3</v>
      </c>
      <c r="J100" s="23">
        <v>3178.3</v>
      </c>
      <c r="K100" s="196"/>
      <c r="L100" s="196"/>
      <c r="M100" s="196"/>
      <c r="N100" s="196"/>
      <c r="O100" s="23"/>
      <c r="P100" s="23"/>
      <c r="Q100" s="23"/>
      <c r="R100" s="23"/>
      <c r="S100" s="197"/>
      <c r="T100" s="197"/>
      <c r="U100" s="197"/>
      <c r="V100" s="197"/>
      <c r="W100" s="197"/>
      <c r="X100" s="197"/>
    </row>
    <row r="101" spans="1:25" ht="39" customHeight="1" x14ac:dyDescent="0.2">
      <c r="A101" s="193">
        <v>14</v>
      </c>
      <c r="B101" s="49" t="s">
        <v>131</v>
      </c>
      <c r="C101" s="51" t="s">
        <v>75</v>
      </c>
      <c r="D101" s="3" t="s">
        <v>52</v>
      </c>
      <c r="E101" s="15" t="s">
        <v>52</v>
      </c>
      <c r="F101" s="89">
        <f t="shared" si="16"/>
        <v>459.2</v>
      </c>
      <c r="G101" s="89">
        <f t="shared" si="16"/>
        <v>459.2</v>
      </c>
      <c r="H101" s="89"/>
      <c r="I101" s="52">
        <v>459.2</v>
      </c>
      <c r="J101" s="52">
        <v>459.2</v>
      </c>
      <c r="K101" s="52"/>
      <c r="L101" s="26"/>
      <c r="M101" s="31"/>
      <c r="N101" s="31"/>
      <c r="O101" s="31"/>
      <c r="P101" s="31"/>
      <c r="Q101" s="31"/>
      <c r="R101" s="31"/>
      <c r="S101" s="31"/>
      <c r="T101" s="31"/>
      <c r="U101" s="26"/>
      <c r="V101" s="31"/>
      <c r="W101" s="31"/>
      <c r="X101" s="26"/>
    </row>
    <row r="102" spans="1:25" ht="40.5" customHeight="1" x14ac:dyDescent="0.2">
      <c r="A102" s="193">
        <v>15</v>
      </c>
      <c r="B102" s="49" t="s">
        <v>91</v>
      </c>
      <c r="C102" s="23" t="s">
        <v>110</v>
      </c>
      <c r="D102" s="3" t="s">
        <v>46</v>
      </c>
      <c r="E102" s="3" t="s">
        <v>52</v>
      </c>
      <c r="F102" s="71">
        <f t="shared" si="16"/>
        <v>383.8</v>
      </c>
      <c r="G102" s="71">
        <f t="shared" si="16"/>
        <v>383.8</v>
      </c>
      <c r="H102" s="71"/>
      <c r="I102" s="26">
        <f>358.5+25.3</f>
        <v>383.8</v>
      </c>
      <c r="J102" s="26">
        <f>358.5+25.3</f>
        <v>383.8</v>
      </c>
      <c r="K102" s="26"/>
      <c r="L102" s="26"/>
      <c r="M102" s="26"/>
      <c r="N102" s="26"/>
      <c r="O102" s="26"/>
      <c r="P102" s="26"/>
      <c r="Q102" s="26"/>
      <c r="R102" s="26"/>
      <c r="S102" s="26"/>
      <c r="T102" s="26"/>
      <c r="U102" s="26"/>
      <c r="V102" s="26"/>
      <c r="W102" s="26"/>
      <c r="X102" s="49"/>
    </row>
    <row r="103" spans="1:25" ht="41.25" customHeight="1" x14ac:dyDescent="0.2">
      <c r="A103" s="193">
        <v>16</v>
      </c>
      <c r="B103" s="93" t="s">
        <v>100</v>
      </c>
      <c r="C103" s="133" t="s">
        <v>165</v>
      </c>
      <c r="D103" s="82" t="s">
        <v>46</v>
      </c>
      <c r="E103" s="82" t="s">
        <v>52</v>
      </c>
      <c r="F103" s="90">
        <f t="shared" si="16"/>
        <v>3865.1</v>
      </c>
      <c r="G103" s="90">
        <f t="shared" si="16"/>
        <v>3865.1</v>
      </c>
      <c r="H103" s="71"/>
      <c r="I103" s="44">
        <f>3663.5+201.6</f>
        <v>3865.1</v>
      </c>
      <c r="J103" s="44">
        <f>3663.5+201.6</f>
        <v>3865.1</v>
      </c>
      <c r="K103" s="26"/>
      <c r="L103" s="45"/>
      <c r="M103" s="45"/>
      <c r="N103" s="45"/>
      <c r="O103" s="45"/>
      <c r="P103" s="45"/>
      <c r="Q103" s="45"/>
      <c r="R103" s="45"/>
      <c r="S103" s="45"/>
      <c r="T103" s="45"/>
      <c r="U103" s="45"/>
      <c r="V103" s="45"/>
      <c r="W103" s="45"/>
      <c r="X103" s="93"/>
      <c r="Y103" s="111"/>
    </row>
    <row r="104" spans="1:25" ht="32.85" customHeight="1" x14ac:dyDescent="0.2">
      <c r="A104" s="193">
        <v>17</v>
      </c>
      <c r="B104" s="49" t="s">
        <v>69</v>
      </c>
      <c r="C104" s="69" t="s">
        <v>77</v>
      </c>
      <c r="D104" s="42" t="s">
        <v>28</v>
      </c>
      <c r="E104" s="3" t="s">
        <v>50</v>
      </c>
      <c r="F104" s="71">
        <f t="shared" si="16"/>
        <v>6291.9</v>
      </c>
      <c r="G104" s="71">
        <f>1204.5+4675+412.4</f>
        <v>6291.9</v>
      </c>
      <c r="H104" s="71"/>
      <c r="I104" s="26">
        <v>1204.4000000000001</v>
      </c>
      <c r="J104" s="26">
        <v>1204.4000000000001</v>
      </c>
      <c r="K104" s="26"/>
      <c r="L104" s="26">
        <v>4675</v>
      </c>
      <c r="M104" s="26">
        <v>4675</v>
      </c>
      <c r="N104" s="26"/>
      <c r="O104" s="26">
        <v>412.5</v>
      </c>
      <c r="P104" s="26">
        <v>412.5</v>
      </c>
      <c r="Q104" s="26"/>
      <c r="R104" s="26"/>
      <c r="S104" s="26"/>
      <c r="T104" s="26"/>
      <c r="U104" s="26"/>
      <c r="V104" s="26"/>
      <c r="W104" s="26"/>
      <c r="X104" s="49"/>
    </row>
    <row r="105" spans="1:25" ht="92.1" customHeight="1" thickBot="1" x14ac:dyDescent="0.25">
      <c r="A105" s="193">
        <v>18</v>
      </c>
      <c r="B105" s="240" t="s">
        <v>92</v>
      </c>
      <c r="C105" s="234" t="s">
        <v>110</v>
      </c>
      <c r="D105" s="241" t="s">
        <v>21</v>
      </c>
      <c r="E105" s="241" t="s">
        <v>50</v>
      </c>
      <c r="F105" s="242">
        <f t="shared" si="16"/>
        <v>471.5</v>
      </c>
      <c r="G105" s="242">
        <f t="shared" si="16"/>
        <v>389.2</v>
      </c>
      <c r="H105" s="242">
        <f>+G105-F105</f>
        <v>-82.300000000000011</v>
      </c>
      <c r="I105" s="236">
        <f>510-38.5</f>
        <v>471.5</v>
      </c>
      <c r="J105" s="236">
        <f>510-38.5-82.3</f>
        <v>389.2</v>
      </c>
      <c r="K105" s="236">
        <f>+J105-I105</f>
        <v>-82.300000000000011</v>
      </c>
      <c r="L105" s="243"/>
      <c r="M105" s="243"/>
      <c r="N105" s="243"/>
      <c r="O105" s="243"/>
      <c r="P105" s="243"/>
      <c r="Q105" s="243"/>
      <c r="R105" s="243"/>
      <c r="S105" s="243"/>
      <c r="T105" s="243"/>
      <c r="U105" s="243"/>
      <c r="V105" s="243"/>
      <c r="W105" s="243"/>
      <c r="X105" s="237" t="s">
        <v>238</v>
      </c>
      <c r="Y105" s="244" t="s">
        <v>241</v>
      </c>
    </row>
    <row r="106" spans="1:25" ht="39" customHeight="1" thickBot="1" x14ac:dyDescent="0.25">
      <c r="A106" s="102">
        <v>19</v>
      </c>
      <c r="B106" s="129" t="s">
        <v>158</v>
      </c>
      <c r="C106" s="36" t="s">
        <v>178</v>
      </c>
      <c r="D106" s="3" t="s">
        <v>46</v>
      </c>
      <c r="E106" s="3"/>
      <c r="F106" s="71">
        <f t="shared" si="16"/>
        <v>125</v>
      </c>
      <c r="G106" s="71">
        <f t="shared" si="16"/>
        <v>125</v>
      </c>
      <c r="H106" s="71"/>
      <c r="I106" s="23">
        <v>125</v>
      </c>
      <c r="J106" s="23">
        <v>125</v>
      </c>
      <c r="K106" s="23"/>
      <c r="L106" s="26"/>
      <c r="M106" s="26"/>
      <c r="N106" s="26"/>
      <c r="O106" s="26"/>
      <c r="P106" s="26"/>
      <c r="Q106" s="26"/>
      <c r="R106" s="26"/>
      <c r="S106" s="26"/>
      <c r="T106" s="26"/>
      <c r="U106" s="26"/>
      <c r="V106" s="26"/>
      <c r="W106" s="26"/>
      <c r="X106" s="26"/>
      <c r="Y106" s="204"/>
    </row>
    <row r="107" spans="1:25" ht="26.1" customHeight="1" thickBot="1" x14ac:dyDescent="0.25">
      <c r="A107" s="102">
        <v>20</v>
      </c>
      <c r="B107" s="129" t="s">
        <v>194</v>
      </c>
      <c r="C107" s="36"/>
      <c r="D107" s="3" t="s">
        <v>46</v>
      </c>
      <c r="E107" s="3" t="s">
        <v>52</v>
      </c>
      <c r="F107" s="71">
        <f t="shared" si="16"/>
        <v>834.7</v>
      </c>
      <c r="G107" s="71">
        <f t="shared" si="16"/>
        <v>834.7</v>
      </c>
      <c r="H107" s="71"/>
      <c r="I107" s="23">
        <v>834.7</v>
      </c>
      <c r="J107" s="23">
        <v>834.7</v>
      </c>
      <c r="K107" s="23"/>
      <c r="L107" s="26"/>
      <c r="M107" s="26"/>
      <c r="N107" s="26"/>
      <c r="O107" s="26"/>
      <c r="P107" s="26"/>
      <c r="Q107" s="26"/>
      <c r="R107" s="26"/>
      <c r="S107" s="26"/>
      <c r="T107" s="26"/>
      <c r="U107" s="26"/>
      <c r="V107" s="26"/>
      <c r="W107" s="26"/>
      <c r="X107" s="26"/>
      <c r="Y107" s="204"/>
    </row>
    <row r="108" spans="1:25" ht="15" customHeight="1" x14ac:dyDescent="0.2">
      <c r="A108" s="78">
        <v>20</v>
      </c>
      <c r="B108" s="103" t="s">
        <v>135</v>
      </c>
      <c r="C108" s="61"/>
      <c r="D108" s="62"/>
      <c r="E108" s="63" t="s">
        <v>13</v>
      </c>
      <c r="F108" s="64">
        <f t="shared" ref="F108:W108" si="17">SUM(F89:F107)</f>
        <v>58957.3</v>
      </c>
      <c r="G108" s="64">
        <f t="shared" si="17"/>
        <v>58585.719999999994</v>
      </c>
      <c r="H108" s="64">
        <f t="shared" si="17"/>
        <v>-371.59999999999997</v>
      </c>
      <c r="I108" s="64">
        <f t="shared" si="17"/>
        <v>43147.799999999996</v>
      </c>
      <c r="J108" s="64">
        <f t="shared" si="17"/>
        <v>42776.19999999999</v>
      </c>
      <c r="K108" s="64">
        <f t="shared" si="17"/>
        <v>-371.59999999999997</v>
      </c>
      <c r="L108" s="64">
        <f t="shared" si="17"/>
        <v>14506.4</v>
      </c>
      <c r="M108" s="64">
        <f t="shared" si="17"/>
        <v>14506.4</v>
      </c>
      <c r="N108" s="64">
        <f t="shared" si="17"/>
        <v>0</v>
      </c>
      <c r="O108" s="64">
        <f t="shared" si="17"/>
        <v>1280.2</v>
      </c>
      <c r="P108" s="64">
        <f t="shared" si="17"/>
        <v>1280.2</v>
      </c>
      <c r="Q108" s="64">
        <f t="shared" si="17"/>
        <v>0</v>
      </c>
      <c r="R108" s="64">
        <f t="shared" si="17"/>
        <v>0</v>
      </c>
      <c r="S108" s="64">
        <f t="shared" si="17"/>
        <v>0</v>
      </c>
      <c r="T108" s="64">
        <f t="shared" si="17"/>
        <v>0</v>
      </c>
      <c r="U108" s="64">
        <f t="shared" si="17"/>
        <v>22.9</v>
      </c>
      <c r="V108" s="64">
        <f t="shared" si="17"/>
        <v>22.9</v>
      </c>
      <c r="W108" s="64">
        <f t="shared" si="17"/>
        <v>0</v>
      </c>
      <c r="X108" s="167"/>
    </row>
    <row r="109" spans="1:25" s="33" customFormat="1" ht="15" customHeight="1" x14ac:dyDescent="0.25">
      <c r="A109" s="293" t="s">
        <v>35</v>
      </c>
      <c r="B109" s="294"/>
      <c r="C109" s="294"/>
      <c r="D109" s="294"/>
      <c r="E109" s="294"/>
      <c r="F109" s="294"/>
      <c r="G109" s="294"/>
      <c r="H109" s="294"/>
      <c r="I109" s="294"/>
      <c r="J109" s="294"/>
      <c r="K109" s="294"/>
      <c r="L109" s="294"/>
      <c r="M109" s="294"/>
      <c r="N109" s="294"/>
      <c r="O109" s="294"/>
      <c r="P109" s="294"/>
      <c r="Q109" s="294"/>
      <c r="R109" s="294"/>
      <c r="S109" s="159"/>
      <c r="T109" s="159"/>
      <c r="U109" s="143"/>
      <c r="V109" s="159"/>
      <c r="W109" s="159"/>
      <c r="X109" s="172"/>
    </row>
    <row r="110" spans="1:25" s="33" customFormat="1" ht="64.5" customHeight="1" x14ac:dyDescent="0.25">
      <c r="A110" s="75" t="s">
        <v>90</v>
      </c>
      <c r="B110" s="130" t="s">
        <v>62</v>
      </c>
      <c r="C110" s="34" t="s">
        <v>174</v>
      </c>
      <c r="D110" s="10" t="s">
        <v>20</v>
      </c>
      <c r="E110" s="10" t="s">
        <v>46</v>
      </c>
      <c r="F110" s="71">
        <f t="shared" ref="F110:G115" si="18">+I110+L110+O110+R110+U110</f>
        <v>1965.6</v>
      </c>
      <c r="G110" s="71">
        <f t="shared" si="18"/>
        <v>1965.6</v>
      </c>
      <c r="H110" s="71"/>
      <c r="I110" s="23">
        <v>838.6</v>
      </c>
      <c r="J110" s="23">
        <v>838.6</v>
      </c>
      <c r="K110" s="23"/>
      <c r="L110" s="23">
        <v>1127</v>
      </c>
      <c r="M110" s="23">
        <v>1127</v>
      </c>
      <c r="N110" s="23"/>
      <c r="O110" s="23"/>
      <c r="P110" s="23"/>
      <c r="Q110" s="23"/>
      <c r="R110" s="23"/>
      <c r="S110" s="23"/>
      <c r="T110" s="23"/>
      <c r="U110" s="23"/>
      <c r="V110" s="23"/>
      <c r="W110" s="23"/>
      <c r="X110" s="23"/>
    </row>
    <row r="111" spans="1:25" s="33" customFormat="1" ht="32.85" customHeight="1" x14ac:dyDescent="0.25">
      <c r="A111" s="75" t="s">
        <v>70</v>
      </c>
      <c r="B111" s="130" t="s">
        <v>63</v>
      </c>
      <c r="C111" s="34" t="s">
        <v>107</v>
      </c>
      <c r="D111" s="10" t="s">
        <v>28</v>
      </c>
      <c r="E111" s="10" t="s">
        <v>46</v>
      </c>
      <c r="F111" s="71">
        <f t="shared" si="18"/>
        <v>829.7</v>
      </c>
      <c r="G111" s="71">
        <f t="shared" si="18"/>
        <v>829.7</v>
      </c>
      <c r="H111" s="71"/>
      <c r="I111" s="23">
        <v>829.7</v>
      </c>
      <c r="J111" s="23">
        <v>829.7</v>
      </c>
      <c r="K111" s="23"/>
      <c r="L111" s="23"/>
      <c r="M111" s="23"/>
      <c r="N111" s="23"/>
      <c r="O111" s="23"/>
      <c r="P111" s="23"/>
      <c r="Q111" s="23"/>
      <c r="R111" s="23"/>
      <c r="S111" s="23"/>
      <c r="T111" s="23"/>
      <c r="U111" s="23"/>
      <c r="V111" s="23"/>
      <c r="W111" s="23"/>
      <c r="X111" s="23"/>
    </row>
    <row r="112" spans="1:25" s="33" customFormat="1" ht="32.1" customHeight="1" x14ac:dyDescent="0.25">
      <c r="A112" s="75" t="s">
        <v>102</v>
      </c>
      <c r="B112" s="35" t="s">
        <v>86</v>
      </c>
      <c r="C112" s="34" t="s">
        <v>108</v>
      </c>
      <c r="D112" s="10" t="s">
        <v>27</v>
      </c>
      <c r="E112" s="11" t="s">
        <v>52</v>
      </c>
      <c r="F112" s="71">
        <f t="shared" si="18"/>
        <v>1000</v>
      </c>
      <c r="G112" s="71">
        <f t="shared" si="18"/>
        <v>1000</v>
      </c>
      <c r="H112" s="71"/>
      <c r="I112" s="23">
        <v>1000</v>
      </c>
      <c r="J112" s="23">
        <v>1000</v>
      </c>
      <c r="K112" s="23"/>
      <c r="L112" s="23"/>
      <c r="M112" s="23"/>
      <c r="N112" s="23"/>
      <c r="O112" s="23"/>
      <c r="P112" s="23"/>
      <c r="Q112" s="23"/>
      <c r="R112" s="23"/>
      <c r="S112" s="23"/>
      <c r="T112" s="23"/>
      <c r="U112" s="23"/>
      <c r="V112" s="23"/>
      <c r="W112" s="23"/>
      <c r="X112" s="23"/>
    </row>
    <row r="113" spans="1:25" s="33" customFormat="1" ht="40.5" customHeight="1" x14ac:dyDescent="0.25">
      <c r="A113" s="75" t="s">
        <v>103</v>
      </c>
      <c r="B113" s="35" t="s">
        <v>82</v>
      </c>
      <c r="C113" s="34" t="s">
        <v>47</v>
      </c>
      <c r="D113" s="10" t="s">
        <v>27</v>
      </c>
      <c r="E113" s="11" t="s">
        <v>119</v>
      </c>
      <c r="F113" s="71">
        <f t="shared" si="18"/>
        <v>3900</v>
      </c>
      <c r="G113" s="71">
        <f t="shared" si="18"/>
        <v>3900</v>
      </c>
      <c r="H113" s="71"/>
      <c r="I113" s="23">
        <v>3900</v>
      </c>
      <c r="J113" s="23">
        <v>3900</v>
      </c>
      <c r="K113" s="23"/>
      <c r="L113" s="23"/>
      <c r="M113" s="23"/>
      <c r="N113" s="23"/>
      <c r="O113" s="23"/>
      <c r="P113" s="23"/>
      <c r="Q113" s="23"/>
      <c r="R113" s="23"/>
      <c r="S113" s="23"/>
      <c r="T113" s="23"/>
      <c r="U113" s="23"/>
      <c r="V113" s="23"/>
      <c r="W113" s="23"/>
      <c r="X113" s="23"/>
    </row>
    <row r="114" spans="1:25" s="33" customFormat="1" ht="29.85" customHeight="1" x14ac:dyDescent="0.25">
      <c r="A114" s="75" t="s">
        <v>19</v>
      </c>
      <c r="B114" s="130" t="s">
        <v>122</v>
      </c>
      <c r="C114" s="34" t="s">
        <v>48</v>
      </c>
      <c r="D114" s="10" t="s">
        <v>50</v>
      </c>
      <c r="E114" s="11" t="s">
        <v>52</v>
      </c>
      <c r="F114" s="71">
        <f t="shared" si="18"/>
        <v>120</v>
      </c>
      <c r="G114" s="71">
        <f t="shared" si="18"/>
        <v>120</v>
      </c>
      <c r="H114" s="71"/>
      <c r="I114" s="23">
        <v>120</v>
      </c>
      <c r="J114" s="23">
        <v>120</v>
      </c>
      <c r="K114" s="23"/>
      <c r="L114" s="23"/>
      <c r="M114" s="23"/>
      <c r="N114" s="23"/>
      <c r="O114" s="23"/>
      <c r="P114" s="23"/>
      <c r="Q114" s="23"/>
      <c r="R114" s="23"/>
      <c r="S114" s="23"/>
      <c r="T114" s="23"/>
      <c r="U114" s="23"/>
      <c r="V114" s="23"/>
      <c r="W114" s="23"/>
      <c r="X114" s="23"/>
    </row>
    <row r="115" spans="1:25" s="33" customFormat="1" ht="33" customHeight="1" x14ac:dyDescent="0.25">
      <c r="A115" s="75">
        <v>6</v>
      </c>
      <c r="B115" s="144" t="s">
        <v>172</v>
      </c>
      <c r="C115" s="34" t="s">
        <v>173</v>
      </c>
      <c r="D115" s="10" t="s">
        <v>18</v>
      </c>
      <c r="E115" s="10" t="s">
        <v>98</v>
      </c>
      <c r="F115" s="71">
        <f t="shared" si="18"/>
        <v>1636.9</v>
      </c>
      <c r="G115" s="71">
        <f t="shared" si="18"/>
        <v>1636.9</v>
      </c>
      <c r="H115" s="71"/>
      <c r="I115" s="23">
        <v>1636.9</v>
      </c>
      <c r="J115" s="23">
        <v>1636.9</v>
      </c>
      <c r="K115" s="23"/>
      <c r="L115" s="23"/>
      <c r="M115" s="23"/>
      <c r="N115" s="23"/>
      <c r="O115" s="23"/>
      <c r="P115" s="23"/>
      <c r="Q115" s="23"/>
      <c r="R115" s="23"/>
      <c r="S115" s="23"/>
      <c r="T115" s="23"/>
      <c r="U115" s="23"/>
      <c r="V115" s="23"/>
      <c r="W115" s="23"/>
      <c r="X115" s="23"/>
      <c r="Y115" s="205"/>
    </row>
    <row r="116" spans="1:25" s="33" customFormat="1" ht="15.75" customHeight="1" x14ac:dyDescent="0.25">
      <c r="A116" s="76">
        <v>6</v>
      </c>
      <c r="B116" s="136" t="s">
        <v>134</v>
      </c>
      <c r="C116" s="57"/>
      <c r="D116" s="58"/>
      <c r="E116" s="65" t="s">
        <v>13</v>
      </c>
      <c r="F116" s="66">
        <f t="shared" ref="F116:K116" si="19">SUM(F110:F115)</f>
        <v>9452.2000000000007</v>
      </c>
      <c r="G116" s="66">
        <f t="shared" si="19"/>
        <v>9452.2000000000007</v>
      </c>
      <c r="H116" s="66">
        <f t="shared" si="19"/>
        <v>0</v>
      </c>
      <c r="I116" s="66">
        <f t="shared" si="19"/>
        <v>8325.2000000000007</v>
      </c>
      <c r="J116" s="66">
        <f t="shared" si="19"/>
        <v>8325.2000000000007</v>
      </c>
      <c r="K116" s="66">
        <f t="shared" si="19"/>
        <v>0</v>
      </c>
      <c r="L116" s="66">
        <f t="shared" ref="L116:T116" si="20">SUM(L110:L115)</f>
        <v>1127</v>
      </c>
      <c r="M116" s="66">
        <f t="shared" si="20"/>
        <v>1127</v>
      </c>
      <c r="N116" s="66">
        <f t="shared" si="20"/>
        <v>0</v>
      </c>
      <c r="O116" s="66">
        <f t="shared" si="20"/>
        <v>0</v>
      </c>
      <c r="P116" s="66">
        <f t="shared" si="20"/>
        <v>0</v>
      </c>
      <c r="Q116" s="66">
        <f t="shared" si="20"/>
        <v>0</v>
      </c>
      <c r="R116" s="66">
        <f t="shared" si="20"/>
        <v>0</v>
      </c>
      <c r="S116" s="66">
        <f t="shared" si="20"/>
        <v>0</v>
      </c>
      <c r="T116" s="66">
        <f t="shared" si="20"/>
        <v>0</v>
      </c>
      <c r="U116" s="66">
        <f t="shared" ref="U116:W116" si="21">SUM(U110:U115)</f>
        <v>0</v>
      </c>
      <c r="V116" s="66">
        <f t="shared" si="21"/>
        <v>0</v>
      </c>
      <c r="W116" s="66">
        <f t="shared" si="21"/>
        <v>0</v>
      </c>
      <c r="X116" s="166"/>
    </row>
    <row r="117" spans="1:25" s="33" customFormat="1" ht="18" customHeight="1" x14ac:dyDescent="0.25">
      <c r="A117" s="305" t="s">
        <v>36</v>
      </c>
      <c r="B117" s="306"/>
      <c r="C117" s="306"/>
      <c r="D117" s="306"/>
      <c r="E117" s="306"/>
      <c r="F117" s="306"/>
      <c r="G117" s="306"/>
      <c r="H117" s="306"/>
      <c r="I117" s="306"/>
      <c r="J117" s="306"/>
      <c r="K117" s="306"/>
      <c r="L117" s="306"/>
      <c r="M117" s="306"/>
      <c r="N117" s="306"/>
      <c r="O117" s="306"/>
      <c r="P117" s="306"/>
      <c r="Q117" s="306"/>
      <c r="R117" s="306"/>
      <c r="S117" s="160"/>
      <c r="T117" s="160"/>
      <c r="U117" s="145"/>
      <c r="V117" s="160"/>
      <c r="W117" s="160"/>
      <c r="X117" s="173"/>
    </row>
    <row r="118" spans="1:25" s="33" customFormat="1" ht="83.1" customHeight="1" x14ac:dyDescent="0.25">
      <c r="A118" s="75" t="s">
        <v>90</v>
      </c>
      <c r="B118" s="25" t="s">
        <v>80</v>
      </c>
      <c r="C118" s="34" t="s">
        <v>54</v>
      </c>
      <c r="D118" s="7">
        <v>2017</v>
      </c>
      <c r="E118" s="7">
        <v>2020</v>
      </c>
      <c r="F118" s="71">
        <f>+I118+L118+O118+R118+U118</f>
        <v>1376.6999999999998</v>
      </c>
      <c r="G118" s="71">
        <f>+J118+M118+P118+S118+V118</f>
        <v>1376.6999999999998</v>
      </c>
      <c r="H118" s="71"/>
      <c r="I118" s="23">
        <v>257.8</v>
      </c>
      <c r="J118" s="23">
        <v>257.8</v>
      </c>
      <c r="K118" s="23"/>
      <c r="L118" s="23">
        <v>1028.3</v>
      </c>
      <c r="M118" s="23">
        <v>1028.3</v>
      </c>
      <c r="N118" s="23"/>
      <c r="O118" s="23">
        <v>90.6</v>
      </c>
      <c r="P118" s="23">
        <v>90.6</v>
      </c>
      <c r="Q118" s="23"/>
      <c r="R118" s="23"/>
      <c r="S118" s="23"/>
      <c r="T118" s="23"/>
      <c r="U118" s="23"/>
      <c r="V118" s="23"/>
      <c r="W118" s="23"/>
      <c r="X118" s="23"/>
    </row>
    <row r="119" spans="1:25" s="33" customFormat="1" ht="31.35" customHeight="1" x14ac:dyDescent="0.25">
      <c r="A119" s="75" t="s">
        <v>70</v>
      </c>
      <c r="B119" s="25" t="s">
        <v>30</v>
      </c>
      <c r="C119" s="146" t="s">
        <v>32</v>
      </c>
      <c r="D119" s="1">
        <v>2017</v>
      </c>
      <c r="E119" s="9">
        <v>2021</v>
      </c>
      <c r="F119" s="71">
        <f>+I119+L119+O119+R119+U119</f>
        <v>13700</v>
      </c>
      <c r="G119" s="71">
        <f>+J119+M119+P119+S119+V119</f>
        <v>13700</v>
      </c>
      <c r="H119" s="74"/>
      <c r="I119" s="195">
        <v>13700</v>
      </c>
      <c r="J119" s="195">
        <v>13700</v>
      </c>
      <c r="K119" s="195"/>
      <c r="L119" s="23"/>
      <c r="M119" s="23"/>
      <c r="N119" s="23"/>
      <c r="O119" s="23"/>
      <c r="P119" s="23"/>
      <c r="Q119" s="23"/>
      <c r="R119" s="23"/>
      <c r="S119" s="23"/>
      <c r="T119" s="23"/>
      <c r="U119" s="23"/>
      <c r="V119" s="23"/>
      <c r="W119" s="23"/>
      <c r="X119" s="23"/>
      <c r="Y119" s="205"/>
    </row>
    <row r="120" spans="1:25" s="33" customFormat="1" ht="35.25" customHeight="1" x14ac:dyDescent="0.25">
      <c r="A120" s="75" t="s">
        <v>102</v>
      </c>
      <c r="B120" s="49" t="s">
        <v>83</v>
      </c>
      <c r="C120" s="23" t="s">
        <v>84</v>
      </c>
      <c r="D120" s="7" t="s">
        <v>21</v>
      </c>
      <c r="E120" s="7" t="s">
        <v>119</v>
      </c>
      <c r="F120" s="71">
        <f>I120+L120+O120+R120+U120</f>
        <v>8208.6</v>
      </c>
      <c r="G120" s="71">
        <f>8176+205-172.4</f>
        <v>8208.6</v>
      </c>
      <c r="H120" s="71"/>
      <c r="I120" s="206">
        <f>7854.1+32.6</f>
        <v>7886.7000000000007</v>
      </c>
      <c r="J120" s="206">
        <f>7854.1+205-172.4</f>
        <v>7886.7000000000007</v>
      </c>
      <c r="K120" s="206"/>
      <c r="L120" s="36"/>
      <c r="M120" s="36"/>
      <c r="N120" s="36"/>
      <c r="O120" s="23">
        <v>232</v>
      </c>
      <c r="P120" s="23">
        <v>232</v>
      </c>
      <c r="Q120" s="23"/>
      <c r="R120" s="23"/>
      <c r="S120" s="23"/>
      <c r="T120" s="23"/>
      <c r="U120" s="23">
        <v>89.9</v>
      </c>
      <c r="V120" s="23">
        <v>89.9</v>
      </c>
      <c r="W120" s="23"/>
      <c r="X120" s="49"/>
    </row>
    <row r="121" spans="1:25" s="33" customFormat="1" ht="77.849999999999994" customHeight="1" x14ac:dyDescent="0.25">
      <c r="A121" s="75" t="s">
        <v>103</v>
      </c>
      <c r="B121" s="233" t="s">
        <v>93</v>
      </c>
      <c r="C121" s="236" t="s">
        <v>84</v>
      </c>
      <c r="D121" s="238">
        <v>2018</v>
      </c>
      <c r="E121" s="238" t="s">
        <v>46</v>
      </c>
      <c r="F121" s="235">
        <f>I121+L121+O121+R121+U121</f>
        <v>1319.3</v>
      </c>
      <c r="G121" s="235">
        <f>J121+M121+P121+S121+V121</f>
        <v>1356.1</v>
      </c>
      <c r="H121" s="235">
        <f>+G121-F121</f>
        <v>36.799999999999955</v>
      </c>
      <c r="I121" s="236">
        <v>1319.3</v>
      </c>
      <c r="J121" s="236">
        <f>1319.3+36.8</f>
        <v>1356.1</v>
      </c>
      <c r="K121" s="236">
        <f>+J121-I121</f>
        <v>36.799999999999955</v>
      </c>
      <c r="L121" s="236"/>
      <c r="M121" s="236"/>
      <c r="N121" s="236"/>
      <c r="O121" s="236"/>
      <c r="P121" s="236"/>
      <c r="Q121" s="236"/>
      <c r="R121" s="236"/>
      <c r="S121" s="236"/>
      <c r="T121" s="236"/>
      <c r="U121" s="236"/>
      <c r="V121" s="236"/>
      <c r="W121" s="236"/>
      <c r="X121" s="233" t="s">
        <v>239</v>
      </c>
      <c r="Y121" s="239" t="s">
        <v>245</v>
      </c>
    </row>
    <row r="122" spans="1:25" s="33" customFormat="1" ht="39.75" customHeight="1" x14ac:dyDescent="0.25">
      <c r="A122" s="75">
        <v>5</v>
      </c>
      <c r="B122" s="49" t="s">
        <v>59</v>
      </c>
      <c r="C122" s="23" t="s">
        <v>54</v>
      </c>
      <c r="D122" s="4" t="s">
        <v>28</v>
      </c>
      <c r="E122" s="4" t="s">
        <v>52</v>
      </c>
      <c r="F122" s="72">
        <f>I122+L122+O122+R122+U122</f>
        <v>895.5</v>
      </c>
      <c r="G122" s="72">
        <f>J122+M122+P122+S122+V122</f>
        <v>895.5</v>
      </c>
      <c r="H122" s="72"/>
      <c r="I122" s="23">
        <v>52.5</v>
      </c>
      <c r="J122" s="23">
        <v>52.5</v>
      </c>
      <c r="K122" s="23"/>
      <c r="L122" s="23"/>
      <c r="M122" s="23"/>
      <c r="N122" s="23"/>
      <c r="O122" s="23">
        <v>843</v>
      </c>
      <c r="P122" s="23">
        <v>843</v>
      </c>
      <c r="Q122" s="23"/>
      <c r="R122" s="23"/>
      <c r="S122" s="23"/>
      <c r="T122" s="23"/>
      <c r="U122" s="23"/>
      <c r="V122" s="23"/>
      <c r="W122" s="23"/>
      <c r="X122" s="23"/>
    </row>
    <row r="123" spans="1:25" s="33" customFormat="1" ht="30" customHeight="1" x14ac:dyDescent="0.25">
      <c r="A123" s="75">
        <v>6</v>
      </c>
      <c r="B123" s="25" t="s">
        <v>87</v>
      </c>
      <c r="C123" s="23" t="s">
        <v>54</v>
      </c>
      <c r="D123" s="7">
        <v>2018</v>
      </c>
      <c r="E123" s="7" t="s">
        <v>50</v>
      </c>
      <c r="F123" s="71">
        <f t="shared" ref="F123:G135" si="22">+I123+L123+O123+R123+U123</f>
        <v>1998.8</v>
      </c>
      <c r="G123" s="71">
        <f t="shared" si="22"/>
        <v>1998.8</v>
      </c>
      <c r="H123" s="71"/>
      <c r="I123" s="23">
        <v>265</v>
      </c>
      <c r="J123" s="23">
        <v>265</v>
      </c>
      <c r="K123" s="23"/>
      <c r="L123" s="23"/>
      <c r="M123" s="23"/>
      <c r="N123" s="23"/>
      <c r="O123" s="23">
        <v>1733.8</v>
      </c>
      <c r="P123" s="23">
        <v>1733.8</v>
      </c>
      <c r="Q123" s="23"/>
      <c r="R123" s="23"/>
      <c r="S123" s="23"/>
      <c r="T123" s="23"/>
      <c r="U123" s="23"/>
      <c r="V123" s="23"/>
      <c r="W123" s="23"/>
      <c r="X123" s="23"/>
    </row>
    <row r="124" spans="1:25" s="33" customFormat="1" ht="30" customHeight="1" x14ac:dyDescent="0.25">
      <c r="A124" s="75">
        <v>7</v>
      </c>
      <c r="B124" s="25" t="s">
        <v>217</v>
      </c>
      <c r="C124" s="23" t="s">
        <v>54</v>
      </c>
      <c r="D124" s="7">
        <v>2019</v>
      </c>
      <c r="E124" s="7" t="s">
        <v>52</v>
      </c>
      <c r="F124" s="71">
        <f t="shared" si="22"/>
        <v>239.2</v>
      </c>
      <c r="G124" s="71">
        <f>39.2+200</f>
        <v>239.2</v>
      </c>
      <c r="H124" s="71"/>
      <c r="I124" s="23">
        <v>39.200000000000003</v>
      </c>
      <c r="J124" s="23">
        <v>39.200000000000003</v>
      </c>
      <c r="K124" s="23"/>
      <c r="L124" s="23"/>
      <c r="M124" s="23"/>
      <c r="N124" s="23"/>
      <c r="O124" s="23">
        <v>200</v>
      </c>
      <c r="P124" s="23">
        <v>200</v>
      </c>
      <c r="Q124" s="23"/>
      <c r="R124" s="23"/>
      <c r="S124" s="23"/>
      <c r="T124" s="23"/>
      <c r="U124" s="23"/>
      <c r="V124" s="23"/>
      <c r="W124" s="23"/>
      <c r="X124" s="49"/>
      <c r="Y124" s="104"/>
    </row>
    <row r="125" spans="1:25" s="33" customFormat="1" ht="53.85" customHeight="1" x14ac:dyDescent="0.25">
      <c r="A125" s="75">
        <v>8</v>
      </c>
      <c r="B125" s="25" t="s">
        <v>105</v>
      </c>
      <c r="C125" s="34" t="s">
        <v>76</v>
      </c>
      <c r="D125" s="7">
        <v>2017</v>
      </c>
      <c r="E125" s="7" t="s">
        <v>98</v>
      </c>
      <c r="F125" s="71">
        <f t="shared" si="22"/>
        <v>4867.2</v>
      </c>
      <c r="G125" s="71">
        <f t="shared" si="22"/>
        <v>4867.2</v>
      </c>
      <c r="H125" s="71"/>
      <c r="I125" s="23">
        <v>4867.2</v>
      </c>
      <c r="J125" s="23">
        <v>4867.2</v>
      </c>
      <c r="K125" s="23"/>
      <c r="L125" s="23"/>
      <c r="M125" s="23"/>
      <c r="N125" s="23"/>
      <c r="O125" s="23"/>
      <c r="P125" s="23"/>
      <c r="Q125" s="23"/>
      <c r="R125" s="23"/>
      <c r="S125" s="23"/>
      <c r="T125" s="23"/>
      <c r="U125" s="23"/>
      <c r="V125" s="23"/>
      <c r="W125" s="23"/>
      <c r="X125" s="23"/>
    </row>
    <row r="126" spans="1:25" s="33" customFormat="1" ht="55.5" customHeight="1" x14ac:dyDescent="0.25">
      <c r="A126" s="75">
        <v>9</v>
      </c>
      <c r="B126" s="49" t="s">
        <v>106</v>
      </c>
      <c r="C126" s="23" t="s">
        <v>76</v>
      </c>
      <c r="D126" s="7">
        <v>2017</v>
      </c>
      <c r="E126" s="7" t="s">
        <v>50</v>
      </c>
      <c r="F126" s="71">
        <f t="shared" si="22"/>
        <v>2837.2</v>
      </c>
      <c r="G126" s="71">
        <f t="shared" si="22"/>
        <v>2837.2</v>
      </c>
      <c r="H126" s="71"/>
      <c r="I126" s="23">
        <v>1958.1</v>
      </c>
      <c r="J126" s="23">
        <v>1958.1</v>
      </c>
      <c r="K126" s="23"/>
      <c r="L126" s="23">
        <v>879.1</v>
      </c>
      <c r="M126" s="23">
        <v>879.1</v>
      </c>
      <c r="N126" s="23"/>
      <c r="O126" s="23"/>
      <c r="P126" s="23"/>
      <c r="Q126" s="23"/>
      <c r="R126" s="23"/>
      <c r="S126" s="23"/>
      <c r="T126" s="23"/>
      <c r="U126" s="23"/>
      <c r="V126" s="23"/>
      <c r="W126" s="23"/>
      <c r="X126" s="23"/>
      <c r="Y126" s="203"/>
    </row>
    <row r="127" spans="1:25" s="33" customFormat="1" ht="27.75" customHeight="1" x14ac:dyDescent="0.25">
      <c r="A127" s="75">
        <v>10</v>
      </c>
      <c r="B127" s="27" t="s">
        <v>88</v>
      </c>
      <c r="C127" s="23" t="s">
        <v>54</v>
      </c>
      <c r="D127" s="7">
        <v>2018</v>
      </c>
      <c r="E127" s="7" t="s">
        <v>50</v>
      </c>
      <c r="F127" s="71">
        <f t="shared" si="22"/>
        <v>696.3</v>
      </c>
      <c r="G127" s="71">
        <f t="shared" si="22"/>
        <v>696.3</v>
      </c>
      <c r="H127" s="71"/>
      <c r="I127" s="23">
        <v>696.3</v>
      </c>
      <c r="J127" s="23">
        <v>696.3</v>
      </c>
      <c r="K127" s="23"/>
      <c r="L127" s="23"/>
      <c r="M127" s="23"/>
      <c r="N127" s="23"/>
      <c r="O127" s="23"/>
      <c r="P127" s="23"/>
      <c r="Q127" s="23"/>
      <c r="R127" s="23"/>
      <c r="S127" s="23"/>
      <c r="T127" s="23"/>
      <c r="U127" s="23"/>
      <c r="V127" s="23"/>
      <c r="W127" s="23"/>
      <c r="X127" s="23"/>
    </row>
    <row r="128" spans="1:25" s="33" customFormat="1" ht="54.6" customHeight="1" x14ac:dyDescent="0.25">
      <c r="A128" s="75">
        <v>11</v>
      </c>
      <c r="B128" s="27" t="s">
        <v>31</v>
      </c>
      <c r="C128" s="23" t="s">
        <v>54</v>
      </c>
      <c r="D128" s="7">
        <v>2016</v>
      </c>
      <c r="E128" s="7" t="s">
        <v>46</v>
      </c>
      <c r="F128" s="71">
        <f t="shared" si="22"/>
        <v>780.09999999999991</v>
      </c>
      <c r="G128" s="71">
        <f t="shared" si="22"/>
        <v>780.09999999999991</v>
      </c>
      <c r="H128" s="71"/>
      <c r="I128" s="23">
        <v>232.3</v>
      </c>
      <c r="J128" s="23">
        <v>232.3</v>
      </c>
      <c r="K128" s="23"/>
      <c r="L128" s="23">
        <v>547.79999999999995</v>
      </c>
      <c r="M128" s="23">
        <v>547.79999999999995</v>
      </c>
      <c r="N128" s="23"/>
      <c r="O128" s="23"/>
      <c r="P128" s="23"/>
      <c r="Q128" s="23"/>
      <c r="R128" s="23"/>
      <c r="S128" s="23"/>
      <c r="T128" s="23"/>
      <c r="U128" s="23"/>
      <c r="V128" s="23"/>
      <c r="W128" s="23"/>
      <c r="X128" s="23"/>
    </row>
    <row r="129" spans="1:26" s="33" customFormat="1" ht="43.35" customHeight="1" x14ac:dyDescent="0.25">
      <c r="A129" s="75">
        <v>12</v>
      </c>
      <c r="B129" s="27" t="s">
        <v>118</v>
      </c>
      <c r="C129" s="23" t="s">
        <v>76</v>
      </c>
      <c r="D129" s="7">
        <v>2016</v>
      </c>
      <c r="E129" s="7" t="s">
        <v>99</v>
      </c>
      <c r="F129" s="71">
        <f t="shared" si="22"/>
        <v>1984.1</v>
      </c>
      <c r="G129" s="71">
        <f t="shared" si="22"/>
        <v>1984.1</v>
      </c>
      <c r="H129" s="71"/>
      <c r="I129" s="23">
        <v>1984.1</v>
      </c>
      <c r="J129" s="23">
        <v>1984.1</v>
      </c>
      <c r="K129" s="23"/>
      <c r="L129" s="23"/>
      <c r="M129" s="23"/>
      <c r="N129" s="23"/>
      <c r="O129" s="23"/>
      <c r="P129" s="23"/>
      <c r="Q129" s="23"/>
      <c r="R129" s="23"/>
      <c r="S129" s="23"/>
      <c r="T129" s="23"/>
      <c r="U129" s="23"/>
      <c r="V129" s="23"/>
      <c r="W129" s="23"/>
      <c r="X129" s="23"/>
    </row>
    <row r="130" spans="1:26" s="33" customFormat="1" ht="61.35" customHeight="1" x14ac:dyDescent="0.25">
      <c r="A130" s="75">
        <v>13</v>
      </c>
      <c r="B130" s="53" t="s">
        <v>166</v>
      </c>
      <c r="C130" s="23" t="s">
        <v>160</v>
      </c>
      <c r="D130" s="7" t="s">
        <v>27</v>
      </c>
      <c r="E130" s="55" t="s">
        <v>50</v>
      </c>
      <c r="F130" s="71">
        <f t="shared" si="22"/>
        <v>821.1</v>
      </c>
      <c r="G130" s="71">
        <f t="shared" si="22"/>
        <v>821.1</v>
      </c>
      <c r="H130" s="71"/>
      <c r="I130" s="23">
        <v>821.1</v>
      </c>
      <c r="J130" s="23">
        <v>821.1</v>
      </c>
      <c r="K130" s="23"/>
      <c r="L130" s="23"/>
      <c r="M130" s="23"/>
      <c r="N130" s="23"/>
      <c r="O130" s="23"/>
      <c r="P130" s="23"/>
      <c r="Q130" s="23"/>
      <c r="R130" s="23"/>
      <c r="S130" s="23"/>
      <c r="T130" s="23"/>
      <c r="U130" s="23"/>
      <c r="V130" s="23"/>
      <c r="W130" s="23"/>
      <c r="X130" s="23"/>
    </row>
    <row r="131" spans="1:26" s="33" customFormat="1" ht="60.75" customHeight="1" x14ac:dyDescent="0.25">
      <c r="A131" s="80">
        <v>14</v>
      </c>
      <c r="B131" s="27" t="s">
        <v>228</v>
      </c>
      <c r="C131" s="23" t="s">
        <v>84</v>
      </c>
      <c r="D131" s="7" t="s">
        <v>46</v>
      </c>
      <c r="E131" s="7" t="s">
        <v>52</v>
      </c>
      <c r="F131" s="71">
        <f t="shared" si="22"/>
        <v>480</v>
      </c>
      <c r="G131" s="71">
        <f t="shared" si="22"/>
        <v>480</v>
      </c>
      <c r="H131" s="71"/>
      <c r="I131" s="23">
        <f>400+80</f>
        <v>480</v>
      </c>
      <c r="J131" s="23">
        <f>400+80</f>
        <v>480</v>
      </c>
      <c r="K131" s="23"/>
      <c r="L131" s="23"/>
      <c r="M131" s="23"/>
      <c r="N131" s="23"/>
      <c r="O131" s="23"/>
      <c r="P131" s="23"/>
      <c r="Q131" s="23"/>
      <c r="R131" s="23"/>
      <c r="S131" s="23"/>
      <c r="T131" s="23"/>
      <c r="U131" s="23"/>
      <c r="V131" s="23"/>
      <c r="W131" s="23"/>
      <c r="X131" s="49"/>
    </row>
    <row r="132" spans="1:26" s="33" customFormat="1" ht="99" customHeight="1" x14ac:dyDescent="0.25">
      <c r="A132" s="75">
        <v>15</v>
      </c>
      <c r="B132" s="27" t="s">
        <v>207</v>
      </c>
      <c r="C132" s="23" t="s">
        <v>181</v>
      </c>
      <c r="D132" s="7" t="s">
        <v>50</v>
      </c>
      <c r="E132" s="7" t="s">
        <v>98</v>
      </c>
      <c r="F132" s="71">
        <f t="shared" si="22"/>
        <v>3585.4</v>
      </c>
      <c r="G132" s="71">
        <f t="shared" si="22"/>
        <v>3585.4</v>
      </c>
      <c r="H132" s="71"/>
      <c r="I132" s="23">
        <v>3585.4</v>
      </c>
      <c r="J132" s="23">
        <v>3585.4</v>
      </c>
      <c r="K132" s="23"/>
      <c r="L132" s="23"/>
      <c r="M132" s="23"/>
      <c r="N132" s="23"/>
      <c r="O132" s="23"/>
      <c r="P132" s="23"/>
      <c r="Q132" s="23"/>
      <c r="R132" s="23"/>
      <c r="S132" s="23"/>
      <c r="T132" s="23"/>
      <c r="U132" s="23"/>
      <c r="V132" s="23"/>
      <c r="W132" s="23"/>
      <c r="X132" s="23"/>
    </row>
    <row r="133" spans="1:26" s="33" customFormat="1" ht="32.1" customHeight="1" x14ac:dyDescent="0.25">
      <c r="A133" s="75">
        <v>16</v>
      </c>
      <c r="B133" s="27" t="s">
        <v>182</v>
      </c>
      <c r="C133" s="23" t="s">
        <v>181</v>
      </c>
      <c r="D133" s="7" t="s">
        <v>52</v>
      </c>
      <c r="E133" s="7"/>
      <c r="F133" s="71">
        <f t="shared" si="22"/>
        <v>358.6</v>
      </c>
      <c r="G133" s="71">
        <f t="shared" si="22"/>
        <v>358.6</v>
      </c>
      <c r="H133" s="71"/>
      <c r="I133" s="23">
        <v>58.6</v>
      </c>
      <c r="J133" s="23">
        <v>58.6</v>
      </c>
      <c r="K133" s="23"/>
      <c r="L133" s="23"/>
      <c r="M133" s="23"/>
      <c r="N133" s="23"/>
      <c r="O133" s="23">
        <v>300</v>
      </c>
      <c r="P133" s="23">
        <v>300</v>
      </c>
      <c r="Q133" s="23"/>
      <c r="R133" s="23"/>
      <c r="S133" s="23"/>
      <c r="T133" s="23"/>
      <c r="U133" s="23"/>
      <c r="V133" s="23"/>
      <c r="W133" s="23"/>
      <c r="X133" s="23"/>
    </row>
    <row r="134" spans="1:26" s="33" customFormat="1" ht="42.6" customHeight="1" x14ac:dyDescent="0.25">
      <c r="A134" s="140">
        <v>17</v>
      </c>
      <c r="B134" s="307" t="s">
        <v>183</v>
      </c>
      <c r="C134" s="23" t="s">
        <v>184</v>
      </c>
      <c r="D134" s="7" t="s">
        <v>46</v>
      </c>
      <c r="E134" s="7" t="s">
        <v>52</v>
      </c>
      <c r="F134" s="71">
        <f t="shared" si="22"/>
        <v>522.79999999999995</v>
      </c>
      <c r="G134" s="71">
        <f t="shared" si="22"/>
        <v>522.79999999999995</v>
      </c>
      <c r="H134" s="71"/>
      <c r="I134" s="23">
        <v>122.8</v>
      </c>
      <c r="J134" s="23">
        <v>122.8</v>
      </c>
      <c r="K134" s="23"/>
      <c r="L134" s="23"/>
      <c r="M134" s="23"/>
      <c r="N134" s="23"/>
      <c r="O134" s="23">
        <v>400</v>
      </c>
      <c r="P134" s="23">
        <v>400</v>
      </c>
      <c r="Q134" s="23"/>
      <c r="R134" s="23"/>
      <c r="S134" s="23"/>
      <c r="T134" s="23"/>
      <c r="U134" s="23"/>
      <c r="V134" s="23"/>
      <c r="W134" s="23"/>
      <c r="X134" s="23"/>
    </row>
    <row r="135" spans="1:26" s="33" customFormat="1" ht="26.1" customHeight="1" x14ac:dyDescent="0.25">
      <c r="A135" s="91"/>
      <c r="B135" s="308"/>
      <c r="C135" s="54" t="s">
        <v>185</v>
      </c>
      <c r="D135" s="7" t="s">
        <v>46</v>
      </c>
      <c r="E135" s="7" t="s">
        <v>46</v>
      </c>
      <c r="F135" s="71">
        <f t="shared" si="22"/>
        <v>122.6</v>
      </c>
      <c r="G135" s="71">
        <f t="shared" si="22"/>
        <v>122.6</v>
      </c>
      <c r="H135" s="71"/>
      <c r="I135" s="23">
        <v>28.6</v>
      </c>
      <c r="J135" s="23">
        <v>28.6</v>
      </c>
      <c r="K135" s="23"/>
      <c r="L135" s="23"/>
      <c r="M135" s="23"/>
      <c r="N135" s="23"/>
      <c r="O135" s="23">
        <v>94</v>
      </c>
      <c r="P135" s="23">
        <v>94</v>
      </c>
      <c r="Q135" s="23"/>
      <c r="R135" s="23"/>
      <c r="S135" s="23"/>
      <c r="T135" s="23"/>
      <c r="U135" s="23"/>
      <c r="V135" s="23"/>
      <c r="W135" s="23"/>
      <c r="X135" s="23"/>
      <c r="Z135" s="139"/>
    </row>
    <row r="136" spans="1:26" s="33" customFormat="1" ht="18" customHeight="1" x14ac:dyDescent="0.25">
      <c r="A136" s="78">
        <v>17</v>
      </c>
      <c r="B136" s="135" t="s">
        <v>135</v>
      </c>
      <c r="C136" s="61"/>
      <c r="D136" s="62"/>
      <c r="E136" s="63" t="s">
        <v>13</v>
      </c>
      <c r="F136" s="67">
        <f>SUM(F118:F135)</f>
        <v>44793.5</v>
      </c>
      <c r="G136" s="67">
        <f>SUM(G118:G135)</f>
        <v>44830.3</v>
      </c>
      <c r="H136" s="67">
        <f>SUM(H118:H133)</f>
        <v>36.799999999999955</v>
      </c>
      <c r="I136" s="67">
        <f>SUM(I118:I135)</f>
        <v>38355</v>
      </c>
      <c r="J136" s="67">
        <f>SUM(J118:J135)</f>
        <v>38391.799999999996</v>
      </c>
      <c r="K136" s="67">
        <f>SUM(K118:K135)</f>
        <v>36.799999999999955</v>
      </c>
      <c r="L136" s="67">
        <f t="shared" ref="L136:W136" si="23">SUM(L118:L130)</f>
        <v>2455.1999999999998</v>
      </c>
      <c r="M136" s="67">
        <f t="shared" si="23"/>
        <v>2455.1999999999998</v>
      </c>
      <c r="N136" s="67">
        <f t="shared" si="23"/>
        <v>0</v>
      </c>
      <c r="O136" s="67">
        <f>SUM(O118:O135)</f>
        <v>3893.3999999999996</v>
      </c>
      <c r="P136" s="67">
        <f>SUM(P118:P135)</f>
        <v>3893.3999999999996</v>
      </c>
      <c r="Q136" s="67">
        <f t="shared" si="23"/>
        <v>0</v>
      </c>
      <c r="R136" s="67">
        <f t="shared" si="23"/>
        <v>0</v>
      </c>
      <c r="S136" s="67">
        <f t="shared" si="23"/>
        <v>0</v>
      </c>
      <c r="T136" s="67">
        <f t="shared" si="23"/>
        <v>0</v>
      </c>
      <c r="U136" s="67">
        <f t="shared" si="23"/>
        <v>89.9</v>
      </c>
      <c r="V136" s="67">
        <f t="shared" si="23"/>
        <v>89.9</v>
      </c>
      <c r="W136" s="67">
        <f t="shared" si="23"/>
        <v>0</v>
      </c>
      <c r="X136" s="174"/>
    </row>
    <row r="137" spans="1:26" s="33" customFormat="1" ht="16.5" customHeight="1" x14ac:dyDescent="0.25">
      <c r="A137" s="295" t="s">
        <v>38</v>
      </c>
      <c r="B137" s="296"/>
      <c r="C137" s="296"/>
      <c r="D137" s="296"/>
      <c r="E137" s="296"/>
      <c r="F137" s="296"/>
      <c r="G137" s="296"/>
      <c r="H137" s="296"/>
      <c r="I137" s="296"/>
      <c r="J137" s="296"/>
      <c r="K137" s="296"/>
      <c r="L137" s="296"/>
      <c r="M137" s="296"/>
      <c r="N137" s="296"/>
      <c r="O137" s="296"/>
      <c r="P137" s="296"/>
      <c r="Q137" s="296"/>
      <c r="R137" s="296"/>
      <c r="S137" s="159"/>
      <c r="T137" s="159"/>
      <c r="U137" s="143"/>
      <c r="V137" s="159"/>
      <c r="W137" s="159"/>
      <c r="X137" s="172"/>
    </row>
    <row r="138" spans="1:26" s="33" customFormat="1" ht="30.75" customHeight="1" x14ac:dyDescent="0.25">
      <c r="A138" s="75" t="s">
        <v>90</v>
      </c>
      <c r="B138" s="27" t="s">
        <v>71</v>
      </c>
      <c r="C138" s="26" t="s">
        <v>51</v>
      </c>
      <c r="D138" s="7">
        <v>2017</v>
      </c>
      <c r="E138" s="7" t="s">
        <v>46</v>
      </c>
      <c r="F138" s="71">
        <f t="shared" ref="F138:G146" si="24">+I138+L138+O138+R138+U138</f>
        <v>5629.6</v>
      </c>
      <c r="G138" s="71">
        <f>4359.8+1166.8+103</f>
        <v>5629.6</v>
      </c>
      <c r="H138" s="71"/>
      <c r="I138" s="23">
        <v>4359.8</v>
      </c>
      <c r="J138" s="23">
        <v>4359.8</v>
      </c>
      <c r="K138" s="23"/>
      <c r="L138" s="23">
        <v>1166.8</v>
      </c>
      <c r="M138" s="23">
        <v>1166.8</v>
      </c>
      <c r="N138" s="23"/>
      <c r="O138" s="23">
        <v>103</v>
      </c>
      <c r="P138" s="23">
        <v>103</v>
      </c>
      <c r="Q138" s="23"/>
      <c r="R138" s="23"/>
      <c r="S138" s="23"/>
      <c r="T138" s="23"/>
      <c r="U138" s="23"/>
      <c r="V138" s="23"/>
      <c r="W138" s="23"/>
      <c r="X138" s="49"/>
    </row>
    <row r="139" spans="1:26" s="33" customFormat="1" ht="27.75" customHeight="1" x14ac:dyDescent="0.25">
      <c r="A139" s="75" t="s">
        <v>70</v>
      </c>
      <c r="B139" s="27" t="s">
        <v>72</v>
      </c>
      <c r="C139" s="26" t="s">
        <v>51</v>
      </c>
      <c r="D139" s="7">
        <v>2017</v>
      </c>
      <c r="E139" s="7" t="s">
        <v>46</v>
      </c>
      <c r="F139" s="71">
        <f t="shared" si="24"/>
        <v>4910.7</v>
      </c>
      <c r="G139" s="71">
        <f t="shared" ref="G139" si="25">+J139+M139+P139+S139+V139</f>
        <v>4910.7</v>
      </c>
      <c r="H139" s="71"/>
      <c r="I139" s="23">
        <f>4957.7-47</f>
        <v>4910.7</v>
      </c>
      <c r="J139" s="23">
        <f>4957.7-47</f>
        <v>4910.7</v>
      </c>
      <c r="K139" s="23"/>
      <c r="L139" s="23"/>
      <c r="M139" s="23"/>
      <c r="N139" s="23"/>
      <c r="O139" s="23"/>
      <c r="P139" s="23"/>
      <c r="Q139" s="23"/>
      <c r="R139" s="23"/>
      <c r="S139" s="23"/>
      <c r="T139" s="23"/>
      <c r="U139" s="23"/>
      <c r="V139" s="23"/>
      <c r="W139" s="23"/>
      <c r="X139" s="49"/>
    </row>
    <row r="140" spans="1:26" s="33" customFormat="1" ht="27" customHeight="1" x14ac:dyDescent="0.25">
      <c r="A140" s="75" t="s">
        <v>102</v>
      </c>
      <c r="B140" s="49" t="s">
        <v>147</v>
      </c>
      <c r="C140" s="26" t="s">
        <v>51</v>
      </c>
      <c r="D140" s="7">
        <v>2017</v>
      </c>
      <c r="E140" s="7" t="s">
        <v>98</v>
      </c>
      <c r="F140" s="71">
        <f t="shared" si="24"/>
        <v>6300</v>
      </c>
      <c r="G140" s="71">
        <f t="shared" si="24"/>
        <v>6300</v>
      </c>
      <c r="H140" s="71"/>
      <c r="I140" s="23">
        <v>6300</v>
      </c>
      <c r="J140" s="23">
        <v>6300</v>
      </c>
      <c r="K140" s="23"/>
      <c r="L140" s="23"/>
      <c r="M140" s="23"/>
      <c r="N140" s="23"/>
      <c r="O140" s="23"/>
      <c r="P140" s="23"/>
      <c r="Q140" s="23"/>
      <c r="R140" s="23"/>
      <c r="S140" s="23"/>
      <c r="T140" s="23"/>
      <c r="U140" s="23"/>
      <c r="V140" s="23"/>
      <c r="W140" s="23"/>
      <c r="X140" s="23"/>
    </row>
    <row r="141" spans="1:26" s="33" customFormat="1" ht="25.5" x14ac:dyDescent="0.25">
      <c r="A141" s="75" t="s">
        <v>103</v>
      </c>
      <c r="B141" s="25" t="s">
        <v>73</v>
      </c>
      <c r="C141" s="26" t="s">
        <v>51</v>
      </c>
      <c r="D141" s="18">
        <v>2020</v>
      </c>
      <c r="E141" s="7" t="s">
        <v>99</v>
      </c>
      <c r="F141" s="71">
        <f t="shared" si="24"/>
        <v>1924.1</v>
      </c>
      <c r="G141" s="71">
        <f t="shared" si="24"/>
        <v>1924.1</v>
      </c>
      <c r="H141" s="71"/>
      <c r="I141" s="23"/>
      <c r="J141" s="23"/>
      <c r="K141" s="23"/>
      <c r="L141" s="23"/>
      <c r="M141" s="23"/>
      <c r="N141" s="23"/>
      <c r="O141" s="23">
        <v>1924.1</v>
      </c>
      <c r="P141" s="23">
        <v>1924.1</v>
      </c>
      <c r="Q141" s="23"/>
      <c r="R141" s="23"/>
      <c r="S141" s="23"/>
      <c r="T141" s="23"/>
      <c r="U141" s="23"/>
      <c r="V141" s="23"/>
      <c r="W141" s="23"/>
      <c r="X141" s="23"/>
    </row>
    <row r="142" spans="1:26" s="33" customFormat="1" ht="29.1" customHeight="1" x14ac:dyDescent="0.25">
      <c r="A142" s="75" t="s">
        <v>19</v>
      </c>
      <c r="B142" s="25" t="s">
        <v>123</v>
      </c>
      <c r="C142" s="26" t="s">
        <v>175</v>
      </c>
      <c r="D142" s="18" t="s">
        <v>52</v>
      </c>
      <c r="E142" s="7" t="s">
        <v>98</v>
      </c>
      <c r="F142" s="71">
        <f t="shared" si="24"/>
        <v>12883.5</v>
      </c>
      <c r="G142" s="71">
        <f t="shared" si="24"/>
        <v>12883.5</v>
      </c>
      <c r="H142" s="71"/>
      <c r="I142" s="23"/>
      <c r="J142" s="23"/>
      <c r="K142" s="23"/>
      <c r="L142" s="23"/>
      <c r="M142" s="23"/>
      <c r="N142" s="23"/>
      <c r="O142" s="23"/>
      <c r="P142" s="23"/>
      <c r="Q142" s="23"/>
      <c r="R142" s="23"/>
      <c r="S142" s="23"/>
      <c r="T142" s="23"/>
      <c r="U142" s="23">
        <v>12883.5</v>
      </c>
      <c r="V142" s="23">
        <v>12883.5</v>
      </c>
      <c r="W142" s="23"/>
      <c r="X142" s="23"/>
      <c r="Y142" s="92"/>
    </row>
    <row r="143" spans="1:26" s="33" customFormat="1" ht="32.25" customHeight="1" x14ac:dyDescent="0.25">
      <c r="A143" s="75" t="s">
        <v>24</v>
      </c>
      <c r="B143" s="88" t="s">
        <v>137</v>
      </c>
      <c r="C143" s="26" t="s">
        <v>175</v>
      </c>
      <c r="D143" s="18" t="s">
        <v>27</v>
      </c>
      <c r="E143" s="7" t="s">
        <v>46</v>
      </c>
      <c r="F143" s="71">
        <f t="shared" si="24"/>
        <v>321.7</v>
      </c>
      <c r="G143" s="71">
        <f t="shared" si="24"/>
        <v>321.7</v>
      </c>
      <c r="H143" s="71"/>
      <c r="I143" s="23">
        <v>321.7</v>
      </c>
      <c r="J143" s="23">
        <v>321.7</v>
      </c>
      <c r="K143" s="23"/>
      <c r="L143" s="23"/>
      <c r="M143" s="23"/>
      <c r="N143" s="23"/>
      <c r="O143" s="23"/>
      <c r="P143" s="23"/>
      <c r="Q143" s="23"/>
      <c r="R143" s="23"/>
      <c r="S143" s="23"/>
      <c r="T143" s="23"/>
      <c r="U143" s="23"/>
      <c r="V143" s="23"/>
      <c r="W143" s="23"/>
      <c r="X143" s="23"/>
      <c r="Y143" s="92"/>
    </row>
    <row r="144" spans="1:26" s="33" customFormat="1" ht="33" customHeight="1" x14ac:dyDescent="0.25">
      <c r="A144" s="193">
        <v>7</v>
      </c>
      <c r="B144" s="144" t="s">
        <v>151</v>
      </c>
      <c r="C144" s="195" t="s">
        <v>176</v>
      </c>
      <c r="D144" s="9" t="s">
        <v>52</v>
      </c>
      <c r="E144" s="9"/>
      <c r="F144" s="74">
        <f t="shared" si="24"/>
        <v>2300</v>
      </c>
      <c r="G144" s="74">
        <f t="shared" si="24"/>
        <v>2300</v>
      </c>
      <c r="H144" s="74"/>
      <c r="I144" s="23">
        <v>2300</v>
      </c>
      <c r="J144" s="23">
        <v>2300</v>
      </c>
      <c r="K144" s="23"/>
      <c r="L144" s="23"/>
      <c r="M144" s="23"/>
      <c r="N144" s="23"/>
      <c r="O144" s="23"/>
      <c r="P144" s="23"/>
      <c r="Q144" s="23"/>
      <c r="R144" s="23"/>
      <c r="S144" s="23"/>
      <c r="T144" s="23"/>
      <c r="U144" s="23"/>
      <c r="V144" s="23"/>
      <c r="W144" s="23"/>
      <c r="X144" s="23"/>
      <c r="Y144" s="105"/>
    </row>
    <row r="145" spans="1:25" s="33" customFormat="1" ht="44.85" customHeight="1" x14ac:dyDescent="0.25">
      <c r="A145" s="75">
        <v>8</v>
      </c>
      <c r="B145" s="115" t="s">
        <v>186</v>
      </c>
      <c r="C145" s="23" t="s">
        <v>187</v>
      </c>
      <c r="D145" s="7" t="s">
        <v>46</v>
      </c>
      <c r="E145" s="7" t="s">
        <v>46</v>
      </c>
      <c r="F145" s="71">
        <f t="shared" si="24"/>
        <v>10.6</v>
      </c>
      <c r="G145" s="71">
        <f t="shared" si="24"/>
        <v>10.6</v>
      </c>
      <c r="H145" s="71"/>
      <c r="I145" s="23">
        <v>10.6</v>
      </c>
      <c r="J145" s="23">
        <v>10.6</v>
      </c>
      <c r="K145" s="23"/>
      <c r="L145" s="23"/>
      <c r="M145" s="23"/>
      <c r="N145" s="23"/>
      <c r="O145" s="23"/>
      <c r="P145" s="23"/>
      <c r="Q145" s="23"/>
      <c r="R145" s="23"/>
      <c r="S145" s="23"/>
      <c r="T145" s="23"/>
      <c r="U145" s="23"/>
      <c r="V145" s="23"/>
      <c r="W145" s="23"/>
      <c r="X145" s="23"/>
      <c r="Y145" s="105"/>
    </row>
    <row r="146" spans="1:25" s="33" customFormat="1" ht="33.6" customHeight="1" x14ac:dyDescent="0.25">
      <c r="A146" s="75">
        <v>9</v>
      </c>
      <c r="B146" s="115" t="s">
        <v>188</v>
      </c>
      <c r="C146" s="23" t="s">
        <v>187</v>
      </c>
      <c r="D146" s="7" t="s">
        <v>50</v>
      </c>
      <c r="E146" s="7" t="s">
        <v>50</v>
      </c>
      <c r="F146" s="71">
        <f t="shared" si="24"/>
        <v>225</v>
      </c>
      <c r="G146" s="71">
        <f t="shared" si="24"/>
        <v>225</v>
      </c>
      <c r="H146" s="71"/>
      <c r="I146" s="23">
        <v>225</v>
      </c>
      <c r="J146" s="23">
        <v>225</v>
      </c>
      <c r="K146" s="23"/>
      <c r="L146" s="23"/>
      <c r="M146" s="23"/>
      <c r="N146" s="23"/>
      <c r="O146" s="23"/>
      <c r="P146" s="23"/>
      <c r="Q146" s="23"/>
      <c r="R146" s="23"/>
      <c r="S146" s="23"/>
      <c r="T146" s="23"/>
      <c r="U146" s="23"/>
      <c r="V146" s="23"/>
      <c r="W146" s="23"/>
      <c r="X146" s="23"/>
      <c r="Y146" s="105"/>
    </row>
    <row r="147" spans="1:25" s="33" customFormat="1" ht="17.25" customHeight="1" x14ac:dyDescent="0.25">
      <c r="A147" s="76">
        <v>9</v>
      </c>
      <c r="B147" s="136" t="s">
        <v>134</v>
      </c>
      <c r="C147" s="57"/>
      <c r="D147" s="58"/>
      <c r="E147" s="65" t="s">
        <v>13</v>
      </c>
      <c r="F147" s="66">
        <f>SUM(F138:F146)</f>
        <v>34505.199999999997</v>
      </c>
      <c r="G147" s="66">
        <f t="shared" ref="G147:K147" si="26">SUM(G138:G146)</f>
        <v>34505.199999999997</v>
      </c>
      <c r="H147" s="66">
        <f>SUM(H138:H146)</f>
        <v>0</v>
      </c>
      <c r="I147" s="66">
        <f>SUM(I138:I146)</f>
        <v>18427.8</v>
      </c>
      <c r="J147" s="66">
        <f t="shared" si="26"/>
        <v>18427.8</v>
      </c>
      <c r="K147" s="66">
        <f t="shared" si="26"/>
        <v>0</v>
      </c>
      <c r="L147" s="66">
        <f t="shared" ref="L147:T147" si="27">SUM(L138:L146)</f>
        <v>1166.8</v>
      </c>
      <c r="M147" s="66">
        <f t="shared" si="27"/>
        <v>1166.8</v>
      </c>
      <c r="N147" s="66">
        <f t="shared" si="27"/>
        <v>0</v>
      </c>
      <c r="O147" s="66">
        <f t="shared" si="27"/>
        <v>2027.1</v>
      </c>
      <c r="P147" s="66">
        <f t="shared" si="27"/>
        <v>2027.1</v>
      </c>
      <c r="Q147" s="66">
        <f t="shared" si="27"/>
        <v>0</v>
      </c>
      <c r="R147" s="66">
        <f t="shared" si="27"/>
        <v>0</v>
      </c>
      <c r="S147" s="66">
        <f t="shared" si="27"/>
        <v>0</v>
      </c>
      <c r="T147" s="66">
        <f t="shared" si="27"/>
        <v>0</v>
      </c>
      <c r="U147" s="66">
        <f t="shared" ref="U147:W147" si="28">SUM(U138:U146)</f>
        <v>12883.5</v>
      </c>
      <c r="V147" s="66">
        <f t="shared" si="28"/>
        <v>12883.5</v>
      </c>
      <c r="W147" s="66">
        <f t="shared" si="28"/>
        <v>0</v>
      </c>
      <c r="X147" s="166"/>
    </row>
    <row r="148" spans="1:25" s="33" customFormat="1" ht="17.25" customHeight="1" x14ac:dyDescent="0.25">
      <c r="A148" s="305" t="s">
        <v>39</v>
      </c>
      <c r="B148" s="306"/>
      <c r="C148" s="306"/>
      <c r="D148" s="306"/>
      <c r="E148" s="306"/>
      <c r="F148" s="306"/>
      <c r="G148" s="306"/>
      <c r="H148" s="306"/>
      <c r="I148" s="306"/>
      <c r="J148" s="306"/>
      <c r="K148" s="306"/>
      <c r="L148" s="306"/>
      <c r="M148" s="306"/>
      <c r="N148" s="306"/>
      <c r="O148" s="306"/>
      <c r="P148" s="306"/>
      <c r="Q148" s="306"/>
      <c r="R148" s="306"/>
      <c r="S148" s="160"/>
      <c r="T148" s="160"/>
      <c r="U148" s="186"/>
      <c r="V148" s="160"/>
      <c r="W148" s="160"/>
      <c r="X148" s="187"/>
    </row>
    <row r="149" spans="1:25" s="33" customFormat="1" ht="42.75" customHeight="1" x14ac:dyDescent="0.25">
      <c r="A149" s="75" t="s">
        <v>90</v>
      </c>
      <c r="B149" s="25" t="s">
        <v>33</v>
      </c>
      <c r="C149" s="146" t="s">
        <v>81</v>
      </c>
      <c r="D149" s="5">
        <v>2016</v>
      </c>
      <c r="E149" s="5" t="s">
        <v>46</v>
      </c>
      <c r="F149" s="71">
        <f t="shared" ref="F149:G154" si="29">+I149+L149+O149+R149+U149</f>
        <v>535.1</v>
      </c>
      <c r="G149" s="71">
        <f>205.1+330</f>
        <v>535.1</v>
      </c>
      <c r="H149" s="71"/>
      <c r="I149" s="23">
        <v>205.1</v>
      </c>
      <c r="J149" s="23">
        <v>205.1</v>
      </c>
      <c r="K149" s="23"/>
      <c r="L149" s="23">
        <v>330</v>
      </c>
      <c r="M149" s="23">
        <v>330</v>
      </c>
      <c r="N149" s="23"/>
      <c r="O149" s="23"/>
      <c r="P149" s="23"/>
      <c r="Q149" s="23"/>
      <c r="R149" s="23"/>
      <c r="S149" s="23"/>
      <c r="T149" s="23"/>
      <c r="U149" s="23"/>
      <c r="V149" s="23"/>
      <c r="W149" s="23"/>
      <c r="X149" s="49"/>
      <c r="Y149" s="205"/>
    </row>
    <row r="150" spans="1:25" s="33" customFormat="1" ht="53.25" customHeight="1" x14ac:dyDescent="0.25">
      <c r="A150" s="75" t="s">
        <v>70</v>
      </c>
      <c r="B150" s="25" t="s">
        <v>89</v>
      </c>
      <c r="C150" s="146" t="s">
        <v>176</v>
      </c>
      <c r="D150" s="7" t="s">
        <v>18</v>
      </c>
      <c r="E150" s="7" t="s">
        <v>99</v>
      </c>
      <c r="F150" s="71">
        <f t="shared" si="29"/>
        <v>3457</v>
      </c>
      <c r="G150" s="71">
        <f t="shared" si="29"/>
        <v>3457</v>
      </c>
      <c r="H150" s="71"/>
      <c r="I150" s="23">
        <v>3457</v>
      </c>
      <c r="J150" s="23">
        <v>3457</v>
      </c>
      <c r="K150" s="23"/>
      <c r="L150" s="23"/>
      <c r="M150" s="23"/>
      <c r="N150" s="23"/>
      <c r="O150" s="23"/>
      <c r="P150" s="23"/>
      <c r="Q150" s="23"/>
      <c r="R150" s="23"/>
      <c r="S150" s="23"/>
      <c r="T150" s="23"/>
      <c r="U150" s="23"/>
      <c r="V150" s="23"/>
      <c r="W150" s="23"/>
      <c r="X150" s="23"/>
    </row>
    <row r="151" spans="1:25" s="33" customFormat="1" ht="45.75" customHeight="1" x14ac:dyDescent="0.25">
      <c r="A151" s="75">
        <v>3</v>
      </c>
      <c r="B151" s="27" t="s">
        <v>61</v>
      </c>
      <c r="C151" s="146" t="s">
        <v>177</v>
      </c>
      <c r="D151" s="5">
        <v>2016</v>
      </c>
      <c r="E151" s="5" t="s">
        <v>46</v>
      </c>
      <c r="F151" s="71">
        <f t="shared" si="29"/>
        <v>5000.1000000000004</v>
      </c>
      <c r="G151" s="71">
        <f t="shared" si="29"/>
        <v>5000.1000000000004</v>
      </c>
      <c r="H151" s="71"/>
      <c r="I151" s="23">
        <f>1135.8+10</f>
        <v>1145.8</v>
      </c>
      <c r="J151" s="23">
        <f>1135.8+10</f>
        <v>1145.8</v>
      </c>
      <c r="K151" s="23"/>
      <c r="L151" s="23">
        <v>3854.3</v>
      </c>
      <c r="M151" s="23">
        <v>3854.3</v>
      </c>
      <c r="N151" s="23"/>
      <c r="O151" s="23"/>
      <c r="P151" s="23"/>
      <c r="Q151" s="23"/>
      <c r="R151" s="23"/>
      <c r="S151" s="23"/>
      <c r="T151" s="23"/>
      <c r="U151" s="23"/>
      <c r="V151" s="23"/>
      <c r="W151" s="23"/>
      <c r="X151" s="49"/>
      <c r="Y151" s="112"/>
    </row>
    <row r="152" spans="1:25" s="33" customFormat="1" ht="42.75" customHeight="1" x14ac:dyDescent="0.25">
      <c r="A152" s="75">
        <v>4</v>
      </c>
      <c r="B152" s="27" t="s">
        <v>208</v>
      </c>
      <c r="C152" s="146" t="s">
        <v>47</v>
      </c>
      <c r="D152" s="5" t="s">
        <v>21</v>
      </c>
      <c r="E152" s="5" t="s">
        <v>98</v>
      </c>
      <c r="F152" s="71">
        <f t="shared" si="29"/>
        <v>3604.7</v>
      </c>
      <c r="G152" s="71">
        <f t="shared" si="29"/>
        <v>3604.7</v>
      </c>
      <c r="H152" s="71"/>
      <c r="I152" s="23">
        <v>3604.7</v>
      </c>
      <c r="J152" s="23">
        <v>3604.7</v>
      </c>
      <c r="K152" s="23"/>
      <c r="L152" s="23"/>
      <c r="M152" s="23"/>
      <c r="N152" s="23"/>
      <c r="O152" s="23"/>
      <c r="P152" s="23"/>
      <c r="Q152" s="23"/>
      <c r="R152" s="23"/>
      <c r="S152" s="23"/>
      <c r="T152" s="23"/>
      <c r="U152" s="23"/>
      <c r="V152" s="23"/>
      <c r="W152" s="23"/>
      <c r="X152" s="23"/>
    </row>
    <row r="153" spans="1:25" s="33" customFormat="1" ht="43.5" customHeight="1" x14ac:dyDescent="0.25">
      <c r="A153" s="75">
        <v>5</v>
      </c>
      <c r="B153" s="27" t="s">
        <v>138</v>
      </c>
      <c r="C153" s="146" t="s">
        <v>176</v>
      </c>
      <c r="D153" s="1" t="s">
        <v>21</v>
      </c>
      <c r="E153" s="1" t="s">
        <v>46</v>
      </c>
      <c r="F153" s="71">
        <f t="shared" si="29"/>
        <v>362.2</v>
      </c>
      <c r="G153" s="71">
        <v>362.2</v>
      </c>
      <c r="H153" s="71"/>
      <c r="I153" s="23"/>
      <c r="J153" s="23"/>
      <c r="K153" s="23"/>
      <c r="L153" s="23">
        <v>362.2</v>
      </c>
      <c r="M153" s="23">
        <v>362.2</v>
      </c>
      <c r="N153" s="23"/>
      <c r="O153" s="23"/>
      <c r="P153" s="23"/>
      <c r="Q153" s="23"/>
      <c r="R153" s="23"/>
      <c r="S153" s="23"/>
      <c r="T153" s="23"/>
      <c r="U153" s="23"/>
      <c r="V153" s="23"/>
      <c r="W153" s="23"/>
      <c r="X153" s="49"/>
    </row>
    <row r="154" spans="1:25" s="33" customFormat="1" ht="43.5" customHeight="1" x14ac:dyDescent="0.25">
      <c r="A154" s="75">
        <v>6</v>
      </c>
      <c r="B154" s="144" t="s">
        <v>152</v>
      </c>
      <c r="C154" s="146" t="s">
        <v>176</v>
      </c>
      <c r="D154" s="108">
        <v>2020</v>
      </c>
      <c r="E154" s="108">
        <v>2022</v>
      </c>
      <c r="F154" s="71">
        <f t="shared" si="29"/>
        <v>190.4</v>
      </c>
      <c r="G154" s="71">
        <f t="shared" si="29"/>
        <v>190.4</v>
      </c>
      <c r="H154" s="71"/>
      <c r="I154" s="23">
        <v>114.2</v>
      </c>
      <c r="J154" s="23">
        <v>114.2</v>
      </c>
      <c r="K154" s="23"/>
      <c r="L154" s="23">
        <v>76.2</v>
      </c>
      <c r="M154" s="23">
        <v>76.2</v>
      </c>
      <c r="N154" s="23"/>
      <c r="O154" s="23"/>
      <c r="P154" s="23"/>
      <c r="Q154" s="23"/>
      <c r="R154" s="23"/>
      <c r="S154" s="23"/>
      <c r="T154" s="23"/>
      <c r="U154" s="23"/>
      <c r="V154" s="23"/>
      <c r="W154" s="23"/>
      <c r="X154" s="23"/>
    </row>
    <row r="155" spans="1:25" s="33" customFormat="1" ht="18" customHeight="1" x14ac:dyDescent="0.25">
      <c r="A155" s="78" t="s">
        <v>24</v>
      </c>
      <c r="B155" s="135" t="s">
        <v>134</v>
      </c>
      <c r="C155" s="61"/>
      <c r="D155" s="106"/>
      <c r="E155" s="107" t="s">
        <v>13</v>
      </c>
      <c r="F155" s="67">
        <f t="shared" ref="F155:K155" si="30">SUM(F149:F154)</f>
        <v>13149.500000000002</v>
      </c>
      <c r="G155" s="67">
        <f t="shared" si="30"/>
        <v>13149.500000000002</v>
      </c>
      <c r="H155" s="67">
        <f t="shared" si="30"/>
        <v>0</v>
      </c>
      <c r="I155" s="67">
        <f t="shared" si="30"/>
        <v>8526.7999999999993</v>
      </c>
      <c r="J155" s="67">
        <f t="shared" si="30"/>
        <v>8526.7999999999993</v>
      </c>
      <c r="K155" s="67">
        <f t="shared" si="30"/>
        <v>0</v>
      </c>
      <c r="L155" s="67">
        <f>SUM(L149:L154)</f>
        <v>4622.7</v>
      </c>
      <c r="M155" s="67">
        <f>SUM(M149:M154)</f>
        <v>4622.7</v>
      </c>
      <c r="N155" s="67">
        <f>SUM(N149:N154)</f>
        <v>0</v>
      </c>
      <c r="O155" s="67">
        <f t="shared" ref="O155:T155" si="31">SUM(O149:O154)</f>
        <v>0</v>
      </c>
      <c r="P155" s="67">
        <f t="shared" si="31"/>
        <v>0</v>
      </c>
      <c r="Q155" s="67">
        <f t="shared" si="31"/>
        <v>0</v>
      </c>
      <c r="R155" s="67">
        <f t="shared" si="31"/>
        <v>0</v>
      </c>
      <c r="S155" s="67">
        <f t="shared" si="31"/>
        <v>0</v>
      </c>
      <c r="T155" s="67">
        <f t="shared" si="31"/>
        <v>0</v>
      </c>
      <c r="U155" s="67">
        <f t="shared" ref="U155:W155" si="32">SUM(U149:U154)</f>
        <v>0</v>
      </c>
      <c r="V155" s="67">
        <f t="shared" si="32"/>
        <v>0</v>
      </c>
      <c r="W155" s="67">
        <f t="shared" si="32"/>
        <v>0</v>
      </c>
      <c r="X155" s="174"/>
    </row>
    <row r="156" spans="1:25" ht="18.75" customHeight="1" x14ac:dyDescent="0.2">
      <c r="A156" s="83">
        <f>A27+A155+A147+A136+A116+A108+A87+A44+A12</f>
        <v>115</v>
      </c>
      <c r="B156" s="288" t="s">
        <v>135</v>
      </c>
      <c r="C156" s="289"/>
      <c r="D156" s="289"/>
      <c r="E156" s="290"/>
      <c r="F156" s="81">
        <f>SUMIF(E7:E155,"Iš viso:",F7:F155)</f>
        <v>331649.54000000004</v>
      </c>
      <c r="G156" s="81">
        <f>SUMIF(E7:E155,"Iš viso:",G7:G155)</f>
        <v>331435.72000000003</v>
      </c>
      <c r="H156" s="81">
        <f>SUMIF(E7:E155,"Iš viso:",H7:H155)</f>
        <v>-213.80000000000004</v>
      </c>
      <c r="I156" s="81">
        <f>SUMIF(E7:E155,"Iš viso:",I7:I155)</f>
        <v>168151.3</v>
      </c>
      <c r="J156" s="81">
        <f>SUMIF(E7:E155,"Iš viso:",J7:J155)</f>
        <v>167991.39999999997</v>
      </c>
      <c r="K156" s="81">
        <f>SUMIF(E7:E155,"Iš viso:",K7:K155)</f>
        <v>-159.89999999999998</v>
      </c>
      <c r="L156" s="81">
        <f>SUMIF(E7:E155,"Iš viso:",L7:L155)</f>
        <v>46589.7</v>
      </c>
      <c r="M156" s="81">
        <f>SUMIF(E7:E155,"Iš viso:",M7:M155)</f>
        <v>46589.7</v>
      </c>
      <c r="N156" s="81">
        <f>SUMIF(E7:E155,"Iš viso:",N7:N155)</f>
        <v>0</v>
      </c>
      <c r="O156" s="81">
        <f>SUMIF(E7:E155,"Iš viso:",O7:O155)</f>
        <v>65717.399999999994</v>
      </c>
      <c r="P156" s="81">
        <f>SUMIF(E7:E155,"Iš viso:",P7:P155)</f>
        <v>65717.399999999994</v>
      </c>
      <c r="Q156" s="81">
        <f>SUMIF(E7:E155,"Iš viso:",Q7:Q155)</f>
        <v>0</v>
      </c>
      <c r="R156" s="81">
        <f>SUMIF(E7:E155,"Iš viso:",R7:R155)</f>
        <v>28422.539999999997</v>
      </c>
      <c r="S156" s="81">
        <f>SUMIF(E7:E155,"Iš viso:",S7:S155)</f>
        <v>28336.439999999995</v>
      </c>
      <c r="T156" s="81">
        <f>SUMIF(E7:E155,"Iš viso:",T7:T155)</f>
        <v>-86.1</v>
      </c>
      <c r="U156" s="81">
        <f>SUMIF(E7:E155,"Iš viso:",U7:U155)</f>
        <v>22768.6</v>
      </c>
      <c r="V156" s="81">
        <f>SUMIF(E7:E155,"Iš viso:",V7:V155)</f>
        <v>22800.799999999999</v>
      </c>
      <c r="W156" s="81">
        <f>SUMIF(E7:E155,"Iš viso:",W7:W155)</f>
        <v>32.200000000000017</v>
      </c>
      <c r="X156" s="175"/>
    </row>
    <row r="157" spans="1:25" x14ac:dyDescent="0.2">
      <c r="F157" s="68"/>
      <c r="G157" s="19"/>
      <c r="H157" s="20"/>
      <c r="I157" s="16"/>
      <c r="J157" s="16"/>
      <c r="K157" s="68"/>
      <c r="L157" s="19"/>
      <c r="M157" s="20"/>
      <c r="N157" s="16"/>
      <c r="O157" s="16"/>
      <c r="P157" s="68"/>
      <c r="Q157" s="19"/>
      <c r="R157" s="20"/>
      <c r="S157" s="16"/>
      <c r="T157" s="16"/>
      <c r="U157" s="68"/>
      <c r="V157" s="19"/>
      <c r="W157" s="20"/>
      <c r="X157" s="16"/>
      <c r="Y157" s="16"/>
    </row>
    <row r="158" spans="1:25" x14ac:dyDescent="0.2">
      <c r="F158" s="68"/>
      <c r="G158" s="19"/>
      <c r="H158" s="20"/>
      <c r="I158" s="16"/>
      <c r="J158" s="16"/>
      <c r="K158" s="68"/>
      <c r="L158" s="19"/>
      <c r="M158" s="20"/>
      <c r="N158" s="16"/>
      <c r="O158" s="16"/>
      <c r="P158" s="68"/>
      <c r="Q158" s="19"/>
      <c r="R158" s="20"/>
      <c r="S158" s="16"/>
      <c r="T158" s="16"/>
      <c r="U158" s="68"/>
      <c r="V158" s="19"/>
      <c r="W158" s="20"/>
      <c r="X158" s="16"/>
      <c r="Y158" s="16"/>
    </row>
    <row r="159" spans="1:25" x14ac:dyDescent="0.2">
      <c r="F159" s="68"/>
      <c r="G159" s="19"/>
      <c r="H159" s="20"/>
      <c r="I159" s="16"/>
      <c r="J159" s="16"/>
      <c r="K159" s="68"/>
      <c r="L159" s="19"/>
      <c r="M159" s="20"/>
      <c r="N159" s="16"/>
      <c r="O159" s="16"/>
      <c r="P159" s="68"/>
      <c r="Q159" s="19"/>
      <c r="R159" s="20"/>
      <c r="S159" s="16"/>
      <c r="T159" s="16"/>
      <c r="U159" s="68"/>
      <c r="V159" s="19"/>
      <c r="W159" s="20"/>
      <c r="X159" s="16"/>
      <c r="Y159" s="16"/>
    </row>
    <row r="160" spans="1:25" x14ac:dyDescent="0.2">
      <c r="F160" s="68"/>
      <c r="G160" s="19"/>
      <c r="H160" s="20"/>
      <c r="I160" s="16"/>
      <c r="J160" s="16"/>
      <c r="K160" s="68"/>
      <c r="L160" s="19"/>
      <c r="M160" s="20"/>
      <c r="N160" s="16"/>
      <c r="O160" s="16"/>
      <c r="P160" s="68"/>
      <c r="Q160" s="19"/>
      <c r="R160" s="20"/>
      <c r="S160" s="16"/>
      <c r="T160" s="16"/>
      <c r="U160" s="68"/>
      <c r="V160" s="19"/>
      <c r="W160" s="20"/>
      <c r="X160" s="16"/>
      <c r="Y160" s="16"/>
    </row>
    <row r="161" spans="6:25" x14ac:dyDescent="0.2">
      <c r="F161" s="68"/>
      <c r="G161" s="19"/>
      <c r="H161" s="20"/>
      <c r="I161" s="16"/>
      <c r="J161" s="16"/>
      <c r="K161" s="68"/>
      <c r="L161" s="19"/>
      <c r="M161" s="20"/>
      <c r="N161" s="16"/>
      <c r="O161" s="16"/>
      <c r="P161" s="68"/>
      <c r="Q161" s="19"/>
      <c r="R161" s="20"/>
      <c r="S161" s="16"/>
      <c r="T161" s="16"/>
      <c r="U161" s="68"/>
      <c r="V161" s="19"/>
      <c r="W161" s="20"/>
      <c r="X161" s="16"/>
      <c r="Y161" s="16"/>
    </row>
    <row r="162" spans="6:25" x14ac:dyDescent="0.2">
      <c r="F162" s="68"/>
      <c r="G162" s="19"/>
      <c r="H162" s="20"/>
      <c r="I162" s="16"/>
      <c r="J162" s="16"/>
      <c r="K162" s="68"/>
      <c r="L162" s="19"/>
      <c r="M162" s="20"/>
      <c r="N162" s="16"/>
      <c r="O162" s="16"/>
      <c r="P162" s="68"/>
      <c r="Q162" s="19"/>
      <c r="R162" s="20"/>
      <c r="S162" s="16"/>
      <c r="T162" s="16"/>
      <c r="U162" s="68"/>
      <c r="V162" s="19"/>
      <c r="W162" s="20"/>
      <c r="X162" s="16"/>
      <c r="Y162" s="16"/>
    </row>
    <row r="163" spans="6:25" x14ac:dyDescent="0.2">
      <c r="F163" s="68"/>
      <c r="G163" s="19"/>
      <c r="H163" s="20"/>
      <c r="I163" s="16"/>
      <c r="J163" s="16"/>
      <c r="K163" s="68"/>
      <c r="L163" s="19"/>
      <c r="M163" s="20"/>
      <c r="N163" s="16"/>
      <c r="O163" s="16"/>
      <c r="P163" s="68"/>
      <c r="Q163" s="19"/>
      <c r="R163" s="20"/>
      <c r="S163" s="16"/>
      <c r="T163" s="16"/>
      <c r="U163" s="68"/>
      <c r="V163" s="19"/>
      <c r="W163" s="20"/>
      <c r="X163" s="16"/>
      <c r="Y163" s="16"/>
    </row>
    <row r="164" spans="6:25" x14ac:dyDescent="0.2">
      <c r="F164" s="68"/>
      <c r="G164" s="19"/>
      <c r="H164" s="20"/>
      <c r="I164" s="16"/>
      <c r="J164" s="16"/>
      <c r="K164" s="68"/>
      <c r="L164" s="19"/>
      <c r="M164" s="20"/>
      <c r="N164" s="16"/>
      <c r="O164" s="16"/>
      <c r="P164" s="68"/>
      <c r="Q164" s="19"/>
      <c r="R164" s="20"/>
      <c r="S164" s="16"/>
      <c r="T164" s="16"/>
      <c r="U164" s="68"/>
      <c r="V164" s="19"/>
      <c r="W164" s="20"/>
      <c r="X164" s="16"/>
      <c r="Y164" s="16"/>
    </row>
    <row r="165" spans="6:25" x14ac:dyDescent="0.2">
      <c r="F165" s="68"/>
      <c r="G165" s="19"/>
      <c r="H165" s="20"/>
      <c r="I165" s="16"/>
      <c r="J165" s="16"/>
      <c r="K165" s="68"/>
      <c r="L165" s="19"/>
      <c r="M165" s="20"/>
      <c r="N165" s="16"/>
      <c r="O165" s="16"/>
      <c r="P165" s="68"/>
      <c r="Q165" s="19"/>
      <c r="R165" s="20"/>
      <c r="S165" s="16"/>
      <c r="T165" s="16"/>
      <c r="U165" s="68"/>
      <c r="V165" s="19"/>
      <c r="W165" s="20"/>
      <c r="X165" s="16"/>
      <c r="Y165" s="16"/>
    </row>
    <row r="166" spans="6:25" x14ac:dyDescent="0.2">
      <c r="F166" s="68"/>
      <c r="G166" s="19"/>
      <c r="H166" s="20"/>
      <c r="I166" s="16"/>
      <c r="J166" s="16"/>
      <c r="K166" s="68"/>
      <c r="L166" s="19"/>
      <c r="M166" s="20"/>
      <c r="N166" s="16"/>
      <c r="O166" s="16"/>
      <c r="P166" s="68"/>
      <c r="Q166" s="19"/>
      <c r="R166" s="20"/>
      <c r="S166" s="16"/>
      <c r="T166" s="16"/>
      <c r="U166" s="68"/>
      <c r="V166" s="19"/>
      <c r="W166" s="20"/>
      <c r="X166" s="16"/>
      <c r="Y166" s="16"/>
    </row>
    <row r="167" spans="6:25" x14ac:dyDescent="0.2">
      <c r="F167" s="68"/>
      <c r="G167" s="19"/>
      <c r="H167" s="20"/>
      <c r="I167" s="16"/>
      <c r="J167" s="16"/>
      <c r="K167" s="68"/>
      <c r="L167" s="19"/>
      <c r="M167" s="20"/>
      <c r="N167" s="16"/>
      <c r="O167" s="16"/>
      <c r="P167" s="68"/>
      <c r="Q167" s="19"/>
      <c r="R167" s="20"/>
      <c r="S167" s="16"/>
      <c r="T167" s="16"/>
      <c r="U167" s="68"/>
      <c r="V167" s="19"/>
      <c r="W167" s="20"/>
      <c r="X167" s="16"/>
      <c r="Y167" s="16"/>
    </row>
    <row r="168" spans="6:25" x14ac:dyDescent="0.2">
      <c r="F168" s="68"/>
      <c r="G168" s="19"/>
      <c r="H168" s="20"/>
      <c r="I168" s="16"/>
      <c r="J168" s="16"/>
      <c r="K168" s="68"/>
      <c r="L168" s="19"/>
      <c r="M168" s="20"/>
      <c r="N168" s="16"/>
      <c r="O168" s="16"/>
      <c r="P168" s="68"/>
      <c r="Q168" s="19"/>
      <c r="R168" s="20"/>
      <c r="S168" s="16"/>
      <c r="T168" s="16"/>
      <c r="U168" s="68"/>
      <c r="V168" s="19"/>
      <c r="W168" s="20"/>
      <c r="X168" s="16"/>
      <c r="Y168" s="16"/>
    </row>
    <row r="169" spans="6:25" x14ac:dyDescent="0.2">
      <c r="F169" s="68"/>
      <c r="G169" s="19"/>
      <c r="H169" s="20"/>
      <c r="I169" s="16"/>
      <c r="J169" s="16"/>
      <c r="K169" s="68"/>
      <c r="L169" s="19"/>
      <c r="M169" s="20"/>
      <c r="N169" s="16"/>
      <c r="O169" s="16"/>
      <c r="P169" s="68"/>
      <c r="Q169" s="19"/>
      <c r="R169" s="20"/>
      <c r="S169" s="16"/>
      <c r="T169" s="16"/>
      <c r="U169" s="68"/>
      <c r="V169" s="19"/>
      <c r="W169" s="20"/>
      <c r="X169" s="16"/>
      <c r="Y169" s="16"/>
    </row>
    <row r="170" spans="6:25" x14ac:dyDescent="0.2">
      <c r="F170" s="68"/>
      <c r="G170" s="19"/>
      <c r="H170" s="20"/>
      <c r="I170" s="16"/>
      <c r="J170" s="16"/>
      <c r="K170" s="68"/>
      <c r="L170" s="19"/>
      <c r="M170" s="20"/>
      <c r="N170" s="16"/>
      <c r="O170" s="16"/>
      <c r="P170" s="68"/>
      <c r="Q170" s="19"/>
      <c r="R170" s="20"/>
      <c r="S170" s="16"/>
      <c r="T170" s="16"/>
      <c r="U170" s="68"/>
      <c r="V170" s="19"/>
      <c r="W170" s="20"/>
      <c r="X170" s="16"/>
      <c r="Y170" s="16"/>
    </row>
    <row r="171" spans="6:25" x14ac:dyDescent="0.2">
      <c r="F171" s="68"/>
      <c r="G171" s="19"/>
      <c r="H171" s="20"/>
      <c r="I171" s="16"/>
      <c r="J171" s="16"/>
      <c r="K171" s="68"/>
      <c r="L171" s="19"/>
      <c r="M171" s="20"/>
      <c r="N171" s="16"/>
      <c r="O171" s="16"/>
      <c r="P171" s="68"/>
      <c r="Q171" s="19"/>
      <c r="R171" s="20"/>
      <c r="S171" s="16"/>
      <c r="T171" s="16"/>
      <c r="U171" s="68"/>
      <c r="V171" s="19"/>
      <c r="W171" s="20"/>
      <c r="X171" s="16"/>
      <c r="Y171" s="16"/>
    </row>
    <row r="172" spans="6:25" x14ac:dyDescent="0.2">
      <c r="F172" s="68"/>
      <c r="G172" s="19"/>
      <c r="H172" s="20"/>
      <c r="I172" s="16"/>
      <c r="J172" s="16"/>
      <c r="K172" s="68"/>
      <c r="L172" s="19"/>
      <c r="M172" s="20"/>
      <c r="N172" s="16"/>
      <c r="O172" s="16"/>
      <c r="P172" s="68"/>
      <c r="Q172" s="19"/>
      <c r="R172" s="20"/>
      <c r="S172" s="16"/>
      <c r="T172" s="16"/>
      <c r="U172" s="68"/>
      <c r="V172" s="19"/>
      <c r="W172" s="20"/>
      <c r="X172" s="16"/>
      <c r="Y172" s="16"/>
    </row>
    <row r="173" spans="6:25" x14ac:dyDescent="0.2">
      <c r="F173" s="68"/>
      <c r="G173" s="19"/>
      <c r="H173" s="20"/>
      <c r="I173" s="16"/>
      <c r="J173" s="16"/>
      <c r="K173" s="68"/>
      <c r="L173" s="19"/>
      <c r="M173" s="20"/>
      <c r="N173" s="16"/>
      <c r="O173" s="16"/>
      <c r="P173" s="68"/>
      <c r="Q173" s="19"/>
      <c r="R173" s="20"/>
      <c r="S173" s="16"/>
      <c r="T173" s="16"/>
      <c r="U173" s="68"/>
      <c r="V173" s="19"/>
      <c r="W173" s="20"/>
      <c r="X173" s="16"/>
      <c r="Y173" s="16"/>
    </row>
    <row r="174" spans="6:25" x14ac:dyDescent="0.2">
      <c r="F174" s="68"/>
      <c r="G174" s="19"/>
      <c r="H174" s="20"/>
      <c r="I174" s="16"/>
      <c r="J174" s="16"/>
      <c r="K174" s="68"/>
      <c r="L174" s="19"/>
      <c r="M174" s="20"/>
      <c r="N174" s="16"/>
      <c r="O174" s="16"/>
      <c r="P174" s="68"/>
      <c r="Q174" s="19"/>
      <c r="R174" s="20"/>
      <c r="S174" s="16"/>
      <c r="T174" s="16"/>
      <c r="U174" s="68"/>
      <c r="V174" s="19"/>
      <c r="W174" s="20"/>
      <c r="X174" s="16"/>
      <c r="Y174" s="16"/>
    </row>
    <row r="175" spans="6:25" x14ac:dyDescent="0.2">
      <c r="F175" s="68"/>
      <c r="G175" s="19"/>
      <c r="H175" s="20"/>
      <c r="I175" s="16"/>
      <c r="J175" s="16"/>
      <c r="K175" s="68"/>
      <c r="L175" s="19"/>
      <c r="M175" s="20"/>
      <c r="N175" s="16"/>
      <c r="O175" s="16"/>
      <c r="P175" s="68"/>
      <c r="Q175" s="19"/>
      <c r="R175" s="20"/>
      <c r="S175" s="16"/>
      <c r="T175" s="16"/>
      <c r="U175" s="68"/>
      <c r="V175" s="19"/>
      <c r="W175" s="20"/>
      <c r="X175" s="16"/>
      <c r="Y175" s="16"/>
    </row>
    <row r="176" spans="6:25" x14ac:dyDescent="0.2">
      <c r="F176" s="68"/>
      <c r="G176" s="19"/>
      <c r="H176" s="20"/>
      <c r="I176" s="16"/>
      <c r="J176" s="16"/>
      <c r="K176" s="68"/>
      <c r="L176" s="19"/>
      <c r="M176" s="20"/>
      <c r="N176" s="16"/>
      <c r="O176" s="16"/>
      <c r="P176" s="68"/>
      <c r="Q176" s="19"/>
      <c r="R176" s="20"/>
      <c r="S176" s="16"/>
      <c r="T176" s="16"/>
      <c r="U176" s="68"/>
      <c r="V176" s="19"/>
      <c r="W176" s="20"/>
      <c r="X176" s="16"/>
      <c r="Y176" s="16"/>
    </row>
    <row r="177" spans="6:25" x14ac:dyDescent="0.2">
      <c r="F177" s="68"/>
      <c r="G177" s="19"/>
      <c r="H177" s="20"/>
      <c r="I177" s="16"/>
      <c r="J177" s="16"/>
      <c r="K177" s="68"/>
      <c r="L177" s="19"/>
      <c r="M177" s="20"/>
      <c r="N177" s="16"/>
      <c r="O177" s="16"/>
      <c r="P177" s="68"/>
      <c r="Q177" s="19"/>
      <c r="R177" s="20"/>
      <c r="S177" s="16"/>
      <c r="T177" s="16"/>
      <c r="U177" s="68"/>
      <c r="V177" s="19"/>
      <c r="W177" s="20"/>
      <c r="X177" s="16"/>
      <c r="Y177" s="16"/>
    </row>
    <row r="178" spans="6:25" x14ac:dyDescent="0.2">
      <c r="F178" s="68"/>
      <c r="G178" s="19"/>
      <c r="H178" s="20"/>
      <c r="I178" s="16"/>
      <c r="J178" s="16"/>
      <c r="K178" s="68"/>
      <c r="L178" s="19"/>
      <c r="M178" s="20"/>
      <c r="N178" s="16"/>
      <c r="O178" s="16"/>
      <c r="P178" s="68"/>
      <c r="Q178" s="19"/>
      <c r="R178" s="20"/>
      <c r="S178" s="16"/>
      <c r="T178" s="16"/>
      <c r="U178" s="68"/>
      <c r="V178" s="19"/>
      <c r="W178" s="20"/>
      <c r="X178" s="16"/>
      <c r="Y178" s="16"/>
    </row>
    <row r="179" spans="6:25" x14ac:dyDescent="0.2">
      <c r="F179" s="68"/>
      <c r="G179" s="19"/>
      <c r="H179" s="20"/>
      <c r="I179" s="16"/>
      <c r="J179" s="16"/>
      <c r="K179" s="68"/>
      <c r="L179" s="19"/>
      <c r="M179" s="20"/>
      <c r="N179" s="16"/>
      <c r="O179" s="16"/>
      <c r="P179" s="68"/>
      <c r="Q179" s="19"/>
      <c r="R179" s="20"/>
      <c r="S179" s="16"/>
      <c r="T179" s="16"/>
      <c r="U179" s="68"/>
      <c r="V179" s="19"/>
      <c r="W179" s="20"/>
      <c r="X179" s="16"/>
      <c r="Y179" s="16"/>
    </row>
    <row r="180" spans="6:25" x14ac:dyDescent="0.2">
      <c r="F180" s="68"/>
      <c r="G180" s="19"/>
      <c r="H180" s="20"/>
      <c r="I180" s="16"/>
      <c r="J180" s="16"/>
      <c r="K180" s="68"/>
      <c r="L180" s="19"/>
      <c r="M180" s="20"/>
      <c r="N180" s="16"/>
      <c r="O180" s="16"/>
      <c r="P180" s="68"/>
      <c r="Q180" s="19"/>
      <c r="R180" s="20"/>
      <c r="S180" s="16"/>
      <c r="T180" s="16"/>
      <c r="U180" s="68"/>
      <c r="V180" s="19"/>
      <c r="W180" s="20"/>
      <c r="X180" s="16"/>
      <c r="Y180" s="16"/>
    </row>
    <row r="181" spans="6:25" x14ac:dyDescent="0.2">
      <c r="F181" s="68"/>
      <c r="G181" s="19"/>
      <c r="H181" s="20"/>
      <c r="I181" s="16"/>
      <c r="J181" s="16"/>
      <c r="K181" s="68"/>
      <c r="L181" s="19"/>
      <c r="M181" s="20"/>
      <c r="N181" s="16"/>
      <c r="O181" s="16"/>
      <c r="P181" s="68"/>
      <c r="Q181" s="19"/>
      <c r="R181" s="20"/>
      <c r="S181" s="16"/>
      <c r="T181" s="16"/>
      <c r="U181" s="68"/>
      <c r="V181" s="19"/>
      <c r="W181" s="20"/>
      <c r="X181" s="16"/>
      <c r="Y181" s="16"/>
    </row>
    <row r="182" spans="6:25" x14ac:dyDescent="0.2">
      <c r="F182" s="68"/>
      <c r="G182" s="19"/>
      <c r="H182" s="20"/>
      <c r="I182" s="16"/>
      <c r="J182" s="16"/>
      <c r="K182" s="68"/>
      <c r="L182" s="19"/>
      <c r="M182" s="20"/>
      <c r="N182" s="16"/>
      <c r="O182" s="16"/>
      <c r="P182" s="68"/>
      <c r="Q182" s="19"/>
      <c r="R182" s="20"/>
      <c r="S182" s="16"/>
      <c r="T182" s="16"/>
      <c r="U182" s="68"/>
      <c r="V182" s="19"/>
      <c r="W182" s="20"/>
      <c r="X182" s="16"/>
      <c r="Y182" s="16"/>
    </row>
    <row r="183" spans="6:25" x14ac:dyDescent="0.2">
      <c r="F183" s="68"/>
      <c r="G183" s="19"/>
      <c r="H183" s="20"/>
      <c r="I183" s="16"/>
      <c r="J183" s="16"/>
      <c r="K183" s="68"/>
      <c r="L183" s="19"/>
      <c r="M183" s="20"/>
      <c r="N183" s="16"/>
      <c r="O183" s="16"/>
      <c r="P183" s="68"/>
      <c r="Q183" s="19"/>
      <c r="R183" s="20"/>
      <c r="S183" s="16"/>
      <c r="T183" s="16"/>
      <c r="U183" s="68"/>
      <c r="V183" s="19"/>
      <c r="W183" s="20"/>
      <c r="X183" s="16"/>
      <c r="Y183" s="16"/>
    </row>
    <row r="184" spans="6:25" x14ac:dyDescent="0.2">
      <c r="F184" s="68"/>
      <c r="G184" s="19"/>
      <c r="H184" s="20"/>
      <c r="I184" s="16"/>
      <c r="J184" s="16"/>
      <c r="K184" s="68"/>
      <c r="L184" s="19"/>
      <c r="M184" s="20"/>
      <c r="N184" s="16"/>
      <c r="O184" s="16"/>
      <c r="P184" s="68"/>
      <c r="Q184" s="19"/>
      <c r="R184" s="20"/>
      <c r="S184" s="16"/>
      <c r="T184" s="16"/>
      <c r="U184" s="68"/>
      <c r="V184" s="19"/>
      <c r="W184" s="20"/>
      <c r="X184" s="16"/>
      <c r="Y184" s="16"/>
    </row>
    <row r="185" spans="6:25" x14ac:dyDescent="0.2">
      <c r="F185" s="68"/>
      <c r="G185" s="19"/>
      <c r="H185" s="20"/>
      <c r="I185" s="16"/>
      <c r="J185" s="16"/>
      <c r="K185" s="68"/>
      <c r="L185" s="19"/>
      <c r="M185" s="20"/>
      <c r="N185" s="16"/>
      <c r="O185" s="16"/>
      <c r="P185" s="68"/>
      <c r="Q185" s="19"/>
      <c r="R185" s="20"/>
      <c r="S185" s="16"/>
      <c r="T185" s="16"/>
      <c r="U185" s="68"/>
      <c r="V185" s="19"/>
      <c r="W185" s="20"/>
      <c r="X185" s="16"/>
      <c r="Y185" s="16"/>
    </row>
    <row r="186" spans="6:25" x14ac:dyDescent="0.2">
      <c r="F186" s="68"/>
      <c r="G186" s="19"/>
      <c r="H186" s="20"/>
      <c r="I186" s="16"/>
      <c r="J186" s="16"/>
      <c r="K186" s="68"/>
      <c r="L186" s="19"/>
      <c r="M186" s="20"/>
      <c r="N186" s="16"/>
      <c r="O186" s="16"/>
      <c r="P186" s="68"/>
      <c r="Q186" s="19"/>
      <c r="R186" s="20"/>
      <c r="S186" s="16"/>
      <c r="T186" s="16"/>
      <c r="U186" s="68"/>
      <c r="V186" s="19"/>
      <c r="W186" s="20"/>
      <c r="X186" s="16"/>
      <c r="Y186" s="16"/>
    </row>
    <row r="187" spans="6:25" x14ac:dyDescent="0.2">
      <c r="F187" s="68"/>
      <c r="G187" s="19"/>
      <c r="H187" s="20"/>
      <c r="I187" s="16"/>
      <c r="J187" s="16"/>
      <c r="K187" s="68"/>
      <c r="L187" s="19"/>
      <c r="M187" s="20"/>
      <c r="N187" s="16"/>
      <c r="O187" s="16"/>
      <c r="P187" s="68"/>
      <c r="Q187" s="19"/>
      <c r="R187" s="20"/>
      <c r="S187" s="16"/>
      <c r="T187" s="16"/>
      <c r="U187" s="68"/>
      <c r="V187" s="19"/>
      <c r="W187" s="20"/>
      <c r="X187" s="16"/>
      <c r="Y187" s="16"/>
    </row>
    <row r="188" spans="6:25" x14ac:dyDescent="0.2">
      <c r="F188" s="68"/>
      <c r="G188" s="19"/>
      <c r="H188" s="20"/>
      <c r="I188" s="16"/>
      <c r="J188" s="16"/>
      <c r="K188" s="68"/>
      <c r="L188" s="19"/>
      <c r="M188" s="20"/>
      <c r="N188" s="16"/>
      <c r="O188" s="16"/>
      <c r="P188" s="68"/>
      <c r="Q188" s="19"/>
      <c r="R188" s="20"/>
      <c r="S188" s="16"/>
      <c r="T188" s="16"/>
      <c r="U188" s="68"/>
      <c r="V188" s="19"/>
      <c r="W188" s="20"/>
      <c r="X188" s="16"/>
      <c r="Y188" s="16"/>
    </row>
    <row r="189" spans="6:25" x14ac:dyDescent="0.2">
      <c r="F189" s="68"/>
      <c r="G189" s="19"/>
      <c r="H189" s="20"/>
      <c r="I189" s="16"/>
      <c r="J189" s="16"/>
      <c r="K189" s="68"/>
      <c r="L189" s="19"/>
      <c r="M189" s="20"/>
      <c r="N189" s="16"/>
      <c r="O189" s="16"/>
      <c r="P189" s="68"/>
      <c r="Q189" s="19"/>
      <c r="R189" s="20"/>
      <c r="S189" s="16"/>
      <c r="T189" s="16"/>
      <c r="U189" s="68"/>
      <c r="V189" s="19"/>
      <c r="W189" s="20"/>
      <c r="X189" s="16"/>
      <c r="Y189" s="16"/>
    </row>
    <row r="190" spans="6:25" x14ac:dyDescent="0.2">
      <c r="F190" s="68"/>
      <c r="G190" s="19"/>
      <c r="H190" s="20"/>
      <c r="I190" s="16"/>
      <c r="J190" s="16"/>
      <c r="K190" s="68"/>
      <c r="L190" s="19"/>
      <c r="M190" s="20"/>
      <c r="N190" s="16"/>
      <c r="O190" s="16"/>
      <c r="P190" s="68"/>
      <c r="Q190" s="19"/>
      <c r="R190" s="20"/>
      <c r="S190" s="16"/>
      <c r="T190" s="16"/>
      <c r="U190" s="68"/>
      <c r="V190" s="19"/>
      <c r="W190" s="20"/>
      <c r="X190" s="16"/>
      <c r="Y190" s="16"/>
    </row>
    <row r="191" spans="6:25" x14ac:dyDescent="0.2">
      <c r="F191" s="68"/>
      <c r="G191" s="19"/>
      <c r="H191" s="20"/>
      <c r="I191" s="16"/>
      <c r="J191" s="16"/>
      <c r="K191" s="68"/>
      <c r="L191" s="19"/>
      <c r="M191" s="20"/>
      <c r="N191" s="16"/>
      <c r="O191" s="16"/>
      <c r="P191" s="68"/>
      <c r="Q191" s="19"/>
      <c r="R191" s="20"/>
      <c r="S191" s="16"/>
      <c r="T191" s="16"/>
      <c r="U191" s="68"/>
      <c r="V191" s="19"/>
      <c r="W191" s="20"/>
      <c r="X191" s="16"/>
      <c r="Y191" s="16"/>
    </row>
    <row r="192" spans="6:25" x14ac:dyDescent="0.2">
      <c r="F192" s="68"/>
      <c r="G192" s="19"/>
      <c r="H192" s="20"/>
      <c r="I192" s="16"/>
      <c r="J192" s="16"/>
      <c r="K192" s="68"/>
      <c r="L192" s="19"/>
      <c r="M192" s="20"/>
      <c r="N192" s="16"/>
      <c r="O192" s="16"/>
      <c r="P192" s="68"/>
      <c r="Q192" s="19"/>
      <c r="R192" s="20"/>
      <c r="S192" s="16"/>
      <c r="T192" s="16"/>
      <c r="U192" s="68"/>
      <c r="V192" s="19"/>
      <c r="W192" s="20"/>
      <c r="X192" s="16"/>
      <c r="Y192" s="16"/>
    </row>
    <row r="193" spans="6:25" x14ac:dyDescent="0.2">
      <c r="F193" s="68"/>
      <c r="G193" s="19"/>
      <c r="H193" s="20"/>
      <c r="I193" s="16"/>
      <c r="J193" s="16"/>
      <c r="K193" s="68"/>
      <c r="L193" s="19"/>
      <c r="M193" s="20"/>
      <c r="N193" s="16"/>
      <c r="O193" s="16"/>
      <c r="P193" s="68"/>
      <c r="Q193" s="19"/>
      <c r="R193" s="20"/>
      <c r="S193" s="16"/>
      <c r="T193" s="16"/>
      <c r="U193" s="68"/>
      <c r="V193" s="19"/>
      <c r="W193" s="20"/>
      <c r="X193" s="16"/>
      <c r="Y193" s="16"/>
    </row>
    <row r="194" spans="6:25" x14ac:dyDescent="0.2">
      <c r="F194" s="68"/>
      <c r="G194" s="19"/>
      <c r="H194" s="20"/>
      <c r="I194" s="16"/>
      <c r="J194" s="16"/>
      <c r="K194" s="68"/>
      <c r="L194" s="19"/>
      <c r="M194" s="20"/>
      <c r="N194" s="16"/>
      <c r="O194" s="16"/>
      <c r="P194" s="68"/>
      <c r="Q194" s="19"/>
      <c r="R194" s="20"/>
      <c r="S194" s="16"/>
      <c r="T194" s="16"/>
      <c r="U194" s="68"/>
      <c r="V194" s="19"/>
      <c r="W194" s="20"/>
      <c r="X194" s="16"/>
      <c r="Y194" s="16"/>
    </row>
    <row r="195" spans="6:25" x14ac:dyDescent="0.2">
      <c r="F195" s="68"/>
      <c r="G195" s="19"/>
      <c r="H195" s="20"/>
      <c r="I195" s="16"/>
      <c r="J195" s="16"/>
      <c r="K195" s="68"/>
      <c r="L195" s="19"/>
      <c r="M195" s="20"/>
      <c r="N195" s="16"/>
      <c r="O195" s="16"/>
      <c r="P195" s="68"/>
      <c r="Q195" s="19"/>
      <c r="R195" s="20"/>
      <c r="S195" s="16"/>
      <c r="T195" s="16"/>
      <c r="U195" s="68"/>
      <c r="V195" s="19"/>
      <c r="W195" s="20"/>
      <c r="X195" s="16"/>
      <c r="Y195" s="16"/>
    </row>
    <row r="196" spans="6:25" x14ac:dyDescent="0.2">
      <c r="F196" s="68"/>
      <c r="G196" s="19"/>
      <c r="H196" s="20"/>
      <c r="I196" s="16"/>
      <c r="J196" s="16"/>
      <c r="K196" s="68"/>
      <c r="L196" s="19"/>
      <c r="M196" s="20"/>
      <c r="N196" s="16"/>
      <c r="O196" s="16"/>
      <c r="P196" s="68"/>
      <c r="Q196" s="19"/>
      <c r="R196" s="20"/>
      <c r="S196" s="16"/>
      <c r="T196" s="16"/>
      <c r="U196" s="68"/>
      <c r="V196" s="19"/>
      <c r="W196" s="20"/>
      <c r="X196" s="16"/>
      <c r="Y196" s="16"/>
    </row>
    <row r="197" spans="6:25" x14ac:dyDescent="0.2">
      <c r="F197" s="68"/>
      <c r="G197" s="19"/>
      <c r="H197" s="20"/>
      <c r="I197" s="16"/>
      <c r="J197" s="16"/>
      <c r="K197" s="68"/>
      <c r="L197" s="19"/>
      <c r="M197" s="20"/>
      <c r="N197" s="16"/>
      <c r="O197" s="16"/>
      <c r="P197" s="68"/>
      <c r="Q197" s="19"/>
      <c r="R197" s="20"/>
      <c r="S197" s="16"/>
      <c r="T197" s="16"/>
      <c r="U197" s="68"/>
      <c r="V197" s="19"/>
      <c r="W197" s="20"/>
      <c r="X197" s="16"/>
      <c r="Y197" s="16"/>
    </row>
    <row r="198" spans="6:25" x14ac:dyDescent="0.2">
      <c r="F198" s="68"/>
      <c r="G198" s="19"/>
      <c r="H198" s="20"/>
      <c r="I198" s="16"/>
      <c r="J198" s="16"/>
      <c r="K198" s="68"/>
      <c r="L198" s="19"/>
      <c r="M198" s="20"/>
      <c r="N198" s="16"/>
      <c r="O198" s="16"/>
      <c r="P198" s="68"/>
      <c r="Q198" s="19"/>
      <c r="R198" s="20"/>
      <c r="S198" s="16"/>
      <c r="T198" s="16"/>
      <c r="U198" s="68"/>
      <c r="V198" s="19"/>
      <c r="W198" s="20"/>
      <c r="X198" s="16"/>
      <c r="Y198" s="16"/>
    </row>
    <row r="199" spans="6:25" x14ac:dyDescent="0.2">
      <c r="F199" s="68"/>
      <c r="G199" s="19"/>
      <c r="H199" s="20"/>
      <c r="I199" s="16"/>
      <c r="J199" s="16"/>
      <c r="K199" s="68"/>
      <c r="L199" s="19"/>
      <c r="M199" s="20"/>
      <c r="N199" s="16"/>
      <c r="O199" s="16"/>
      <c r="P199" s="68"/>
      <c r="Q199" s="19"/>
      <c r="R199" s="20"/>
      <c r="S199" s="16"/>
      <c r="T199" s="16"/>
      <c r="U199" s="68"/>
      <c r="V199" s="19"/>
      <c r="W199" s="20"/>
      <c r="X199" s="16"/>
      <c r="Y199" s="16"/>
    </row>
    <row r="200" spans="6:25" x14ac:dyDescent="0.2">
      <c r="F200" s="68"/>
      <c r="G200" s="19"/>
      <c r="H200" s="20"/>
      <c r="I200" s="16"/>
      <c r="J200" s="16"/>
      <c r="K200" s="68"/>
      <c r="L200" s="19"/>
      <c r="M200" s="20"/>
      <c r="N200" s="16"/>
      <c r="O200" s="16"/>
      <c r="P200" s="68"/>
      <c r="Q200" s="19"/>
      <c r="R200" s="20"/>
      <c r="S200" s="16"/>
      <c r="T200" s="16"/>
      <c r="U200" s="68"/>
      <c r="V200" s="19"/>
      <c r="W200" s="20"/>
      <c r="X200" s="16"/>
      <c r="Y200" s="16"/>
    </row>
    <row r="201" spans="6:25" x14ac:dyDescent="0.2">
      <c r="F201" s="68"/>
      <c r="G201" s="19"/>
      <c r="H201" s="20"/>
      <c r="I201" s="16"/>
      <c r="J201" s="16"/>
      <c r="K201" s="68"/>
      <c r="L201" s="19"/>
      <c r="M201" s="20"/>
      <c r="N201" s="16"/>
      <c r="O201" s="16"/>
      <c r="P201" s="68"/>
      <c r="Q201" s="19"/>
      <c r="R201" s="20"/>
      <c r="S201" s="16"/>
      <c r="T201" s="16"/>
      <c r="U201" s="68"/>
      <c r="V201" s="19"/>
      <c r="W201" s="20"/>
      <c r="X201" s="16"/>
      <c r="Y201" s="16"/>
    </row>
    <row r="202" spans="6:25" x14ac:dyDescent="0.2">
      <c r="F202" s="68"/>
      <c r="G202" s="19"/>
      <c r="H202" s="20"/>
      <c r="I202" s="16"/>
      <c r="J202" s="16"/>
      <c r="K202" s="68"/>
      <c r="L202" s="19"/>
      <c r="M202" s="20"/>
      <c r="N202" s="16"/>
      <c r="O202" s="16"/>
      <c r="P202" s="68"/>
      <c r="Q202" s="19"/>
      <c r="R202" s="20"/>
      <c r="S202" s="16"/>
      <c r="T202" s="16"/>
      <c r="U202" s="68"/>
      <c r="V202" s="19"/>
      <c r="W202" s="20"/>
      <c r="X202" s="16"/>
      <c r="Y202" s="16"/>
    </row>
    <row r="203" spans="6:25" x14ac:dyDescent="0.2">
      <c r="F203" s="68"/>
      <c r="G203" s="19"/>
      <c r="H203" s="20"/>
      <c r="I203" s="16"/>
      <c r="J203" s="16"/>
      <c r="K203" s="68"/>
      <c r="L203" s="19"/>
      <c r="M203" s="20"/>
      <c r="N203" s="16"/>
      <c r="O203" s="16"/>
      <c r="P203" s="68"/>
      <c r="Q203" s="19"/>
      <c r="R203" s="20"/>
      <c r="S203" s="16"/>
      <c r="T203" s="16"/>
      <c r="U203" s="68"/>
      <c r="V203" s="19"/>
      <c r="W203" s="20"/>
      <c r="X203" s="16"/>
      <c r="Y203" s="16"/>
    </row>
    <row r="204" spans="6:25" x14ac:dyDescent="0.2">
      <c r="F204" s="68"/>
      <c r="G204" s="19"/>
      <c r="H204" s="20"/>
      <c r="I204" s="16"/>
      <c r="J204" s="16"/>
      <c r="K204" s="68"/>
      <c r="L204" s="19"/>
      <c r="M204" s="20"/>
      <c r="N204" s="16"/>
      <c r="O204" s="16"/>
      <c r="P204" s="68"/>
      <c r="Q204" s="19"/>
      <c r="R204" s="20"/>
      <c r="S204" s="16"/>
      <c r="T204" s="16"/>
      <c r="U204" s="68"/>
      <c r="V204" s="19"/>
      <c r="W204" s="20"/>
      <c r="X204" s="16"/>
      <c r="Y204" s="16"/>
    </row>
    <row r="205" spans="6:25" x14ac:dyDescent="0.2">
      <c r="F205" s="68"/>
      <c r="G205" s="19"/>
      <c r="H205" s="20"/>
      <c r="I205" s="16"/>
      <c r="J205" s="16"/>
      <c r="K205" s="68"/>
      <c r="L205" s="19"/>
      <c r="M205" s="20"/>
      <c r="N205" s="16"/>
      <c r="O205" s="16"/>
      <c r="P205" s="68"/>
      <c r="Q205" s="19"/>
      <c r="R205" s="20"/>
      <c r="S205" s="16"/>
      <c r="T205" s="16"/>
      <c r="U205" s="68"/>
      <c r="V205" s="19"/>
      <c r="W205" s="20"/>
      <c r="X205" s="16"/>
      <c r="Y205" s="16"/>
    </row>
    <row r="206" spans="6:25" x14ac:dyDescent="0.2">
      <c r="F206" s="68"/>
      <c r="G206" s="19"/>
      <c r="H206" s="20"/>
      <c r="I206" s="16"/>
      <c r="J206" s="16"/>
      <c r="K206" s="68"/>
      <c r="L206" s="19"/>
      <c r="M206" s="20"/>
      <c r="N206" s="16"/>
      <c r="O206" s="16"/>
      <c r="P206" s="68"/>
      <c r="Q206" s="19"/>
      <c r="R206" s="20"/>
      <c r="S206" s="16"/>
      <c r="T206" s="16"/>
      <c r="U206" s="68"/>
      <c r="V206" s="19"/>
      <c r="W206" s="20"/>
      <c r="X206" s="16"/>
      <c r="Y206" s="16"/>
    </row>
    <row r="207" spans="6:25" x14ac:dyDescent="0.2">
      <c r="F207" s="68"/>
      <c r="G207" s="19"/>
      <c r="H207" s="20"/>
      <c r="I207" s="16"/>
      <c r="J207" s="16"/>
      <c r="K207" s="68"/>
      <c r="L207" s="19"/>
      <c r="M207" s="20"/>
      <c r="N207" s="16"/>
      <c r="O207" s="16"/>
      <c r="P207" s="68"/>
      <c r="Q207" s="19"/>
      <c r="R207" s="20"/>
      <c r="S207" s="16"/>
      <c r="T207" s="16"/>
      <c r="U207" s="68"/>
      <c r="V207" s="19"/>
      <c r="W207" s="20"/>
      <c r="X207" s="16"/>
      <c r="Y207" s="16"/>
    </row>
    <row r="208" spans="6:25" x14ac:dyDescent="0.2">
      <c r="F208" s="68"/>
      <c r="G208" s="19"/>
      <c r="H208" s="20"/>
      <c r="I208" s="16"/>
      <c r="J208" s="16"/>
      <c r="K208" s="68"/>
      <c r="L208" s="19"/>
      <c r="M208" s="20"/>
      <c r="N208" s="16"/>
      <c r="O208" s="16"/>
      <c r="P208" s="68"/>
      <c r="Q208" s="19"/>
      <c r="R208" s="20"/>
      <c r="S208" s="16"/>
      <c r="T208" s="16"/>
      <c r="U208" s="68"/>
      <c r="V208" s="19"/>
      <c r="W208" s="20"/>
      <c r="X208" s="16"/>
      <c r="Y208" s="16"/>
    </row>
    <row r="209" spans="6:25" x14ac:dyDescent="0.2">
      <c r="F209" s="68"/>
      <c r="G209" s="19"/>
      <c r="H209" s="20"/>
      <c r="I209" s="16"/>
      <c r="J209" s="16"/>
      <c r="K209" s="68"/>
      <c r="L209" s="19"/>
      <c r="M209" s="20"/>
      <c r="N209" s="16"/>
      <c r="O209" s="16"/>
      <c r="P209" s="68"/>
      <c r="Q209" s="19"/>
      <c r="R209" s="20"/>
      <c r="S209" s="16"/>
      <c r="T209" s="16"/>
      <c r="U209" s="68"/>
      <c r="V209" s="19"/>
      <c r="W209" s="20"/>
      <c r="X209" s="16"/>
      <c r="Y209" s="16"/>
    </row>
    <row r="210" spans="6:25" x14ac:dyDescent="0.2">
      <c r="F210" s="68"/>
      <c r="G210" s="19"/>
      <c r="H210" s="20"/>
      <c r="I210" s="16"/>
      <c r="J210" s="16"/>
      <c r="K210" s="68"/>
      <c r="L210" s="19"/>
      <c r="M210" s="20"/>
      <c r="N210" s="16"/>
      <c r="O210" s="16"/>
      <c r="P210" s="68"/>
      <c r="Q210" s="19"/>
      <c r="R210" s="20"/>
      <c r="S210" s="16"/>
      <c r="T210" s="16"/>
      <c r="U210" s="68"/>
      <c r="V210" s="19"/>
      <c r="W210" s="20"/>
      <c r="X210" s="16"/>
      <c r="Y210" s="16"/>
    </row>
    <row r="211" spans="6:25" x14ac:dyDescent="0.2">
      <c r="F211" s="68"/>
      <c r="G211" s="19"/>
      <c r="H211" s="20"/>
      <c r="I211" s="16"/>
      <c r="J211" s="16"/>
      <c r="K211" s="68"/>
      <c r="L211" s="19"/>
      <c r="M211" s="20"/>
      <c r="N211" s="16"/>
      <c r="O211" s="16"/>
      <c r="P211" s="68"/>
      <c r="Q211" s="19"/>
      <c r="R211" s="20"/>
      <c r="S211" s="16"/>
      <c r="T211" s="16"/>
      <c r="U211" s="68"/>
      <c r="V211" s="19"/>
      <c r="W211" s="20"/>
      <c r="X211" s="16"/>
      <c r="Y211" s="16"/>
    </row>
    <row r="212" spans="6:25" x14ac:dyDescent="0.2">
      <c r="F212" s="68"/>
      <c r="G212" s="19"/>
      <c r="H212" s="20"/>
      <c r="I212" s="16"/>
      <c r="J212" s="16"/>
      <c r="K212" s="68"/>
      <c r="L212" s="19"/>
      <c r="M212" s="20"/>
      <c r="N212" s="16"/>
      <c r="O212" s="16"/>
      <c r="P212" s="68"/>
      <c r="Q212" s="19"/>
      <c r="R212" s="20"/>
      <c r="S212" s="16"/>
      <c r="T212" s="16"/>
      <c r="U212" s="68"/>
      <c r="V212" s="19"/>
      <c r="W212" s="20"/>
      <c r="X212" s="16"/>
      <c r="Y212" s="16"/>
    </row>
    <row r="213" spans="6:25" x14ac:dyDescent="0.2">
      <c r="F213" s="68"/>
      <c r="G213" s="19"/>
      <c r="H213" s="20"/>
      <c r="I213" s="16"/>
      <c r="J213" s="16"/>
      <c r="K213" s="68"/>
      <c r="L213" s="19"/>
      <c r="M213" s="20"/>
      <c r="N213" s="16"/>
      <c r="O213" s="16"/>
      <c r="P213" s="68"/>
      <c r="Q213" s="19"/>
      <c r="R213" s="20"/>
      <c r="S213" s="16"/>
      <c r="T213" s="16"/>
      <c r="U213" s="68"/>
      <c r="V213" s="19"/>
      <c r="W213" s="20"/>
      <c r="X213" s="16"/>
      <c r="Y213" s="16"/>
    </row>
  </sheetData>
  <mergeCells count="35">
    <mergeCell ref="A2:X2"/>
    <mergeCell ref="A4:A5"/>
    <mergeCell ref="B4:B6"/>
    <mergeCell ref="C4:C6"/>
    <mergeCell ref="D4:E4"/>
    <mergeCell ref="X4:X5"/>
    <mergeCell ref="D5:D6"/>
    <mergeCell ref="E5:E6"/>
    <mergeCell ref="C72:C74"/>
    <mergeCell ref="A7:X7"/>
    <mergeCell ref="A13:X13"/>
    <mergeCell ref="O4:Q4"/>
    <mergeCell ref="O5:Q5"/>
    <mergeCell ref="R4:T4"/>
    <mergeCell ref="R5:T5"/>
    <mergeCell ref="U4:W4"/>
    <mergeCell ref="U5:W5"/>
    <mergeCell ref="L4:N4"/>
    <mergeCell ref="L5:N5"/>
    <mergeCell ref="B156:E156"/>
    <mergeCell ref="F4:H4"/>
    <mergeCell ref="F5:H5"/>
    <mergeCell ref="I4:K4"/>
    <mergeCell ref="I5:K5"/>
    <mergeCell ref="A88:R88"/>
    <mergeCell ref="A109:R109"/>
    <mergeCell ref="A117:R117"/>
    <mergeCell ref="B134:B135"/>
    <mergeCell ref="A137:R137"/>
    <mergeCell ref="A148:R148"/>
    <mergeCell ref="A16:X16"/>
    <mergeCell ref="A28:X28"/>
    <mergeCell ref="A45:R45"/>
    <mergeCell ref="A58:A69"/>
    <mergeCell ref="C58:C69"/>
  </mergeCells>
  <pageMargins left="0.70866141732283472" right="0.70866141732283472" top="0.74803149606299213" bottom="0.74803149606299213" header="0.31496062992125984" footer="0.31496062992125984"/>
  <pageSetup paperSize="9" scale="50" fitToHeight="0" orientation="landscape" r:id="rId1"/>
  <colBreaks count="1" manualBreakCount="1">
    <brk id="24" max="1048575" man="1"/>
  </colBreaks>
  <ignoredErrors>
    <ignoredError sqref="F38:G38 G8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Projektų sarašas</vt:lpstr>
      <vt:lpstr>Lyginamasis</vt:lpstr>
      <vt:lpstr>Lyginamasis!Print_Area</vt:lpstr>
      <vt:lpstr>'Projektų sarašas'!Print_Area</vt:lpstr>
      <vt:lpstr>'Projektų sarašas'!Print_Titles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Asta Česnauskienė</cp:lastModifiedBy>
  <cp:lastPrinted>2022-01-22T06:33:36Z</cp:lastPrinted>
  <dcterms:created xsi:type="dcterms:W3CDTF">2016-08-26T11:07:05Z</dcterms:created>
  <dcterms:modified xsi:type="dcterms:W3CDTF">2022-02-21T08:38:14Z</dcterms:modified>
</cp:coreProperties>
</file>