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ATASKAITOS\2021 SVP ataskaita\SPRENDIMO PROJEKTAS 03-24\"/>
    </mc:Choice>
  </mc:AlternateContent>
  <bookViews>
    <workbookView xWindow="-120" yWindow="-120" windowWidth="24240" windowHeight="13140" tabRatio="752" firstSheet="1" activeTab="1"/>
  </bookViews>
  <sheets>
    <sheet name="Asignavimų valdytojų kodai" sheetId="13" state="hidden" r:id="rId1"/>
    <sheet name="Ataskaita" sheetId="18" r:id="rId2"/>
    <sheet name="senas" sheetId="21" state="hidden" r:id="rId3"/>
    <sheet name="8 programa" sheetId="23" r:id="rId4"/>
    <sheet name="SPIS" sheetId="19" state="hidden" r:id="rId5"/>
  </sheets>
  <definedNames>
    <definedName name="_xlnm.Print_Area" localSheetId="1">Ataskaita!$A$1:$I$25</definedName>
    <definedName name="_xlnm.Print_Area" localSheetId="2">senas!$A$1:$M$152</definedName>
    <definedName name="_xlnm.Print_Titles" localSheetId="3">'8 programa'!$4:$6</definedName>
    <definedName name="_xlnm.Print_Titles" localSheetId="2">senas!$4:$6</definedName>
  </definedNames>
  <calcPr calcId="162913"/>
</workbook>
</file>

<file path=xl/calcChain.xml><?xml version="1.0" encoding="utf-8"?>
<calcChain xmlns="http://schemas.openxmlformats.org/spreadsheetml/2006/main">
  <c r="F159" i="23" l="1"/>
  <c r="E159" i="23"/>
  <c r="D159" i="23"/>
  <c r="C159" i="23"/>
  <c r="H141" i="23"/>
  <c r="G141" i="23"/>
  <c r="F141" i="23"/>
  <c r="E141" i="23"/>
  <c r="H139" i="23"/>
  <c r="G139" i="23"/>
  <c r="F139" i="23"/>
  <c r="E139" i="23"/>
  <c r="H135" i="23"/>
  <c r="G135" i="23"/>
  <c r="F135" i="23"/>
  <c r="E135" i="23"/>
  <c r="H132" i="23"/>
  <c r="G132" i="23"/>
  <c r="F132" i="23"/>
  <c r="E132" i="23"/>
  <c r="H131" i="23"/>
  <c r="G131" i="23"/>
  <c r="F131" i="23"/>
  <c r="F130" i="23" s="1"/>
  <c r="E131" i="23"/>
  <c r="E130" i="23" s="1"/>
  <c r="H130" i="23"/>
  <c r="G130" i="23"/>
  <c r="H127" i="23"/>
  <c r="G127" i="23"/>
  <c r="F127" i="23"/>
  <c r="E127" i="23"/>
  <c r="H126" i="23"/>
  <c r="G126" i="23"/>
  <c r="F126" i="23"/>
  <c r="E126" i="23"/>
  <c r="H121" i="23"/>
  <c r="G121" i="23"/>
  <c r="F121" i="23"/>
  <c r="E121" i="23"/>
  <c r="H118" i="23"/>
  <c r="G118" i="23"/>
  <c r="F118" i="23"/>
  <c r="F117" i="23" s="1"/>
  <c r="E118" i="23"/>
  <c r="H117" i="23"/>
  <c r="G117" i="23"/>
  <c r="E117" i="23"/>
  <c r="H115" i="23"/>
  <c r="G115" i="23"/>
  <c r="F115" i="23"/>
  <c r="E115" i="23"/>
  <c r="H113" i="23"/>
  <c r="G113" i="23"/>
  <c r="F113" i="23"/>
  <c r="E113" i="23"/>
  <c r="H109" i="23"/>
  <c r="G109" i="23"/>
  <c r="F109" i="23"/>
  <c r="E109" i="23"/>
  <c r="H104" i="23"/>
  <c r="G104" i="23"/>
  <c r="F104" i="23"/>
  <c r="E104" i="23"/>
  <c r="H102" i="23"/>
  <c r="G102" i="23"/>
  <c r="F102" i="23"/>
  <c r="E102" i="23"/>
  <c r="H100" i="23"/>
  <c r="G100" i="23"/>
  <c r="F100" i="23"/>
  <c r="E100" i="23"/>
  <c r="H93" i="23"/>
  <c r="G93" i="23"/>
  <c r="F93" i="23"/>
  <c r="E93" i="23"/>
  <c r="H91" i="23"/>
  <c r="G91" i="23"/>
  <c r="F91" i="23"/>
  <c r="E91" i="23"/>
  <c r="H85" i="23"/>
  <c r="G85" i="23"/>
  <c r="F85" i="23"/>
  <c r="E85" i="23"/>
  <c r="H83" i="23"/>
  <c r="G83" i="23"/>
  <c r="F83" i="23"/>
  <c r="E83" i="23"/>
  <c r="H80" i="23"/>
  <c r="G80" i="23"/>
  <c r="F80" i="23"/>
  <c r="E80" i="23"/>
  <c r="H74" i="23"/>
  <c r="G74" i="23"/>
  <c r="F74" i="23"/>
  <c r="E74" i="23"/>
  <c r="H67" i="23"/>
  <c r="G67" i="23"/>
  <c r="F67" i="23"/>
  <c r="E67" i="23"/>
  <c r="H63" i="23"/>
  <c r="G63" i="23"/>
  <c r="F63" i="23"/>
  <c r="E63" i="23"/>
  <c r="H54" i="23"/>
  <c r="G54" i="23"/>
  <c r="F54" i="23"/>
  <c r="E54" i="23"/>
  <c r="H46" i="23"/>
  <c r="G46" i="23"/>
  <c r="G44" i="23" s="1"/>
  <c r="F46" i="23"/>
  <c r="E46" i="23"/>
  <c r="H44" i="23"/>
  <c r="F44" i="23"/>
  <c r="E44" i="23"/>
  <c r="H37" i="23"/>
  <c r="G37" i="23"/>
  <c r="F37" i="23"/>
  <c r="E37" i="23"/>
  <c r="H33" i="23"/>
  <c r="G33" i="23"/>
  <c r="F33" i="23"/>
  <c r="E33" i="23"/>
  <c r="H32" i="23"/>
  <c r="G32" i="23"/>
  <c r="F32" i="23"/>
  <c r="E32" i="23"/>
  <c r="H27" i="23"/>
  <c r="G27" i="23"/>
  <c r="F27" i="23"/>
  <c r="E27" i="23"/>
  <c r="E26" i="23" s="1"/>
  <c r="H26" i="23"/>
  <c r="G26" i="23"/>
  <c r="F26" i="23"/>
  <c r="H23" i="23"/>
  <c r="G23" i="23"/>
  <c r="F23" i="23"/>
  <c r="F22" i="23" s="1"/>
  <c r="F12" i="23" s="1"/>
  <c r="E23" i="23"/>
  <c r="E22" i="23" s="1"/>
  <c r="H22" i="23"/>
  <c r="G22" i="23"/>
  <c r="H20" i="23"/>
  <c r="G20" i="23"/>
  <c r="F20" i="23"/>
  <c r="E20" i="23"/>
  <c r="H14" i="23"/>
  <c r="G14" i="23"/>
  <c r="F14" i="23"/>
  <c r="E14" i="23"/>
  <c r="E13" i="23" s="1"/>
  <c r="E12" i="23" s="1"/>
  <c r="H13" i="23"/>
  <c r="G13" i="23"/>
  <c r="F13" i="23"/>
  <c r="H12" i="23"/>
  <c r="G12" i="23" l="1"/>
  <c r="E43" i="23"/>
  <c r="E8" i="23" s="1"/>
  <c r="E7" i="23" s="1"/>
  <c r="G43" i="23"/>
  <c r="H43" i="23"/>
  <c r="H8" i="23" s="1"/>
  <c r="H7" i="23" s="1"/>
  <c r="F43" i="23"/>
  <c r="F8" i="23" s="1"/>
  <c r="F7" i="23" s="1"/>
  <c r="G8" i="23"/>
  <c r="G7" i="23" s="1"/>
  <c r="F152" i="21" l="1"/>
  <c r="E152" i="21"/>
  <c r="D152" i="21"/>
  <c r="C152" i="21"/>
  <c r="H136" i="21"/>
  <c r="H135" i="21" s="1"/>
  <c r="G136" i="21"/>
  <c r="G135" i="21" s="1"/>
  <c r="F136" i="21"/>
  <c r="F135" i="21" s="1"/>
  <c r="E136" i="21"/>
  <c r="E135" i="21" s="1"/>
  <c r="H131" i="21"/>
  <c r="G131" i="21"/>
  <c r="F131" i="21"/>
  <c r="E131" i="21"/>
  <c r="H127" i="21"/>
  <c r="G127" i="21"/>
  <c r="F127" i="21"/>
  <c r="E127" i="21"/>
  <c r="H125" i="21"/>
  <c r="G125" i="21"/>
  <c r="F125" i="21"/>
  <c r="E125" i="21"/>
  <c r="H123" i="21"/>
  <c r="G123" i="21"/>
  <c r="F123" i="21"/>
  <c r="E123" i="21"/>
  <c r="H117" i="21"/>
  <c r="G117" i="21"/>
  <c r="G116" i="21" s="1"/>
  <c r="F117" i="21"/>
  <c r="F116" i="21" s="1"/>
  <c r="E117" i="21"/>
  <c r="E116" i="21" s="1"/>
  <c r="H116" i="21"/>
  <c r="H112" i="21"/>
  <c r="G112" i="21"/>
  <c r="F112" i="21"/>
  <c r="E112" i="21"/>
  <c r="H110" i="21"/>
  <c r="G110" i="21"/>
  <c r="F110" i="21"/>
  <c r="E110" i="21"/>
  <c r="H107" i="21"/>
  <c r="G107" i="21"/>
  <c r="F107" i="21"/>
  <c r="E107" i="21"/>
  <c r="H105" i="21"/>
  <c r="G105" i="21"/>
  <c r="F105" i="21"/>
  <c r="E105" i="21"/>
  <c r="H104" i="21"/>
  <c r="H101" i="21"/>
  <c r="G101" i="21"/>
  <c r="F101" i="21"/>
  <c r="E101" i="21"/>
  <c r="H93" i="21"/>
  <c r="G93" i="21"/>
  <c r="F93" i="21"/>
  <c r="E93" i="21"/>
  <c r="H89" i="21"/>
  <c r="H87" i="21" s="1"/>
  <c r="G89" i="21"/>
  <c r="F89" i="21"/>
  <c r="F87" i="21" s="1"/>
  <c r="E89" i="21"/>
  <c r="E87" i="21" s="1"/>
  <c r="H85" i="21"/>
  <c r="G85" i="21"/>
  <c r="F85" i="21"/>
  <c r="E85" i="21"/>
  <c r="H78" i="21"/>
  <c r="G78" i="21"/>
  <c r="F78" i="21"/>
  <c r="E78" i="21"/>
  <c r="H76" i="21"/>
  <c r="G76" i="21"/>
  <c r="F76" i="21"/>
  <c r="E76" i="21"/>
  <c r="H70" i="21"/>
  <c r="G70" i="21"/>
  <c r="F70" i="21"/>
  <c r="E70" i="21"/>
  <c r="H68" i="21"/>
  <c r="G68" i="21"/>
  <c r="F68" i="21"/>
  <c r="E68" i="21"/>
  <c r="H66" i="21"/>
  <c r="G66" i="21"/>
  <c r="F66" i="21"/>
  <c r="E66" i="21"/>
  <c r="H61" i="21"/>
  <c r="G61" i="21"/>
  <c r="F61" i="21"/>
  <c r="E61" i="21"/>
  <c r="H56" i="21"/>
  <c r="G56" i="21"/>
  <c r="F56" i="21"/>
  <c r="E56" i="21"/>
  <c r="H53" i="21"/>
  <c r="G53" i="21"/>
  <c r="F53" i="21"/>
  <c r="E53" i="21"/>
  <c r="H43" i="21"/>
  <c r="G43" i="21"/>
  <c r="F43" i="21"/>
  <c r="E43" i="21"/>
  <c r="H36" i="21"/>
  <c r="G36" i="21"/>
  <c r="G34" i="21" s="1"/>
  <c r="F36" i="21"/>
  <c r="F34" i="21" s="1"/>
  <c r="E36" i="21"/>
  <c r="H34" i="21"/>
  <c r="H29" i="21"/>
  <c r="H28" i="21" s="1"/>
  <c r="G29" i="21"/>
  <c r="G28" i="21" s="1"/>
  <c r="F29" i="21"/>
  <c r="F28" i="21" s="1"/>
  <c r="E29" i="21"/>
  <c r="E28" i="21" s="1"/>
  <c r="H24" i="21"/>
  <c r="H23" i="21" s="1"/>
  <c r="G24" i="21"/>
  <c r="G23" i="21" s="1"/>
  <c r="F24" i="21"/>
  <c r="F23" i="21" s="1"/>
  <c r="E24" i="21"/>
  <c r="E23" i="21" s="1"/>
  <c r="H21" i="21"/>
  <c r="G21" i="21"/>
  <c r="F21" i="21"/>
  <c r="E21" i="21"/>
  <c r="H19" i="21"/>
  <c r="G19" i="21"/>
  <c r="F19" i="21"/>
  <c r="E19" i="21"/>
  <c r="H14" i="21"/>
  <c r="H13" i="21" s="1"/>
  <c r="G14" i="21"/>
  <c r="G13" i="21" s="1"/>
  <c r="F14" i="21"/>
  <c r="F13" i="21" s="1"/>
  <c r="E14" i="21"/>
  <c r="E13" i="21" s="1"/>
  <c r="G104" i="21" l="1"/>
  <c r="E34" i="21"/>
  <c r="E104" i="21"/>
  <c r="G122" i="21"/>
  <c r="G121" i="21" s="1"/>
  <c r="G87" i="21"/>
  <c r="F104" i="21"/>
  <c r="F33" i="21" s="1"/>
  <c r="E122" i="21"/>
  <c r="E121" i="21" s="1"/>
  <c r="F122" i="21"/>
  <c r="F121" i="21" s="1"/>
  <c r="F12" i="21"/>
  <c r="H122" i="21"/>
  <c r="H121" i="21" s="1"/>
  <c r="E12" i="21"/>
  <c r="H12" i="21"/>
  <c r="H33" i="21"/>
  <c r="G33" i="21"/>
  <c r="G12" i="21"/>
  <c r="E33" i="21" l="1"/>
  <c r="G8" i="21"/>
  <c r="G7" i="21" s="1"/>
  <c r="F8" i="21"/>
  <c r="F7" i="21" s="1"/>
  <c r="E8" i="21"/>
  <c r="E7" i="21" s="1"/>
  <c r="H8" i="21"/>
  <c r="H7" i="21" s="1"/>
  <c r="H156" i="19" l="1"/>
  <c r="G156" i="19"/>
  <c r="F156" i="19"/>
  <c r="E156" i="19"/>
  <c r="H139" i="19"/>
  <c r="H138" i="19" s="1"/>
  <c r="G139" i="19"/>
  <c r="G138" i="19" s="1"/>
  <c r="F139" i="19"/>
  <c r="F138" i="19" s="1"/>
  <c r="E139" i="19"/>
  <c r="E138" i="19" s="1"/>
  <c r="H133" i="19"/>
  <c r="G133" i="19"/>
  <c r="F133" i="19"/>
  <c r="E133" i="19"/>
  <c r="H131" i="19"/>
  <c r="G131" i="19"/>
  <c r="F131" i="19"/>
  <c r="E131" i="19"/>
  <c r="H129" i="19"/>
  <c r="G129" i="19"/>
  <c r="F129" i="19"/>
  <c r="H125" i="19"/>
  <c r="G125" i="19"/>
  <c r="F125" i="19"/>
  <c r="F124" i="19" s="1"/>
  <c r="E125" i="19"/>
  <c r="E124" i="19" s="1"/>
  <c r="H124" i="19"/>
  <c r="G124" i="19"/>
  <c r="H121" i="19"/>
  <c r="G121" i="19"/>
  <c r="F121" i="19"/>
  <c r="E121" i="19"/>
  <c r="H118" i="19"/>
  <c r="G118" i="19"/>
  <c r="F118" i="19"/>
  <c r="E118" i="19"/>
  <c r="H115" i="19"/>
  <c r="G115" i="19"/>
  <c r="F115" i="19"/>
  <c r="E115" i="19"/>
  <c r="H113" i="19"/>
  <c r="G113" i="19"/>
  <c r="F113" i="19"/>
  <c r="E113" i="19"/>
  <c r="H110" i="19"/>
  <c r="G110" i="19"/>
  <c r="F110" i="19"/>
  <c r="E110" i="19"/>
  <c r="H107" i="19"/>
  <c r="G107" i="19"/>
  <c r="F107" i="19"/>
  <c r="E107" i="19"/>
  <c r="H104" i="19"/>
  <c r="G104" i="19"/>
  <c r="G103" i="19" s="1"/>
  <c r="F104" i="19"/>
  <c r="F103" i="19" s="1"/>
  <c r="E104" i="19"/>
  <c r="E103" i="19" s="1"/>
  <c r="H103" i="19"/>
  <c r="H101" i="19"/>
  <c r="G101" i="19"/>
  <c r="F101" i="19"/>
  <c r="E101" i="19"/>
  <c r="H99" i="19"/>
  <c r="G99" i="19"/>
  <c r="F99" i="19"/>
  <c r="E99" i="19"/>
  <c r="H93" i="19"/>
  <c r="G93" i="19"/>
  <c r="F93" i="19"/>
  <c r="E93" i="19"/>
  <c r="H88" i="19"/>
  <c r="G88" i="19"/>
  <c r="F88" i="19"/>
  <c r="E88" i="19"/>
  <c r="H86" i="19"/>
  <c r="H85" i="19" s="1"/>
  <c r="G86" i="19"/>
  <c r="F86" i="19"/>
  <c r="E86" i="19"/>
  <c r="E85" i="19" s="1"/>
  <c r="G85" i="19"/>
  <c r="F85" i="19"/>
  <c r="H83" i="19"/>
  <c r="G83" i="19"/>
  <c r="F83" i="19"/>
  <c r="E83" i="19"/>
  <c r="H76" i="19"/>
  <c r="G76" i="19"/>
  <c r="F76" i="19"/>
  <c r="E76" i="19"/>
  <c r="H74" i="19"/>
  <c r="G74" i="19"/>
  <c r="F74" i="19"/>
  <c r="E74" i="19"/>
  <c r="H69" i="19"/>
  <c r="G69" i="19"/>
  <c r="F69" i="19"/>
  <c r="E69" i="19"/>
  <c r="H67" i="19"/>
  <c r="G67" i="19"/>
  <c r="F67" i="19"/>
  <c r="E67" i="19"/>
  <c r="H64" i="19"/>
  <c r="G64" i="19"/>
  <c r="F64" i="19"/>
  <c r="E64" i="19"/>
  <c r="H60" i="19"/>
  <c r="G60" i="19"/>
  <c r="F60" i="19"/>
  <c r="E60" i="19"/>
  <c r="H55" i="19"/>
  <c r="G55" i="19"/>
  <c r="F55" i="19"/>
  <c r="E55" i="19"/>
  <c r="H51" i="19"/>
  <c r="G51" i="19"/>
  <c r="F51" i="19"/>
  <c r="E51" i="19"/>
  <c r="H45" i="19"/>
  <c r="G45" i="19"/>
  <c r="F45" i="19"/>
  <c r="E45" i="19"/>
  <c r="H40" i="19"/>
  <c r="G40" i="19"/>
  <c r="F40" i="19"/>
  <c r="E40" i="19"/>
  <c r="E36" i="19"/>
  <c r="H30" i="19"/>
  <c r="G30" i="19"/>
  <c r="F30" i="19"/>
  <c r="E30" i="19"/>
  <c r="E29" i="19" s="1"/>
  <c r="H29" i="19"/>
  <c r="G29" i="19"/>
  <c r="F29" i="19"/>
  <c r="H26" i="19"/>
  <c r="H25" i="19" s="1"/>
  <c r="G26" i="19"/>
  <c r="G25" i="19" s="1"/>
  <c r="F26" i="19"/>
  <c r="F25" i="19" s="1"/>
  <c r="E26" i="19"/>
  <c r="E25" i="19" s="1"/>
  <c r="H23" i="19"/>
  <c r="G23" i="19"/>
  <c r="F23" i="19"/>
  <c r="E23" i="19"/>
  <c r="H21" i="19"/>
  <c r="G21" i="19"/>
  <c r="G20" i="19" s="1"/>
  <c r="F21" i="19"/>
  <c r="E21" i="19"/>
  <c r="E20" i="19" s="1"/>
  <c r="H20" i="19"/>
  <c r="F20" i="19"/>
  <c r="H18" i="19"/>
  <c r="G18" i="19"/>
  <c r="F18" i="19"/>
  <c r="E18" i="19"/>
  <c r="H16" i="19"/>
  <c r="G16" i="19"/>
  <c r="F16" i="19"/>
  <c r="E16" i="19"/>
  <c r="H12" i="19"/>
  <c r="H11" i="19" s="1"/>
  <c r="G12" i="19"/>
  <c r="G11" i="19" s="1"/>
  <c r="F12" i="19"/>
  <c r="F11" i="19" s="1"/>
  <c r="E12" i="19"/>
  <c r="E11" i="19" s="1"/>
  <c r="G36" i="19" l="1"/>
  <c r="G35" i="19" s="1"/>
  <c r="E129" i="19"/>
  <c r="E128" i="19" s="1"/>
  <c r="H36" i="19"/>
  <c r="F36" i="19"/>
  <c r="F35" i="19" s="1"/>
  <c r="E35" i="19"/>
  <c r="G128" i="19"/>
  <c r="H35" i="19"/>
  <c r="F128" i="19"/>
  <c r="H128" i="19"/>
  <c r="F10" i="19"/>
  <c r="G10" i="19"/>
  <c r="E10" i="19"/>
  <c r="H10" i="19"/>
  <c r="G8" i="19" l="1"/>
  <c r="G7" i="19" s="1"/>
  <c r="F8" i="19"/>
  <c r="F7" i="19" s="1"/>
  <c r="E8" i="19"/>
  <c r="E7" i="19" s="1"/>
  <c r="H8" i="19"/>
  <c r="H7" i="19" s="1"/>
</calcChain>
</file>

<file path=xl/sharedStrings.xml><?xml version="1.0" encoding="utf-8"?>
<sst xmlns="http://schemas.openxmlformats.org/spreadsheetml/2006/main" count="1876" uniqueCount="703">
  <si>
    <t>Asignavimų valdytojo kodas</t>
  </si>
  <si>
    <t>Finansavimo šaltinis</t>
  </si>
  <si>
    <t>SB</t>
  </si>
  <si>
    <t>08</t>
  </si>
  <si>
    <t>Finansavimo šaltinių suvestinė</t>
  </si>
  <si>
    <t>SB(SP)</t>
  </si>
  <si>
    <t>2</t>
  </si>
  <si>
    <t>BĮ Klaipėdos miesto savivaldybės tautinių kultūrų centro veiklos organizavimas</t>
  </si>
  <si>
    <t>BĮ Klaipėdos miesto savivaldybės etnokultūros centro veiklos organizavimas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</si>
  <si>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</si>
  <si>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</si>
  <si>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</si>
  <si>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</si>
  <si>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</si>
  <si>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</si>
  <si>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</si>
  <si>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</si>
  <si>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</si>
  <si>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Kultūros objektų infrastruktūros modernizavimas:</t>
  </si>
  <si>
    <t>Užtikrinti kultūros įstaigų veiklą ir atnaujinti viešąsias kultūros erdves</t>
  </si>
  <si>
    <t>SB(VR)</t>
  </si>
  <si>
    <t>Kultūrinių renginių organizavimas</t>
  </si>
  <si>
    <t>Formuoti miesto kultūrinį tapatumą, integruotą į Baltijos jūros regiono kultūrinę erdvę</t>
  </si>
  <si>
    <t>Reprezentacinių Klaipėdos festivalių dalinis finansavimas</t>
  </si>
  <si>
    <t>Kt</t>
  </si>
  <si>
    <t>SB(SPL)</t>
  </si>
  <si>
    <t>Valstybinės ir tarptautinės reikšmės kultūrinių projektų įgyvendinimas</t>
  </si>
  <si>
    <t xml:space="preserve">STRATEGINIO VEIKLOS PLANO VYKDYMO ATASKAITA </t>
  </si>
  <si>
    <t>Informacija apie pasiektus rezultatus, duomenys apie programai skirtų asignavimų panaudojimo tikslingumą</t>
  </si>
  <si>
    <t>Priežastys, dėl kurių planuotos rodiklių reikšmės nepasiektos</t>
  </si>
  <si>
    <t>ĮVYKDYMO ATASKAITA</t>
  </si>
  <si>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</si>
  <si>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</si>
  <si>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</si>
  <si>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tūkst. Eur</t>
  </si>
  <si>
    <t>Centralizuotas paviršinių (lietaus) nuotekų tvarkymas (paslaugos apmokėjimas)</t>
  </si>
  <si>
    <t>BĮ Klaipėdos miesto savivaldybės koncertinės įstaigos Klaipėdos koncertų salės pastato ir patalpų remontas</t>
  </si>
  <si>
    <t>SB(L)</t>
  </si>
  <si>
    <t>Ekspozicijos projektavimas ir įrengimas piliavietės šiaurinėje kurtinoje</t>
  </si>
  <si>
    <t>Kultūros ir meno projektų vertinimo paslaugų pirkimas</t>
  </si>
  <si>
    <t>Ekspertų skaičius</t>
  </si>
  <si>
    <t>SB(VRL)</t>
  </si>
  <si>
    <t>BĮ Klaipėdos kultūrų komunikacijų centro patalpų remontas</t>
  </si>
  <si>
    <t>Lifto įrengimas Bendruomenės namuose Debreceno g. 48</t>
  </si>
  <si>
    <t>SB(ES)</t>
  </si>
  <si>
    <t>Naujų erdvių pritaikymas kultūros reikmėms</t>
  </si>
  <si>
    <t>Įgyvendinama Klaipėdos kultūros rinkodaros programa</t>
  </si>
  <si>
    <t>KULTŪROS PLĖTROS PROGRAMOS (NR. 08)</t>
  </si>
  <si>
    <t>(KULTŪROS PLĖTROS PROGRAMA (NR. 08))</t>
  </si>
  <si>
    <t>Planas</t>
  </si>
  <si>
    <t>Kultūros ir meno sričių ir programų projektų dalinis finansavimas</t>
  </si>
  <si>
    <t>Pasirengimas „The Tall Ships Races“ programai</t>
  </si>
  <si>
    <t>Miestui aktualių renginių organizavimas</t>
  </si>
  <si>
    <t>Prancūzų ir lietuvių koprodukcinių projektų įgyvendinimas</t>
  </si>
  <si>
    <t>BĮ Klaipėdos miesto savivaldybės Imanuelio Kanto viešosios bibliotekos veiklos organizavimas</t>
  </si>
  <si>
    <t>Dalyvaujančių įstaigų skaičius</t>
  </si>
  <si>
    <t>Parengiamųjų seminarų skaičius</t>
  </si>
  <si>
    <t>BĮ Klaipėdos miesto savivaldybės kultūros centro Žvejų rūmų patalpų remontas</t>
  </si>
  <si>
    <t>Vasaros estrados infrastruktūros  einamasis remontas (Liepojos g. 1)</t>
  </si>
  <si>
    <t>Tautinių kultūrų centro stogo remontas (K. Donelaičio g. 6B)</t>
  </si>
  <si>
    <t>SB(ESL)</t>
  </si>
  <si>
    <t>Parengtas techninis projektas, vnt.</t>
  </si>
  <si>
    <t>Visų tautybių gyventojų kultūrinės sąveikos didnimas</t>
  </si>
  <si>
    <t>Kodas</t>
  </si>
  <si>
    <t>METINIO VEIKLOS PLANO VYKDYMO ATASKAITA</t>
  </si>
  <si>
    <t>Asign. valdytojas</t>
  </si>
  <si>
    <t>Patvirtintas asignavimų planas</t>
  </si>
  <si>
    <t>Patikslintas asignavimų planas</t>
  </si>
  <si>
    <t>Iš viso gauta asignavimų</t>
  </si>
  <si>
    <t>Likutis</t>
  </si>
  <si>
    <t>Efekto /Rezultato /Produkto</t>
  </si>
  <si>
    <t>Rodiklis</t>
  </si>
  <si>
    <t>Mato vnt.</t>
  </si>
  <si>
    <t>2019</t>
  </si>
  <si>
    <t>Faktas</t>
  </si>
  <si>
    <t>Kultūros plėtros programa</t>
  </si>
  <si>
    <t>08.01.</t>
  </si>
  <si>
    <t xml:space="preserve">Skatinti miesto bendruomenės kultūrinį ir kūrybinį aktyvumą bei gerinti kultūrinių paslaugų prieinamumą ir kokybę   </t>
  </si>
  <si>
    <t>Miestiečių, visiškai patenkintų Klaipėdos kultūriniu gyvenimu</t>
  </si>
  <si>
    <t>proc.</t>
  </si>
  <si>
    <t>2018 m. pabaigos KU tyrimo duomenimis.</t>
  </si>
  <si>
    <t>Apsilankiusiųjų  Savivaldybės finansuojamuose ar remiamuose kultūros renginiuose skaičius</t>
  </si>
  <si>
    <t>tūkst.žm.</t>
  </si>
  <si>
    <t>2 510</t>
  </si>
  <si>
    <t>2 535</t>
  </si>
  <si>
    <t>08.01.01.</t>
  </si>
  <si>
    <t xml:space="preserve">Remti kūrybinių organizacijų iniciatyvas ir miesto švenčių organizavimą  </t>
  </si>
  <si>
    <t>08.01.01.01.</t>
  </si>
  <si>
    <t>Kultūros ir meno projektų dalinis finansavimas</t>
  </si>
  <si>
    <t>Iš dalies finansuota programų projektų</t>
  </si>
  <si>
    <t>skaičius</t>
  </si>
  <si>
    <t>Įvykdyta</t>
  </si>
  <si>
    <t>Iš dalies finansuota sričių projektų</t>
  </si>
  <si>
    <t>Daliai projektų vadovų atsisakius paskirto finansavimo, buvo finansuoti 76 kultūros sričių projektai.</t>
  </si>
  <si>
    <t>Įvertinta paraiškų</t>
  </si>
  <si>
    <t>vnt.</t>
  </si>
  <si>
    <t>Įvertintos paraiškos:
190 Kultūros ir meno sričių projektų;
40 stipendijų paraiškų;
2 papildomos paraiškos (Didžiųjų burlaivių regata ir Europiada).</t>
  </si>
  <si>
    <t>Vykdant viešųjų pirkimų apklausą dėl ekspertinių paslaugų pirkimo, 2 ekspertai atsisakė teikti paslaugas.</t>
  </si>
  <si>
    <t>08.01.01.02.</t>
  </si>
  <si>
    <t>Pasirengimas „The Tall Ships Races“ programai ir jos įgyvendinimas</t>
  </si>
  <si>
    <t>Pasirengimas lenktynių įgyvendinimui</t>
  </si>
  <si>
    <t>Pasirašoma sutartis su projekto vykdytojais.</t>
  </si>
  <si>
    <t>08.01.01.03.</t>
  </si>
  <si>
    <t>Kultūros ir meno projektų vertinimas ir administravimas</t>
  </si>
  <si>
    <t>2019-07-25 KMS tarybos sprendimu Nr. T2-248 priemonė perkelta į priemonę 08.01.01.01.</t>
  </si>
  <si>
    <t>08.01.01.04.</t>
  </si>
  <si>
    <t>Iš dalies finansuota festivalių</t>
  </si>
  <si>
    <t>Edukacinių projektų</t>
  </si>
  <si>
    <t>08.01.01.05.</t>
  </si>
  <si>
    <t>Stipendijų mokėjimas kultūros ir meno kūrėjams, mentoriams, rezidentams</t>
  </si>
  <si>
    <t>Stipendijų mokėjimas kultūros ir meno kūrėjams</t>
  </si>
  <si>
    <t>Skirta kultūros ir meno stipendijų</t>
  </si>
  <si>
    <t>Skirta 15 stipendijų, iš jų: 1 edukacinė ir 14 individualių stipendijų</t>
  </si>
  <si>
    <t>08.01.01.07.</t>
  </si>
  <si>
    <t>08.01.01.06.</t>
  </si>
  <si>
    <t>Suorganizuota miestui aktualių renginių ir miesto švenčių</t>
  </si>
  <si>
    <t>Buvo suorganizuoti miestui aktualūs renginiai: Klaipėdos krašto prijungimo minėjimas, Klaipėdos universiteto atlikto tyrimo „Kultūra klaipėdiečio akimis“ pristatymas, Kultūros dienos minėjimas, Klaipėdos teatralų apdovanojimai „Padėkos kaukė“, Klaipėdos miesto jūrinės kultūros apdovanojimai „Albatrosas“ ir Vaikų ir jaunimo dainų šventė, Kultūros magistrų apdovanojimo ceremonija, Kultūros fabrike įvyko Visų tautybių gyventojų kultūrinę sąveiką skatinanti diskusija.</t>
  </si>
  <si>
    <t>2019 m. Klaipėdos miesto tarybos sprendimu nebuvo skirtas „Garbės piliečio vardas“, todėl tokie apdovanojimai nebuvo organizuojami.</t>
  </si>
  <si>
    <t>Organizuota apdovanojimo ceremonijų</t>
  </si>
  <si>
    <t>Pagamintos ir įteiktos 3 „Padėkos kaukės": „Metų spektakliu“ tituluotas Klaipėdos dramos teatro pastatymas „Kalės vaikai“, už kostiumus šokio spektakliui „Alisa stebuklų šalyje“ - Aina Zinčiukaitė ir už nuopelnus teatro menui - klaipėdietei balerinai Beatai Molytei-Kulikauskienei.</t>
  </si>
  <si>
    <t>Pagaminta apdovanojimų ir memorialinių objektų</t>
  </si>
  <si>
    <t xml:space="preserve">Pagamintos ir įteiktos 3 „Padėkos kaukės“, 3 jūrinės kultūros apdovanojimai „Albatrosas“ ir 2 žiedai kultūros magistrams. Apmokėta už 3 paminklų pastatymą Klaipėdos garbės piliečiams Vaclovui Straukui, Alfredui Gyčiui Tiškui, Aloyzui Každailiui. </t>
  </si>
  <si>
    <t xml:space="preserve">Nebuvo perkama atminimo lentų, nes nebuvo tarybos sprendimų dėl atminimo įamžinimo Savivaldybės lėšomis
 </t>
  </si>
  <si>
    <t>08.01.01.08.</t>
  </si>
  <si>
    <t>Prancūzų ir Lietuvių kooprodukcinių projektų įgyvendinimas</t>
  </si>
  <si>
    <t>Surganizuota meistriškumo sesijų</t>
  </si>
  <si>
    <t>Suorganizuotos sesijos: šokio dirbtuvės profesionalams, studentams ir miestiečiams; šokio dirbtuvės profesionalams, studentams ir miestiečiams; šokio dirbtuvės bei susitikimai dėl naujos šokio programos.</t>
  </si>
  <si>
    <t>Įgyvendintų projektų</t>
  </si>
  <si>
    <t>Vykdoma.</t>
  </si>
  <si>
    <t>Pristatyta filmų</t>
  </si>
  <si>
    <t>2019-09-26 - 2019-11-21 buvo parodyta prancūzų kino programa (10 filmų)</t>
  </si>
  <si>
    <t>Parengta paroda</t>
  </si>
  <si>
    <t>2019 m. bendradarbiaujant MLIM, KU Baltijos regiono istorijos ir archeologijos institutui, dr. Vilma Bukaitė dirbo Prancūzijos archyvuose. Sudaryti reikalingų archyvinių dokumentų sąrašai, užsakytos skaitmeninės kopijos, vyksta parodos sudarymo darbai.</t>
  </si>
  <si>
    <t>Dėl užsitęsusių darbų archyvuose, paroda planuojama įvykdyti 2020 m.</t>
  </si>
  <si>
    <t>Pastatyta naujų šokių</t>
  </si>
  <si>
    <t xml:space="preserve">Pristatytas performansas „Po miesto oda“ Klaipėdoje (dalyviai - studentai ir miestiečiai); pastaytas spektaklis ir premjera „Ordredisordre“ </t>
  </si>
  <si>
    <t>08.01.02.</t>
  </si>
  <si>
    <t>08.01.02.01.</t>
  </si>
  <si>
    <t>Kultūros įstaigų veiklos organizavimas</t>
  </si>
  <si>
    <t>Suorganizuota renginių</t>
  </si>
  <si>
    <t>1 328</t>
  </si>
  <si>
    <t>1 573</t>
  </si>
  <si>
    <t>Lankytojų skaičius</t>
  </si>
  <si>
    <t>Edukacinių programų</t>
  </si>
  <si>
    <t>Mažosios Lietuvos istorijos muziejus -33, kultūrų komunikacijų centras -7; viešoji biblioteka -42, koncertų salė-17, etnokultūros centras -59</t>
  </si>
  <si>
    <t>Įvykdyta renginių, skirtų Lietuvos valstybės šimtmečiui</t>
  </si>
  <si>
    <t>0,00</t>
  </si>
  <si>
    <t>08.01.02.01.01.</t>
  </si>
  <si>
    <t>BĮ Klaipėdos miesto savivaldybės kultūros centro Žvejų rūmų veiklos organizavimas</t>
  </si>
  <si>
    <t>98 000</t>
  </si>
  <si>
    <t>08.01.02.01.02.</t>
  </si>
  <si>
    <t>BĮ Klaipėdos miesto savivaldybės koncertinės įstaigos Klaipėdos koncertų salės veiklos organizavimas</t>
  </si>
  <si>
    <t>102 100</t>
  </si>
  <si>
    <t>08.01.02.01.03.</t>
  </si>
  <si>
    <t>Edukacinių renginių skaičius</t>
  </si>
  <si>
    <t>08.01.02.01.04.</t>
  </si>
  <si>
    <t xml:space="preserve">BĮ Klaipėdos miesto savivaldybės viešosios bibliotekos veiklos organizavimas </t>
  </si>
  <si>
    <t>Dokumentų išduotis bibliotekoje</t>
  </si>
  <si>
    <t>tūkst.egz.</t>
  </si>
  <si>
    <t>08.01.02.01.05.</t>
  </si>
  <si>
    <t>BĮ Klaipėdos kultūrų komunikacijų centro veiklos organizavimas</t>
  </si>
  <si>
    <t>08.01.02.01.0501.</t>
  </si>
  <si>
    <t>Projekto „Esminis „tradicinės“ industrijos pokytis į kūrybines industrijas - darnios regioninės plėtros pagrindas“ įgyvendinimas</t>
  </si>
  <si>
    <t>Edukacinio modulio parengimas ir  įgyvendinimas</t>
  </si>
  <si>
    <t>Suorganizuota paroda</t>
  </si>
  <si>
    <t>Paroda  „Istorija ateičiai“.įvyko Jūratės Rekevičiūtės kūrybinėse dirbtuvėse</t>
  </si>
  <si>
    <t>08.01.02.01.0502.</t>
  </si>
  <si>
    <t>Informacinės - kūrybinės zonos įrengimas Parodų rūmų fojė, Didžioji Vandens g. 2</t>
  </si>
  <si>
    <t>Įrengta informacinė-kūrybinė zona</t>
  </si>
  <si>
    <t>08.01.02.01.0503.</t>
  </si>
  <si>
    <t>Projekto kultūrinių kompetencijų ugdymo modelio moksleiviams parengimas ir įgyvendinimas</t>
  </si>
  <si>
    <t>08.01.02.01.06.</t>
  </si>
  <si>
    <t xml:space="preserve">BĮ Klaipėdos miesto savivaldybės Mažosios Lietuvos istorijos muziejaus veiklos organizavimas </t>
  </si>
  <si>
    <t>08.01.02.01.0601.</t>
  </si>
  <si>
    <t>Mažosios Lietuvos istorijos muziejaus istorijos laikotarpio XX a. ir Etnografijos ekspozicijų įrengimas Didžiojo Vandens g. 2</t>
  </si>
  <si>
    <t>Įrengta ekspozicijų</t>
  </si>
  <si>
    <t>2019  m. atlikti ekspozicijos įrengimo I etapo darbai. 2020 m. I ketv. atliekami baigiamieji darbai ir ekspozicija pristatoma visuomenei.</t>
  </si>
  <si>
    <t>08.01.02.01.07.</t>
  </si>
  <si>
    <t>LRVB</t>
  </si>
  <si>
    <t>08.01.02.01.08.</t>
  </si>
  <si>
    <t>Įstaigų</t>
  </si>
  <si>
    <t>08.01.02.01.09.</t>
  </si>
  <si>
    <t>Neatlygintinai suteiktų paslaugų kompensavimas</t>
  </si>
  <si>
    <t>Kompensuota bilietų, skaičius tūkst.</t>
  </si>
  <si>
    <t>13 686</t>
  </si>
  <si>
    <t>Nemokamai suteikta patalpų (Koncertų salė, KKKC, Žvejų rūmai ir MLIM)</t>
  </si>
  <si>
    <t>kartai</t>
  </si>
  <si>
    <t>08.01.02.02.</t>
  </si>
  <si>
    <t>08.01.02.02.01.</t>
  </si>
  <si>
    <t>Vasaros koncertų estrados architektūrinės idėjos konkurso organizavimas</t>
  </si>
  <si>
    <t>Architektūrinės idėjos pasiūlymų konkursas</t>
  </si>
  <si>
    <t xml:space="preserve">Įvykdytas vasaros koncertų estrados architektūrinės idėjos supaprastintas atviras konkursas ir pasirašyta sutartis su Lietuvos architektų sąjungos Klaipėdos skyriumi dėl projekto konkurso sąlygų parengimo ir organizavimo, konkurso eigos paviešinimo, geriausių projektų atrinkimo ir kt. darbų. </t>
  </si>
  <si>
    <t>08.01.02.02.02.</t>
  </si>
  <si>
    <t>Projekto „Klaipėdos miesto savivaldybės viešosios bibliotekos „Kauno atžalyno“ filialas - naujos galimybės mažiems ir dideliems“ parengimas</t>
  </si>
  <si>
    <t>Atlikta rekonstravimo darbų. Užbaigtumas</t>
  </si>
  <si>
    <t xml:space="preserve">Statybos darbai atlikti. Esant palankioms oro sąlygoms bus tvarkomas gerbūvis. Šiuo metu vykdomos viešojo pirkimo procedūros baldams įsigyti. </t>
  </si>
  <si>
    <t>08.01.02.02.03.</t>
  </si>
  <si>
    <t>Fachverkinės architektūros pastatų kompekso (Bažnyčių g. 4/ Daržų g. 10, Bažnyčių g. 6, Vežėjų g. 4, Aukštoji g. 1/ Didžioji Vandens g. 2) tvarkyba</t>
  </si>
  <si>
    <t>Atlikta rangos darbų</t>
  </si>
  <si>
    <t>08.01.02.02.09.</t>
  </si>
  <si>
    <t>Įrengta ekspozicija</t>
  </si>
  <si>
    <t>Įvyko pirkimas, su rangovu pasirašyta sutartis.</t>
  </si>
  <si>
    <t>08.01.02.02.10.</t>
  </si>
  <si>
    <t>Parengta galimybių studija</t>
  </si>
  <si>
    <t>Priemonė nevykdytina, nes 2019 m. balandžio mėn. Vyriausybė nusprendė pastatą Jūros g. 1, perduoti valdyti VĮ Turto bankui,</t>
  </si>
  <si>
    <t>08.01.02.03.</t>
  </si>
  <si>
    <t>Kultūros įstaigų remontas</t>
  </si>
  <si>
    <t>08.01.02.03.01.</t>
  </si>
  <si>
    <t>Įrengta kondicionavimo sistema Bendruomenės namų žiūrovų salėje</t>
  </si>
  <si>
    <t>Parengtas Bendruomenės namų remonto techninis projektas</t>
  </si>
  <si>
    <t xml:space="preserve">Projektavimo sutartis pasirašyta vėliau, nei planuota (2019-10-22). Projektas beveik parengtas, pristatyti projektiniai sprendiniai, reikalinga gauti statybą leidžiantį dokumentą. </t>
  </si>
  <si>
    <t>Kultūros centro Žvejų rūmų stogo anstato apskardinimas skarda, m2</t>
  </si>
  <si>
    <t>kv.m</t>
  </si>
  <si>
    <t>08.01.02.03.02.</t>
  </si>
  <si>
    <t>Elektros instaliacijos remontas I ir II a. ekspozicinėse salėse</t>
  </si>
  <si>
    <t>Atlikti elektros instaliacijos darbai.</t>
  </si>
  <si>
    <t>Atliktas einamasis remontas</t>
  </si>
  <si>
    <t>Atlikti darbai: vėliavos stiebo viršūnės, stebėjimo sistemos, žaliuzių remontas parodų rūmų foje ir kabinete, kondicionieriaus vidinės dalies montavimo darbai su medžiagomis dirbtuvėse.</t>
  </si>
  <si>
    <t>08.01.02.03.03.</t>
  </si>
  <si>
    <t>Parengtas remonto techninis projektas</t>
  </si>
  <si>
    <t xml:space="preserve">Parengtas vedinimo sistemos techninis projektas </t>
  </si>
  <si>
    <t>08.01.02.03.04.</t>
  </si>
  <si>
    <t>BĮ Klaipėdos miesto savivaldybės etnokultūros centro remontas</t>
  </si>
  <si>
    <t>Atlikta langų ir fasado remonto darbų</t>
  </si>
  <si>
    <t>Atlikti 4 langų ir lauko durų keitimo darbai, atnaujintos 3 senos vidaus patalpų durys</t>
  </si>
  <si>
    <t>08.01.02.03.05.</t>
  </si>
  <si>
    <t>Bendruomenės centro - bibliotekos (Molo g. 60) pastato kapitalinis remontas</t>
  </si>
  <si>
    <t>Parengta techninių projektų</t>
  </si>
  <si>
    <t>Projektas parengtas</t>
  </si>
  <si>
    <t>08.01.02.03.06.</t>
  </si>
  <si>
    <t>Imanuelio Kanto viešosios bibliotekos filialų einamasis remontas</t>
  </si>
  <si>
    <t>Atliktas filialo Tilžės g. 9 remontas</t>
  </si>
  <si>
    <t>Atliktas filialo Šlaito g. 10 remontas</t>
  </si>
  <si>
    <t>08.01.02.03.07.</t>
  </si>
  <si>
    <t>Įrengtas liftas</t>
  </si>
  <si>
    <t>Objektas užbaigtas.</t>
  </si>
  <si>
    <t>08.01.02.03.08.</t>
  </si>
  <si>
    <t>Vasaros estrados koncertinėje dalyje suremontuoti visi suoliukai – 5400 m, pakeisti mediniai laiptai – 132 m2, perdažytas vasaros estrados fasadas koncertinėje dalyje.</t>
  </si>
  <si>
    <t>08.01.02.03.09.</t>
  </si>
  <si>
    <t>Suremontuota stogo ploto</t>
  </si>
  <si>
    <t>Stogo remontas atliktas.</t>
  </si>
  <si>
    <t>08.01.02.04.</t>
  </si>
  <si>
    <t>Komunalinių paslaugų (šildymo, vandens, nuotekų) įsigijimas</t>
  </si>
  <si>
    <t>08.01.02.04.01.</t>
  </si>
  <si>
    <t>Šildoma įstaigų</t>
  </si>
  <si>
    <t>Priemonė vykdoma pagal planą</t>
  </si>
  <si>
    <t>08.01.03.</t>
  </si>
  <si>
    <t>08.01.03.04.</t>
  </si>
  <si>
    <t>08.01.03.004.03.</t>
  </si>
  <si>
    <t>Dalyvavimas Europos folkloro festivalyje Europiada</t>
  </si>
  <si>
    <t>Pasirengimas festivalio įgyvendinimui</t>
  </si>
  <si>
    <t>Įvyko dalinio finansavimo konkursas, buvo gauta paraiška, atliktas ekspertinis vertinimas, pasirašyta sutartis. Suformuota darbo grupė šventės koordinavimui.</t>
  </si>
  <si>
    <t>08.01.03.04.01.</t>
  </si>
  <si>
    <t>Programos „Lietuvos valstybės šimtmečio minėjimo Klaipėdoje“ įgyvendinimas</t>
  </si>
  <si>
    <t>Išleista leidinių</t>
  </si>
  <si>
    <t>Dėl užsitęsusių leidinio ruošimo darbų su užsienio autoriais, priemonės įgyvendinimas numatomas 2020 m. I pusmetyje.</t>
  </si>
  <si>
    <t>08.01.03.04.02.</t>
  </si>
  <si>
    <t>Klaipėdos miesto kultūros komunikacijos programos įgyvendinimas</t>
  </si>
  <si>
    <t>Administruojama interneto svetainių</t>
  </si>
  <si>
    <t>Administruojama internetinė svetainė www.kulturosuostas.lt</t>
  </si>
  <si>
    <t>Įgyvendinama programa</t>
  </si>
  <si>
    <t>Unikalių lankytojų platformoje „Kultūros uostas“ per metus</t>
  </si>
  <si>
    <t>31 450</t>
  </si>
  <si>
    <t>25 062</t>
  </si>
  <si>
    <t>Platformos „Kultūros uostas“ „Facebook“ sekėjų</t>
  </si>
  <si>
    <t>5 240</t>
  </si>
  <si>
    <t>6 999</t>
  </si>
  <si>
    <t>08.01.03.04.03.</t>
  </si>
  <si>
    <t>Senųjų istorinių burlaivių įveiklinimo programos įgyvendinimas</t>
  </si>
  <si>
    <t>2019-10-24 KMS tarybos sprendimu Nr. T2-293 nuspręsta neskirti finansavimo šiai priemonei.</t>
  </si>
  <si>
    <t>08.01.03.05.</t>
  </si>
  <si>
    <t>08.01.03.05.01.</t>
  </si>
  <si>
    <t>Atlikta tyrimų</t>
  </si>
  <si>
    <t>Po konsultacijų su sociologais, nuspręsta remtis esamais tyrimais.</t>
  </si>
  <si>
    <t>Diskusijose dalyvavusių asmenų</t>
  </si>
  <si>
    <t>Suorganizuota diskusijų</t>
  </si>
  <si>
    <t xml:space="preserve">Kartu su partneriais suorganizuotos 2 diskusijos. Nuspręsta stambinti renginius, kviečiant daugiau lektorių </t>
  </si>
  <si>
    <t>*Pagal Klaipėdos miesto savivaldybės tarybos 2019 m. sausio 31 d. sprendimą Nr. T2-19</t>
  </si>
  <si>
    <t>**Pagal Klaipėdos miesto savivaldybės tarybos 2019 m. spalio 24 d. sprendimą Nr. T2-293</t>
  </si>
  <si>
    <t>Europos Sąjungos paramos lėšų likutis (Savivaldybės biudžetas)</t>
  </si>
  <si>
    <t>Programų lėšų likučių laikinai laisvos lėšos  (apyvartos lėšų likutis)</t>
  </si>
  <si>
    <t>Įstaigų pajamos</t>
  </si>
  <si>
    <t>Pajamų imokų likutis</t>
  </si>
  <si>
    <t>Vietinės rinkliavos lėšos</t>
  </si>
  <si>
    <t>Vietinių rinkliavų likučio lėšos</t>
  </si>
  <si>
    <t>Kiti šaltiniai</t>
  </si>
  <si>
    <t>Valstybės biudžeto lėšos</t>
  </si>
  <si>
    <t>Savivaldybės biudžeto</t>
  </si>
  <si>
    <t>Europos Sąjungos paramos lėšos (Savivaldybės biudžetas)</t>
  </si>
  <si>
    <t>IŠ VISO:</t>
  </si>
  <si>
    <t>SP lėšos</t>
  </si>
  <si>
    <t>BVS lėšos</t>
  </si>
  <si>
    <t>2020</t>
  </si>
  <si>
    <t>Pastaba</t>
  </si>
  <si>
    <t>Kultūros renginių skaičius</t>
  </si>
  <si>
    <t>2 066,00</t>
  </si>
  <si>
    <t>2 221,00</t>
  </si>
  <si>
    <t>2 510,00</t>
  </si>
  <si>
    <t>2 275,45</t>
  </si>
  <si>
    <t>9,29</t>
  </si>
  <si>
    <t>08.01.01.01.01.</t>
  </si>
  <si>
    <t>90,00</t>
  </si>
  <si>
    <t>85,00</t>
  </si>
  <si>
    <t>151</t>
  </si>
  <si>
    <t>35,00</t>
  </si>
  <si>
    <t>28,00</t>
  </si>
  <si>
    <t>1560302</t>
  </si>
  <si>
    <t>7,00</t>
  </si>
  <si>
    <t>9,00</t>
  </si>
  <si>
    <t>1560301</t>
  </si>
  <si>
    <t>10,00</t>
  </si>
  <si>
    <t>220,00</t>
  </si>
  <si>
    <t>213,00</t>
  </si>
  <si>
    <t>08.01.01.02.01.</t>
  </si>
  <si>
    <t>70,00</t>
  </si>
  <si>
    <t>08.01.01.05.01.</t>
  </si>
  <si>
    <t>15,00</t>
  </si>
  <si>
    <t>2020 m.: Skirta 15 stipendijų, su stipendijų gavėjais pasirašytos sutartys. Mokamos mėnesinės stipendijos pagal stipendijų grafiką.</t>
  </si>
  <si>
    <t>08.01.01.07.03.</t>
  </si>
  <si>
    <t>3,00</t>
  </si>
  <si>
    <t>2,00</t>
  </si>
  <si>
    <t>155</t>
  </si>
  <si>
    <t>Suorganizuota miestui aktualių renginių</t>
  </si>
  <si>
    <t>13,00</t>
  </si>
  <si>
    <t>6,00</t>
  </si>
  <si>
    <t>Suorganizuota Sail Training International (STI) konferencija</t>
  </si>
  <si>
    <t>1,00</t>
  </si>
  <si>
    <t>08.01.01.08.01.</t>
  </si>
  <si>
    <t>100,00</t>
  </si>
  <si>
    <t>52,00</t>
  </si>
  <si>
    <t>2 593,00</t>
  </si>
  <si>
    <t>1 659,00</t>
  </si>
  <si>
    <t>1 194,00</t>
  </si>
  <si>
    <t>881,31</t>
  </si>
  <si>
    <t>312</t>
  </si>
  <si>
    <t>210,00</t>
  </si>
  <si>
    <t>133,00</t>
  </si>
  <si>
    <t>321</t>
  </si>
  <si>
    <t>311</t>
  </si>
  <si>
    <t>323</t>
  </si>
  <si>
    <t>85,80</t>
  </si>
  <si>
    <t>144,07</t>
  </si>
  <si>
    <t>383,00</t>
  </si>
  <si>
    <t>378,00</t>
  </si>
  <si>
    <t>341</t>
  </si>
  <si>
    <t>342</t>
  </si>
  <si>
    <t>3231</t>
  </si>
  <si>
    <t>130,00</t>
  </si>
  <si>
    <t>76,00</t>
  </si>
  <si>
    <t>22,00</t>
  </si>
  <si>
    <t>400,00</t>
  </si>
  <si>
    <t>360,31</t>
  </si>
  <si>
    <t>700,00</t>
  </si>
  <si>
    <t>579,93</t>
  </si>
  <si>
    <t>Virtualių lankytojų skaičius</t>
  </si>
  <si>
    <t>505,00</t>
  </si>
  <si>
    <t>115,96</t>
  </si>
  <si>
    <t>1 200,00</t>
  </si>
  <si>
    <t>583,00</t>
  </si>
  <si>
    <t>14,00</t>
  </si>
  <si>
    <t>266,52</t>
  </si>
  <si>
    <t>150,00</t>
  </si>
  <si>
    <t>59,00</t>
  </si>
  <si>
    <t>12,00</t>
  </si>
  <si>
    <t>08.01.02.01.0504.</t>
  </si>
  <si>
    <t>Projekto „Socialinės atskirties grupių integracija tiriant kultūros ir gamtos paveldą“ įgyvendinimas</t>
  </si>
  <si>
    <t>Pritaikyta patalpų</t>
  </si>
  <si>
    <t>2020 m.: Konkursas dėl ES lėšų nelaimėtas, todėl projekto veiklos nebus įgyvendinamos.</t>
  </si>
  <si>
    <t>Įsigyta baldų</t>
  </si>
  <si>
    <t>27,00</t>
  </si>
  <si>
    <t>166,22</t>
  </si>
  <si>
    <t>60,00</t>
  </si>
  <si>
    <t>42,00</t>
  </si>
  <si>
    <t>344,00</t>
  </si>
  <si>
    <t>256,00</t>
  </si>
  <si>
    <t>37,00</t>
  </si>
  <si>
    <t>48,65</t>
  </si>
  <si>
    <t>149</t>
  </si>
  <si>
    <t>16</t>
  </si>
  <si>
    <t>11,00</t>
  </si>
  <si>
    <t>9,56</t>
  </si>
  <si>
    <t>3,58</t>
  </si>
  <si>
    <t>131</t>
  </si>
  <si>
    <t>1311</t>
  </si>
  <si>
    <t>2020 m.: Visi rangos darbai atlikti 2019 m., tačiau galutinio mokėjimo prašymo pateikimo data pagal finansavimo ir administravimo sutartį numatyta 2020-12-31, todėl galutinis projekto užbaigimas (iš CPVA pusės) įvyks tik 2021 m.</t>
  </si>
  <si>
    <t>08.01.02.02.05.</t>
  </si>
  <si>
    <t>Lifto įrengimas Klaipėdos miesto savivaldybės Mažosios Lietuvos istorijos muziejuje</t>
  </si>
  <si>
    <t>08.01.02.02.06.</t>
  </si>
  <si>
    <t>Kultūros centro Žvejų rūmų modernizavimo koncepcijos parengimas</t>
  </si>
  <si>
    <t>08.01.02.02.07.</t>
  </si>
  <si>
    <t>2020 m.: Sutartis įvykdyta. Techninis projektas parengtas, gautas teigiamas ekspertizės aktas ir statybos leidžiantis dokumentas</t>
  </si>
  <si>
    <t>08.01.02.02.08.</t>
  </si>
  <si>
    <t>Kultūrų diasporos centro infrastruktūros kompleksinė plėtra (socialinio kultūrinio klasterio „Vilties miestas“ infrastruktūros kompleksinė plėtra)</t>
  </si>
  <si>
    <t>Atlikta modernizavimo darbų. Užbaigtumas</t>
  </si>
  <si>
    <t>50,00</t>
  </si>
  <si>
    <t>2020 m.: Projektas parengtas, atlikta projekto ekspertizė.</t>
  </si>
  <si>
    <t>Atlikta remonto darbų. Užbaigtumas</t>
  </si>
  <si>
    <t>2020 m.: Dėl pateiktos pretenzijos užtruko pirkimo procedūros, ir rangos sutartis buvo sudaryta 2020 06 11 bei nuo tos dienos pradėti darbai. Darbai atlikti III ketv.</t>
  </si>
  <si>
    <t>08.01.02.03.10.</t>
  </si>
  <si>
    <t>LED lauko ekrano, esančio tarp Jono kalnelio ir Klaipėdos kultūros fabriko, remontas</t>
  </si>
  <si>
    <t>2020 m.: Priemonė vykdoma pagal planą. Sutaupyta dėl palankių oro sąlygų.</t>
  </si>
  <si>
    <t>1551</t>
  </si>
  <si>
    <t>Europos folkloro festivalio „Europiada“ programos įgyvendinimas</t>
  </si>
  <si>
    <t>72,00</t>
  </si>
  <si>
    <t>30,00</t>
  </si>
  <si>
    <t>2020 m.: Renginį planuojama organizuoti ateityje, tiksli data nėra suderinta, vyksta sutarties keitimo procesai.</t>
  </si>
  <si>
    <t>2020 m.: www.kulturosuostas.lt</t>
  </si>
  <si>
    <t>5 578,00</t>
  </si>
  <si>
    <t>7 247,00</t>
  </si>
  <si>
    <t>2020 m.: Platforma turi 7247 sekėjus.</t>
  </si>
  <si>
    <t>33 400,00</t>
  </si>
  <si>
    <t>25 396,00</t>
  </si>
  <si>
    <t>08.01.03.04.04.</t>
  </si>
  <si>
    <t>Miesto pietinės dalies gyventojų socialinės - kultūrinės atskirites mažinimas, naudojant kūrybinių partnerysčių metodiką</t>
  </si>
  <si>
    <t>Projektuose dalyvaujančių asmenų skaičius</t>
  </si>
  <si>
    <t>2020 m.: Priemonės vykdymo pradžia atidėta į 2021 m.</t>
  </si>
  <si>
    <t>Pilotinių projektų</t>
  </si>
  <si>
    <t>Parengta programa</t>
  </si>
  <si>
    <t>08.01.03.04.06.</t>
  </si>
  <si>
    <t>Kultūrinės veiklos tyrimų ir stebėsenos vykdymas</t>
  </si>
  <si>
    <t>Atlikta kultūros lauko tyrimų</t>
  </si>
  <si>
    <t>110,00</t>
  </si>
  <si>
    <t xml:space="preserve">2020 m.: Dėl COVID-19 organizatoriai nusprendė atšaukti konferenciją 2020 metais. </t>
  </si>
  <si>
    <t>Kultūros renginių skaičiaus pokytis per metus</t>
  </si>
  <si>
    <t>7,50</t>
  </si>
  <si>
    <t>2020 m.: Klaipėdos kultūros įstaigų organizuoti renginiai:
Žvejų rūmai – 133;
Koncertų salė – 378;
Tautinių kultūrų centras – 98;
I. Kanto viešoji biblioteka – 583;
Klaipėdos kultūrų komunikacijų centras – 169;
Mažosios Lietuvos istorijos muziejus – 42;
Etnokultūros centras – 256.
Festivalių renginiai – 562.</t>
  </si>
  <si>
    <t>44,50</t>
  </si>
  <si>
    <t>2020 m.: Iš viso lankytojų 2020 m. – 44 495. Rodiklį lėmė karantino apribojimai.</t>
  </si>
  <si>
    <t>2020 m.: Iš viso 2020 m. suorganizuota renginių – 133, skaičių lėmė karantino apribojimai.</t>
  </si>
  <si>
    <t>2020 m.: Iš viso per 2020 metus fizinių lankytojų –  360 313. Skaičių lėmė karantino ribojimai.</t>
  </si>
  <si>
    <t>2020 m.: Ekspozicija yra įrengta.</t>
  </si>
  <si>
    <t>2020 m.: Klaipėdos kultūros įstaigų organizuotuose reginiuose apsilankiusiųjų skaičius:
Žvejų rūmai – 41498;
Koncertų salė – 144073;
I. Kanto viešoji biblioteka – 360313 fiziniai ir 115964 virtualūs;
Klaipėdos kultūrų komunikacijų centras – 4593;
Mažosios Lietuvos istorijos muziejus – 166220;
Etnokultūros centras – 48653.
1 394 131 festivalių lankytojai.</t>
  </si>
  <si>
    <t xml:space="preserve">2020 m.: Įvertintos 169 kultūros ir meno sričių projektų paraiškos; 10 kultūros ir meno programų projektų paraiškų; 34 stipendijų paraiškos. </t>
  </si>
  <si>
    <t>2020 m.: Atlikti viešieji pirkimai, pasirašyta sutartis (2020-09-09). Dėl pandemijos grėsmių šokio pastatymas atidėtas į 2021 m.  IV ketv. pasirašytas papildomas susitarimas dėl sutarties sustabdymo nuo 2020 m. gruodžio 21 d. iki 2021 m. sausio 11 d. Nuo 2021 m. sausio 12 d. tęsiamas veiklų vykdymas.</t>
  </si>
  <si>
    <t xml:space="preserve">2020 m.: Iš viso suorganizuota renginių – 378, iš jų virtualioje erdvėje – 24.
</t>
  </si>
  <si>
    <t>2020 m.: Galutinį rodiklį lėmė pandemijos grėsmės.</t>
  </si>
  <si>
    <t>2020 m.: Iš viso fizinių ir virtualių lankytojų – 266 516.</t>
  </si>
  <si>
    <t>2020 m.: Lankytojų skaičius – 48 653, iš kurių 27 511 virtualūs.</t>
  </si>
  <si>
    <t>2020 m.: Įvykdytas Vasaros koncertų estrados projekto konkursas. Projekto konkursą organizavo Lietuvos architektų sąjungos Klaipėdos apskrities organizacija. Projekto konkurso komisija įvertino pateiktus projektus (du dalyviai) ir sudarė nugalėtojų eilę, bet nerekomendavo šio konkurso projektų naudoti kaip pagrindą statinio projektavimo sutartims sudaryti, dalyviai neturėtų būti kviečiami į derybas dėl statinio projektavimo. Numatyti prizai konkurso dalyviams išmokėti 2021 m.</t>
  </si>
  <si>
    <t>Įsigyta įrangos, baldų</t>
  </si>
  <si>
    <t>2020 m.: Įrengtos ekspozicijos dalys: Smuklė (monetų ekspozicija, smuklės stalas, pypkių ekspozicija), žaidimai, ekspoziciniai elementai (šviestuvas, maža statinė, didelė statinė), Prekyba (baldas ir elementai), Amatų gildija (baldas ir elementai), Kontaktai (baldas ir elementai), Amatai ir verslas (puodžių, juvelyrų, siuvėjų, kurpių ir kauladirbių, kalvių baldai-vitrinos), Buitis (kultūros ir subkultūros, gyvenamojo kambario, virtuvės baldai su vitrina, kultūros ir subkultūros, gyvenamojo kambario, virtuvės ir kiemo hologramos, išdidinta reljefinė koklė, ekspozicinis elementas – šviestuvas), Virtuvės ekspozicinis elementas – vežimas, Arklidės baldas, Miesto istorijos salė (Instaliacija „Laiko kelias“, medinė pakyla, LED šviestuvas).</t>
  </si>
  <si>
    <t>2020 m.: Įvykdyti visi numatyti remonto darbai (iki liepos 15 d.).</t>
  </si>
  <si>
    <t>2020 m.: Paslaugų pirkimas neįvyko, kadangi gautas pasiūlymas viršijo planuotą sumą. Pirkimas perkeltas į 2021 m.</t>
  </si>
  <si>
    <t xml:space="preserve">2020 m.: Įsigyta 100 knygos egzempliorių. </t>
  </si>
  <si>
    <t>Visų tautybių gyventojų kultūrinės sąveikos didinimas</t>
  </si>
  <si>
    <t>KULTŪROS PLĖTROS PROGRAMА (NR. 8)</t>
  </si>
  <si>
    <t>2020 m.: Klaipėdos kultūros įstaigų organizuoti renginiai: Žvejų rūmai – 133; Koncertų salė – 378; Tautinių kultūrų centras – 98; I. Kanto viešoji biblioteka – 583; Klaipėdos kultūrų komunikacijų centras – 169; Mažosios Lietuvos istorijos muziejus – 42; Etnokultūros centras – 256. Galutinį, mažesnį, skaičių lėmė karantino ribojimai.</t>
  </si>
  <si>
    <t xml:space="preserve">Miestiečių, visiškai patenkintų Klaipėdos kultūriniu gyvenimu, proc. </t>
  </si>
  <si>
    <t>Efekto / Rezultato / Produkto</t>
  </si>
  <si>
    <t>Mažosios Lietuvos istorijos muziejaus istorijos laikotarpio XX a. ir Etnografijos ekspozicijų įrengimas Didžioji Vandens g. 2</t>
  </si>
  <si>
    <t>Projekto „Klaipėdos miesto savivaldybės viešosios bibliotekos „Kauno atžalyno“ filialas – naujos galimybės mažiems ir dideliems“ parengimas</t>
  </si>
  <si>
    <t>Fachverkinės architektūros pastatų kompekso (Bažnyčių g. 4 / Daržų g. 10, Bažnyčių g. 6, Vežėjų g. 4, Aukštoji g. 1 / Didžioji Vandens g. 2) tvarkyba</t>
  </si>
  <si>
    <t>Modernaus bendruomenės centro- bibliotekos statyba pietinėje miesto dalyje</t>
  </si>
  <si>
    <t>Bendruomenės centro-bibliotekos (Molo g. 60) pastato kapitalinis remontas</t>
  </si>
  <si>
    <t>Europos Sąjungos paramos lėšos (savivaldybės biudžetas)</t>
  </si>
  <si>
    <t>Europos Sąjungos paramos lėšų likutis (savivaldybės biudžetas)</t>
  </si>
  <si>
    <t>tūkst. žm.</t>
  </si>
  <si>
    <t>2020 m.: Kaip kultūros ir meno sričių projektai finansuojami 6 festivaliai: „Plartforma“, „Jauno teatro dienos 2020“, XXVI Klaipėdos pilies džiazo festivalis, Tarptautinė VIII Klaipėdos knygų mugė, „TheATRIUM 2020“, „Muzikinis rugpjūtis pajūryje“ (2020-03-25 AD1-394); kaip kultūros ir meno programų projektai finansuojami 3 festivaliai: Klaipėdos šviesų festivalis, BLON Animacijos ir videožaidimų festivalis ir „IKRA MADA“ (2020-01-13 AD1-64). Iš viso finansuojami 9 festivaliai.</t>
  </si>
  <si>
    <t>2020 m.: Klaipėdos miesto savivaldybės administracijos (KMSA) direktoriaus 2020-01-13 įsakymu Nr. AD1-64 ir 2020-03-12 įsakymu Nr. AD1-345  finansuojama 10 projektų. (pakeitimas 2020-06-16, Nr. AD1-746).</t>
  </si>
  <si>
    <t>2020 m.: Po administracinio ir ekspertinio projektų vertinimo, KMSA direktoriaus 2020-03-25 įsakymu Nr. AD1-394 finansavimas skirtas 86 projektams. Dėl aplinkybių, susijusių su COVID-19 plitimu, 4 projektų (LMTA 31-asis Tarptautinės tradicinės muzikos tarybos Etnochoreologijos studijų grupės simpoziumas; Choro „Dangė“ festivalis konkursas „Tėvynei aukoju aš savo dainas“; „Svetliačiok“ Pascal festival 2020. Klaipėda ir I. Simonaitytės bibliotekos „Tarpdisciplininio meno festivalis „Kultūros sintezė: knyga, kinas, kontrapunktas“) vykdytojai atsisakė finansavimo. KMSA 2020-09-18  direktoriaus įsakymu Nr.AD1-1000 perskirstytas atsisakiusių projektų finansavimas.</t>
  </si>
  <si>
    <t>2020 m.: Paraiškas vertinti projektus pateikė 32 kandidatai, po vertinimo ir viešųjų pirkimų procedūrų, KMSA 2019-12-06  direktoriaus įsakymu Nr. AD1-1482 ir  KMSA 2020-03-14  direktoriaus įsakymu Nr. AD1-340, patvirtinta ekspertų duomenų bazė, kurioje – 28 ekspertai. 1 ekspertas atsisakė teikti paslaugas savo noru, 3 laiku nepateikė viešųjų pirkimų procedūroms reikalingų dokumentų.</t>
  </si>
  <si>
    <t>2020 m.: Pasirašyta trimetė sutartis su VšĮ „Klaipėdos šventės“, pervestos lėšos.</t>
  </si>
  <si>
    <t>2020 m.: Atliktos „Padėkos kaukių“ apdovanojimų viešųjų pirkimų procedūros, tačiau dėl karantino renginys neįvyko. Dėl COVID-19, įvyko „Albatroso“ įteikimo ir Kultūros magistro apdovanojimo ceremonijos.</t>
  </si>
  <si>
    <t>2020 m.: Suorganizuota Sausio 15 d. ceremonija, koordinuoti Vasario 16-osios, Kovo 11-osios, Joninės. Dėl COVID-19 neįvyko Klaipėdos krašto dainų šventė, įvyko „Albatroso“ apdovanojimai, per miesto gimtadienį apdovanotas Kultūros magistras. Organizuota nuotolinė, karantino sąlygas atitinkanti, Kalėdų eglės įžiebimo ceremonija.</t>
  </si>
  <si>
    <t>2020 m.: Pagamintos 3 „Padėkos kaukės“; 3 „Albatroso“ apdovanojimai; šiais metais komisija išrinko vieną Kultūros magistrą, kuris dėl asmeninių priežasčių Kultūros magistro žiedo atsisakė. Memorialinių objektų gaminama nebuvo.</t>
  </si>
  <si>
    <t>2020 m.: Įgyvendinami projektai šokio ir istorinėse srityse. A.  Šeiko šokio studija rengia šokio projektą, Mažosios Lietuvos muziejus – istorinę parodą. Abu projektai bus pabaigti įgyvendinti 2021 m., kadangi dėl COVID-19 grėsmių projektų įgyvendinimo darbai buvo pristabdyti.</t>
  </si>
  <si>
    <t>2020 m.: Pravestas 5 d. šokio seminaras profesionalams ir šokio studentams. Rugsėjo–gruodžio mėn. pravesti nemokami judesio seminarai senjorams, iš viso organizuota 12 gyvų ir 8 nuotoliniai užsiėmimai. Viešas performansas parodytas spalio 1 d. IV ketv., pasirašytas papildomas susitarimas dėl sutarties sustabdymo nuo 2020 m. gruodžio 21 d. iki 2021 m. sausio 11 d.  Nuo 2021 m. sausio 12 d. veiklos toliau vykdomos.</t>
  </si>
  <si>
    <t>2020 m.: Parodos sudarymo darbai II ketv. nutrūko dėl COVID-19 – nebuvo galimybių patekti į Prancūzijos Gynybos (Defence) archyvą. Dalį mokslininkų stažuotės lėšų ketino apmokėti ir Prancūzų kultūros centras, tad planuotų lėšų poreikis sumažėjo.  Paroda bus baigta rengti 2021 m. su turima istorine medžiaga ir ta, kurią pavyko gauti skaitmeniniu būdu.</t>
  </si>
  <si>
    <t>2020 m.: Klaipėdos kultūros įstaigų organizuotuose reginiuose apsilankiusiųjų skaičius: Žvejų rūmai – 41498; Koncertų salė – 144073; I. Kanto viešoji biblioteka – 360313 fiziniai ir 115964 virtualūs; Klaipėdos kultūrų komunikacijų centras – 4593; Mažosios Lietuvos istorijos muziejus – 166220; Etnokultūros centras – 48653. Galutinį, mažesnį, rodiklį lėmė COVID-19 grėsmės.</t>
  </si>
  <si>
    <t>2020 m.: Galutinį rodiklį lėmė COVID-19 situacija.</t>
  </si>
  <si>
    <t xml:space="preserve">2020 m.: Iš viso fizinių lankytojų – 22 676, virtualių – 121 397. Fizinių lankytojų skaičių lėmė COVID-19pandemijos ribojimai. Koncertų salė skaičiuoja unikalius lankytojus, kurie stebi (stebėjo) nuotolines vaizdo transliacijas jų ir partnerių „Facebook“ paskyroje ir „Youtube“ platformoje. 
</t>
  </si>
  <si>
    <t>2020 m.: Rodiklį lėmė karantino apribojimai.</t>
  </si>
  <si>
    <t>2020 m. Įyko 6 seminarai. Rodiklį lėmė COVID-19 situacija, kadangi dėl karantino ribojimų negalėjo vykti fiziniai susitikimai. Seminarus planuojama rengti 2021 m.</t>
  </si>
  <si>
    <t>2020 m.: Galutinį rodiklį lėmė COVID-19 grėsmės.</t>
  </si>
  <si>
    <t>2020 m.: Iš viso – 256, iš jų 28 – nuotoliniai. Šį skaičių lėmė karantino apribojimai.</t>
  </si>
  <si>
    <t>2020 m.: Nemokamų patalpų suteikimo komisijos posėdžių metu nuspręsta suteikti Klaipėdos koncertų salės patalpas neatlygintinai 2020-03-11 tradiciniam Kovo 11-osios minėjimo ir socialinės akcijos „Laukiantis bilietas“ koncertui, atrankos konkursui į tarptautinį vaikų ir jaunimo festivalį Vitebske „Slavianskij bazar“, Vokietijos vienybės dienai (neįvyko dėl COVID-19, todėl į faktinę reikšmę neįskaičiuojama), dviems Europiados renginiams (abu neįvyko dėl COVID-19, todėl prie faktinių rodiklių neskaičiuojami), Lietuvos muzikos ir teatro akademijos Klaipėdos fakultetui ir biudžetinei įstaigai Klaipėdos miesto lengvosios atletikos mokyklai;  Žvejų rūmų patalpas nuspręsta neatlygintinai suteikti Klaipėdos Marijos Taikos Karalienės parapijai Klaipėdos atsinaujinimo dienos renginiui organizuoti.  KKKC nemokamai patalpas suteikė 4 kartus: pagal bendradarbiavimo sutartį (su M. Tumšiu) Europos jaunimo metų užsiėmimams rengti nemokamai patalpas suteikė 3 kartus, vieną kartą – Rūtos Jakštonienės kaligrafijos dirbtuvėms. MLIM nemokamai patalpas suteikė 2 kartus: Klaipėdos universitetui leidinio pristatymui (02.07) ir Lietuvos tautodailininkų sąjungos parodai „Laiko sąskambiai“ (09.18).</t>
  </si>
  <si>
    <t>2020 m.: Galutinį rodiklį lėmė COVID-19 pandemija.</t>
  </si>
  <si>
    <t>2020 m.: Įsigyti visi planuoti baldai. Prekės pagamintos ir pristatytos anksčiau, nei pirkimo sutartyse numatytas terminas. Įsigytos ritininės užuolaidos langams uždengti, buitinė technika į virtuvėlę. Naudotojo pageidavimu buvo keistas planuojamos įsigyti įrangos sąrašas, kuris buvo derinamas su VšĮ Centrine projektų valdymo agentūra (CPVA). Derinimo procedūros užtruko. Suderinus su CPVA įrangos sąrašą, buvo vykdomas viešojo pirkimo procedūros įrangai įsigyti (kompiuteriai, skaityklės, interaktyvi lenta, kopijuokliai, projektorius). Pirkimas skelbtas 2 kartus, tačiau pasiūlymų nebuvo gauta. Pirkimas bus skelbiamas trečią kartą 2021 m. Projekto veiklų įgyvendinimo pabaiga – 2021 m. birželio 30 d. Planuojama kreiptis į CPVA dėl sutaupytų lėšų panaudojimo. Tiksli sutaupytų lėšų suma paaiškės po įrangos pirkimo.</t>
  </si>
  <si>
    <t>2020 m.: Dėl COVID-19 situacijos, sutrikus rangos darbams, pratęsta sutartis su rangovu, atitinkamai ir su  CPVA (iki 2021-05-31). Dėl pirkimų rangos darbams sutaupymų pakeistas projekto finansavimo intensyvumas. Sutarties įsipareigojimai nusikėlė į 2021 m., kur  toliau bus vykdomi  Meno galerijos dalies statybos remonto darbai. Iki 2020 m. gruodžio mėn. pabaigos atlikta  65,29 % darbų. Rengiamos Meno galerijos įrengimui reikalingų priemonių – įrangos, baldų pirkimo sąlygos, techninės specifikacijos.</t>
  </si>
  <si>
    <t xml:space="preserve">2020 m.: Atlikus viešųjų pirkimų procedūras, įgyvendinama viena kultūros komunikacijos programa „Kultūros uostas – Klaipėda“. </t>
  </si>
  <si>
    <t>2020 m.: Galutinį, mažesnį, rodiklį lėmė COVID-19 pandemijos grėsmės.</t>
  </si>
  <si>
    <t>2020 m.: Pasirašytas tarptautinis įsipareigojimas tarp Lietuvos Respublikos kultūros ministerijos, Klaipėdos, Neringos ir Palangos savivaldybių ir Tarptautine ekonominio bendradarbiavimo ir plėtros organizacija. Tyrimas pradėtas vykdyti. Dėl COVID-19 pandemijos procesas užsitęsė, numatoma tyrimo pabaiga – 2021 metų balandžio mėn. Atsiskaitymas perkeltas į 2021 metus.</t>
  </si>
  <si>
    <t>2020 m.: Išleista knyga „Klaipėdos miesto istorija“.</t>
  </si>
  <si>
    <t>2020 m.: Priemonė dėl COVID-19 laikinai nevykdoma.</t>
  </si>
  <si>
    <t>2021</t>
  </si>
  <si>
    <t>765,80</t>
  </si>
  <si>
    <t>1 884,74</t>
  </si>
  <si>
    <t>2 543,00</t>
  </si>
  <si>
    <t>3 998,00</t>
  </si>
  <si>
    <t>-1,50</t>
  </si>
  <si>
    <t>31,20</t>
  </si>
  <si>
    <t>Įdiegta Kultūros ir meno projektų administravimo programa</t>
  </si>
  <si>
    <t>55,00</t>
  </si>
  <si>
    <t>56,00</t>
  </si>
  <si>
    <t>20,00</t>
  </si>
  <si>
    <t>21,00</t>
  </si>
  <si>
    <t>124,00</t>
  </si>
  <si>
    <t>165,00</t>
  </si>
  <si>
    <t>2021 m.: Iš viso įvertintos 165 paraiškos, iš jų sričių projektų paraiškų – 142, programų projektų paraiškų – 23.</t>
  </si>
  <si>
    <t>32,00</t>
  </si>
  <si>
    <t>Pagamintų apdovanojimų ir memorialinių objektų</t>
  </si>
  <si>
    <t>Apdovanojimo ceremonijų</t>
  </si>
  <si>
    <t>4,00</t>
  </si>
  <si>
    <t>Miestui aktualių renginių</t>
  </si>
  <si>
    <t>8,00</t>
  </si>
  <si>
    <t>Įgyvendinamų projektų</t>
  </si>
  <si>
    <t>2021 m.: Įgyvendinami projektai kinematografijos, šokio ir istorinėse srityse.</t>
  </si>
  <si>
    <t>Suorganizuota šokio meistriškumo sesijų</t>
  </si>
  <si>
    <t>08.01.01.10.</t>
  </si>
  <si>
    <t>Kultūros didžiųjų renginių organizavimas:</t>
  </si>
  <si>
    <t>Apsilankiusių burlaivių skaičius</t>
  </si>
  <si>
    <t>40,00</t>
  </si>
  <si>
    <t>Lenktynėse dalyvavusių buriavimo praktikantų skaičius</t>
  </si>
  <si>
    <t>49,00</t>
  </si>
  <si>
    <t>31,00</t>
  </si>
  <si>
    <t>Lenktynėse dalyvavusių savanorių</t>
  </si>
  <si>
    <t>24,00</t>
  </si>
  <si>
    <t>08.01.01.10.01.</t>
  </si>
  <si>
    <t>Jūros šventės</t>
  </si>
  <si>
    <t>Suorganizuota Jūros šventė</t>
  </si>
  <si>
    <t>Sumokėta narystės mokesčių</t>
  </si>
  <si>
    <t>08.01.01.10.03.</t>
  </si>
  <si>
    <t>Suorganizuotas festivalis</t>
  </si>
  <si>
    <t>2021 m.: Festivalis įvyko 2021 m. liepos 2–4 dienomis.</t>
  </si>
  <si>
    <t>08.01.01.10.04.</t>
  </si>
  <si>
    <t>763,80</t>
  </si>
  <si>
    <t>1 167,03</t>
  </si>
  <si>
    <t>2 945,00</t>
  </si>
  <si>
    <t>93,00</t>
  </si>
  <si>
    <t>89,95</t>
  </si>
  <si>
    <t>Suorganizuotų renginių</t>
  </si>
  <si>
    <t>189,00</t>
  </si>
  <si>
    <t>152,00</t>
  </si>
  <si>
    <t>SB(VB)</t>
  </si>
  <si>
    <t>146</t>
  </si>
  <si>
    <t>Atnaujinta interneto svetainė</t>
  </si>
  <si>
    <t>Įsigyta garso aparatūra, komplektų skaičius</t>
  </si>
  <si>
    <t>79,80</t>
  </si>
  <si>
    <t>159,35</t>
  </si>
  <si>
    <t>374,00</t>
  </si>
  <si>
    <t>387,00</t>
  </si>
  <si>
    <t>Suremontuotos Klaipėdos kariljono žaliuzės</t>
  </si>
  <si>
    <t>2021 m.: Priemonė įvykdyta, atnaujinta interneto svetainė https://koncertusale.lt/</t>
  </si>
  <si>
    <t>Įsigytas lazerinis projektorius</t>
  </si>
  <si>
    <t>2021 m.: Priemonė įvykdyta, įsigytas lazerinis projektorius.</t>
  </si>
  <si>
    <t>Įsigyta ekranų</t>
  </si>
  <si>
    <t>2021 m.: Priemonė įvykdyta, įsigyti ekranai.</t>
  </si>
  <si>
    <t>19,47</t>
  </si>
  <si>
    <t>69,00</t>
  </si>
  <si>
    <t>Suorganizuotų edukacinių renginių</t>
  </si>
  <si>
    <t>29,00</t>
  </si>
  <si>
    <t>2021 m.: I ketv. suorganizuoti 5 edukaciniai renginiai.
II ketv. suorganizuoti 6 edukaciniai renginiai.
III ketv. suorganizuoti 9 edukaciniai renginiai.
IV ketv. suorganizuoti 9 edukaciniai renginiai.</t>
  </si>
  <si>
    <t>Atlikta patikrų</t>
  </si>
  <si>
    <t>5,00</t>
  </si>
  <si>
    <t>2021 m.: Priemonė įgyvendinta, atliktos patikros:
1. Manometrų patikra.
2. Elektros sistemos patikra. Elektros varžų matavimas.
3. Statinio apžiūra bei akto sudarymas.
4. Žaibolaidžio sistemos patikra.
5. Gaisro signalizacijos patikra.</t>
  </si>
  <si>
    <t>Įsigyta kompiuterinės technikos</t>
  </si>
  <si>
    <t>26,00</t>
  </si>
  <si>
    <t>14125</t>
  </si>
  <si>
    <t>283,73</t>
  </si>
  <si>
    <t>2021 m.: Lankytojų skaičius per 2021 m. – 283 726. Planinė reikšmė planuota pagal 2019 m duomenis, tačiau dėl COVID-19 pandemijos rodikliai kasmet mažėja. 2021 m. rodiklį lėmė pandeminė situacija ir jos valdymui taikomi ribojimai (dalis bibliotekos lankytojų neturi galimybių paso ir pan.).</t>
  </si>
  <si>
    <t>600,00</t>
  </si>
  <si>
    <t>503,00</t>
  </si>
  <si>
    <t>2021 m.: 2021 m. dokumentų išduotis bibliotekoje – 503000. Rodikliui įtakos turėjo pandeminė situacija ir jos valdymui taikomi ribojimai.</t>
  </si>
  <si>
    <t>Suorganizuotų kultūros-edukacinių renginių</t>
  </si>
  <si>
    <t>1 000,00</t>
  </si>
  <si>
    <t>1 053,00</t>
  </si>
  <si>
    <t>2021 m.: Iš viso per 2021 m. suorganizuoti 1053 renginiai.</t>
  </si>
  <si>
    <t>Skaitmeninio raštingumo mokymų, dalyvių skaičius</t>
  </si>
  <si>
    <t>800,00</t>
  </si>
  <si>
    <t>106,00</t>
  </si>
  <si>
    <t>116,00</t>
  </si>
  <si>
    <t>43,74</t>
  </si>
  <si>
    <t>136,00</t>
  </si>
  <si>
    <t>62,00</t>
  </si>
  <si>
    <t>97,00</t>
  </si>
  <si>
    <t>Atnaujinta kompiuterizuotų darbo vietų</t>
  </si>
  <si>
    <t>Organizuota kompetencijų ugdymo mokymų kultūrinių institucijų edukatoriams</t>
  </si>
  <si>
    <t>380,57</t>
  </si>
  <si>
    <t>350,00</t>
  </si>
  <si>
    <t>752,00</t>
  </si>
  <si>
    <t>Atnaujintas muziejaus prekės ženklas</t>
  </si>
  <si>
    <t>38,00</t>
  </si>
  <si>
    <t>78,22</t>
  </si>
  <si>
    <t>300,00</t>
  </si>
  <si>
    <t>315,00</t>
  </si>
  <si>
    <t>2021 m.: Priemonė įgyvendinta.</t>
  </si>
  <si>
    <t>7,60</t>
  </si>
  <si>
    <t>1,20</t>
  </si>
  <si>
    <t>Įsigyta baldų, įrangos</t>
  </si>
  <si>
    <t>Parengta koncepcija</t>
  </si>
  <si>
    <t>Modernaus bendruomenės centro - bibliotekos statyba pietinėje miesto dalyje</t>
  </si>
  <si>
    <t>Atlikta rekonstravimo darbų</t>
  </si>
  <si>
    <t>Modernizuoti du kultūros infrastruktūros objektai (koplyčia ir vienuolyno patalpos)</t>
  </si>
  <si>
    <t>Žvejų rūmų salės scenos grindų ir orkestro duobės remontas</t>
  </si>
  <si>
    <t>Atlikta remonto darbų</t>
  </si>
  <si>
    <t>Vasaros estrados einamasis remontas, objektų skaičius</t>
  </si>
  <si>
    <t>Atliktas LED ekrano remontas</t>
  </si>
  <si>
    <t>2021 m.: 2021 m. II ketv. pradėtos viešųjų pirkimų procedūros. III ketv. gautas tik vieno tiekėjo pasiūlymas, kurio kaina viršijo suplanuotą sumą. Išanalizavus situaciją priimtas sprendimas demontuoti ekraną dėl šių priežasčių: nuolat brangstantis remontas, ekranas turi būti nuolat įjungtas, kad nesugestų, ekranas nėra tinkamas kino rodymui viešojoje erdvėje, technologija yra pasenusi, išlaikymo kaštus turėtų padengti savivaldybė, reklamos transliavimui ekranas nėra patrauklus. Demontavimas numatomas 2022 m.</t>
  </si>
  <si>
    <t>08.01.02.03.11.</t>
  </si>
  <si>
    <t>BĮ Klaipėdos kultūrų komunikacijų centro priešgaisrinio vamzdyno remontas</t>
  </si>
  <si>
    <t>Atliktas remontas</t>
  </si>
  <si>
    <t>Įstaigų skaičius</t>
  </si>
  <si>
    <t>Dalyvių skaičius</t>
  </si>
  <si>
    <t>2021 m.: Administruojama viena interneto svetainė – www.kulturosuostas.lt.</t>
  </si>
  <si>
    <t>33,80</t>
  </si>
  <si>
    <t>29,30</t>
  </si>
  <si>
    <t>2021 m.: I ketv. Kultūros uosto platforma turėjo 5582 unikalius lankytojus.
II ketv. Kultūros uosto platforma turėjo 8957 unikalius lankytojus.
III ketv. Kultūros uosto platforma turėjo 7437 unikalius  lankytojus.
IV ketv. Kultūros uosto platforma turėjo 7325 unikalius lankytojus.
Rodikliui įtakos turėjo pandemija ir jos valdymui taikyti ribojimai (mažiau renginių – mažiau lankytojų).</t>
  </si>
  <si>
    <t>7 300,00</t>
  </si>
  <si>
    <t>7 515,00</t>
  </si>
  <si>
    <t>2021 m.: Priemonė įgyvendinta, tyrimo rezultatų pristatymas numatytas 2022 m. I ketv.</t>
  </si>
  <si>
    <t>Valstybės biudžeto specialiosios tikslinės dotacijos lėšos</t>
  </si>
  <si>
    <t>08.01.01.10.10.</t>
  </si>
  <si>
    <t>46,00</t>
  </si>
  <si>
    <t>2021 m.: Priemonė įgyvendinta, atnaujinta interento svetainė https://zvejurumai.lt/</t>
  </si>
  <si>
    <t>2021 m.: Priemonė įgyvendinta pagal planą, įsigyta garso aparatūra.</t>
  </si>
  <si>
    <t>2021 m.: Priemonė įvykdyta, atnaujinta interento svetainė https://www.biblioteka.lt/lt/</t>
  </si>
  <si>
    <t>Vasaros koncertų estrados modernizavimas (kapitalinis remontas ir aplinkos sutvarkymas) (Vasaros koncertų estrados architektūrinės idėjos konkurso organizavimas)</t>
  </si>
  <si>
    <t>2021 m.: Dėl Covid-19 pandemijos 2021 m. festivalis neįvyks. Renginį planuojama organizuoti 2022 m., šiuo metu derinama sutartis, laukiama suderinto sutarties projekto.</t>
  </si>
  <si>
    <t>2021 m.: Numatoma, kad dėl ne tik Lietuvą, bet ir visą pasaulį apėmusios Covid-19 pandemijos 2021 m. festivalis neįvyks.</t>
  </si>
  <si>
    <t>STRATEGINIO VEIKLOS PLANO VYKDYMO ATASKAITA</t>
  </si>
  <si>
    <t xml:space="preserve">2021 m.: 2021 m. I ketv. paskelbtas konkursas kultūros ir meno stipendijai gauti. 2021–2023 m. skirta (direktoriaus 2021-07-01 įsakymas Nr. AD1-842) 15 naujų stipendijų, iš jų 2 edukacinės ir 13 individualių. </t>
  </si>
  <si>
    <t xml:space="preserve">2021 m.: Iš viso 2021 m. lankytojų: 
Žvejų rūmai – 85,95, 
Klaipėdos koncertų salė – 159,35, 
Tautinių kultūrų centras – 19,47, 
I. Kanto viešoji biblioteka – 283,73 fiziniai ir 116,0 virtualūs, Klaipėdos kultūrų komunikacijų centras – 43,74,
Mažosios Lietuvos istorijos muziejus – 380,57, 
Etnokultūros centras – 78,22. </t>
  </si>
  <si>
    <t>2021 m.: Iš viso 2021 m. renginių: 
Žvejų rūmai – 152, 
Koncertų salė – 387, 
Tautinių kultūrų centras – 98, 
I. Kanto viešoji biblioteka – 1053,
Klaipėdos kultūrų komunikacijų centras – 159, 
Mažosios Lietuvos istorijos muziejus – 781,
Etnokultūros centras – 315.</t>
  </si>
  <si>
    <t xml:space="preserve">2021 m.: I ketv. suorganizuota 12 renginių.
II ketv. suorganizuoti 7 renginiai.
III ketv. suorganizuoti 48 renginiai. 
IV ketv. suorganizuoti 85 renginiai. 
Rodiklį lėmė COVID-19 pandemija ir jos valdymui taikomi ribojimai. 
</t>
  </si>
  <si>
    <t>2021 m.: Priemonė įvykdyta, kariljono žaliuzės suremontuotos.</t>
  </si>
  <si>
    <t xml:space="preserve">2021 m.: 2021 m. virtualių lankytojų skaičius – 116 000.
</t>
  </si>
  <si>
    <t>2021 m.: Suorganizuoti 6 kompetencijų ugdymo mokymai kultūrinių institucijų edukatoriams. 
2021-12-15 / I. Kanto bibliotekos Meno skyrius / Praktiniai proceso dramos metodo taikymo mokymai.
2021-12-16 / Klaipėdos kultūrų komunikacijų centras / Baziniai mokymai edukatoriams.
2021-12-17 / Prano Domšaičio galerija / edukatorių forumas.
2021-12-20  Prano Domšaičio galerija / Praktiniai vizualinio mąstymo strategijos metodo taikymo mokymai. 
2021-12-20 / I. Kanto bibliotekos Jaunimo skyrius / Praktiniai kūrybiškumo metodų taikymo mokymai.
2021-12-21  / I. Simonaitytės viešoji biblioteka / Psichologinis meno poveikis. Kūrybinių praktikų taikymo mokymai.</t>
  </si>
  <si>
    <t>2021 m.: Atnaujintas muziejaus prekinis ženklas: atlikta buvusio įstaigos prekės ženklo analizė bei kuriamo ženklo idėjų studija, sukurtas pagrindinis įstaigos logotipas ir parengti Mažosios Lietuvos istorijos muziejaus padalinių išvestiniai logotipai bei jų šablonai, sukurti papildomi grafiniai elementai, parengti būtinieji šablonai (blankai, darbuotojų kortelės, vizitinės kortelės ir kt.), parengtas prekės ženklo naudojimo vadovas.</t>
  </si>
  <si>
    <t>2021 m.: Priemonė įgyvendinta, ekspozicijos atidarymas ir pristatymas visuomenei įvyko 2021 m. rugpjūčio 1d.</t>
  </si>
  <si>
    <t>2021 m.: Priemonė įgyvendinta, atliktas Vasaros estrados einamasis remontas.</t>
  </si>
  <si>
    <t>2021 m.: Priemonę pavesta vykdyti Mažosios Lietuvos istorijos muziejui. Išleista  V. Safronovo knyga „Klaipėdos miesto istorija“ rusų kalba. 
Išleistas katalogas „Klaipėdos krašto klausimas Prancūzijos archyviniuose šaltiniuose“.</t>
  </si>
  <si>
    <t>2021 m.: Priemonė įvykdyta, atliktas salės scenos grindų ir orkestro duobės remontas.</t>
  </si>
  <si>
    <t>2021 m.: 2021 m. II ketv. pasirašyta sutartis (2021-05-19) su VšĮ „Klaipėdos šventės“.
Jūros šventė įvyko 2021 m. liepos 22–25 d.</t>
  </si>
  <si>
    <t>2021 m.: Sumokėtas Didžiųjų burlaivių regatą 2024 m. priimančio uosto mokestis  (29 346 GBP) pagal 2021-12-17 sutartį.</t>
  </si>
  <si>
    <t xml:space="preserve">2021 m.: Apmokamos sąskaitos už 7 kultūros įstaigų komunalinių paslaugų (šildymo, vandens, nuotekų) įsigijimą. </t>
  </si>
  <si>
    <t>2021 M. KLAIPĖDOS MIESTO SAVIVALDYBĖS</t>
  </si>
  <si>
    <r>
      <t>Programą vykdė:</t>
    </r>
    <r>
      <rPr>
        <sz val="12"/>
        <rFont val="Times New Roman"/>
        <family val="1"/>
      </rPr>
      <t xml:space="preserve"> Kultūros skyrius, Planavimo ir analizės skyrius, Statinių administravimo skyrius, Projektų skyrius, Statybos ir infrastruktūros plėtros skyrius, vyriausiasis patarėjas R. Zulcas, Šv. Pranciškaus Asyžiečio vienuolynas.</t>
    </r>
  </si>
  <si>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</si>
  <si>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 xml:space="preserve">faktiškai įvykdyta </t>
  </si>
  <si>
    <t xml:space="preserve">iš dalies įvykdyta </t>
  </si>
  <si>
    <t xml:space="preserve">neįvykdyta </t>
  </si>
  <si>
    <t xml:space="preserve">Klaipėdos miesto savivaldybės 2021–2023 m. 
strateginio veiklos plano įgyvendinimo        
2021 m. ataskaitos dalis
</t>
  </si>
  <si>
    <t xml:space="preserve">, </t>
  </si>
  <si>
    <r>
      <rPr>
        <sz val="12"/>
        <rFont val="Times New Roman"/>
        <family val="1"/>
        <charset val="186"/>
      </rPr>
      <t>Iš</t>
    </r>
    <r>
      <rPr>
        <b/>
        <sz val="12"/>
        <rFont val="Times New Roman"/>
        <family val="1"/>
        <charset val="186"/>
      </rPr>
      <t xml:space="preserve"> 2021 m.</t>
    </r>
    <r>
      <rPr>
        <sz val="12"/>
        <rFont val="Times New Roman"/>
        <family val="1"/>
      </rPr>
      <t xml:space="preserve"> planuotų įvykdyti 29 priemonių ir papriemonių (kurioms patvirtinti / skirti asignavimai): </t>
    </r>
  </si>
  <si>
    <t>–</t>
  </si>
  <si>
    <t>(pagal planą arba geriau);</t>
  </si>
  <si>
    <t>(blogiau, nei planuota);</t>
  </si>
  <si>
    <t>(nepasiekta planuota reikšmė).</t>
  </si>
  <si>
    <r>
      <t xml:space="preserve">Asignavimų valdytoja –  </t>
    </r>
    <r>
      <rPr>
        <sz val="12"/>
        <rFont val="Times New Roman"/>
        <family val="1"/>
        <charset val="186"/>
      </rPr>
      <t>Klaipėdos miesto savivaldybės administracija.</t>
    </r>
  </si>
  <si>
    <t>Apsilankiusiųjų  savivaldybės finansuojamuose ar remiamuose kultūros renginiuose skaičius</t>
  </si>
  <si>
    <t>Prancūzų ir Lietuvių koprodukcinių projektų įgyvendinimas</t>
  </si>
  <si>
    <t>Festivalio „Šermukšnis“</t>
  </si>
  <si>
    <t>Festivalio „Parbėg laivelis“</t>
  </si>
  <si>
    <t>Didžiųjų burlaivių regatos „The Tall Ships Races 2024“</t>
  </si>
  <si>
    <t>Nemokamai suteikta patalpų (Koncertų salė, Kultūrų komunikacijų centras, Žvejų rūmai ir Mažosios Lietuvos istorijos muziejus)</t>
  </si>
  <si>
    <t>Savivaldybės biudžeto lėšos</t>
  </si>
  <si>
    <t>2021 m.: Iš viso 2021 m. lankytojų (tūkst.):
Žvejų rūmai – 85,95, 
Klaipėdos koncertų salė – 159,35, 
Tautinių kultūrų centras – 19,47, 
I. Kanto viešoji biblioteka – 283,73 fiziniai ir 116,0 virtualūs, Klaipėdos kultūrų komunikacijų centras – 43,74,
Mažosios Lietuvos istorijos muziejus – 380,57, 
Etnokultūros centras – 78,22. 
Apytikslis sričių ir programų renginių lankytojų skaičius – 717 705.</t>
  </si>
  <si>
    <t>2021 m.: Savivaldybės BĮ kultūros įstaigų renginiai – 2945. 
Iš dalies finansuojamų sričių ir programuų renginiai – 1044. Miestui aktualūs renginiai: Sausio 15-osios ceremonija, Vasario 16-osios bei Kovo 11-osios minėjimai, Joninių šventė, Jūrinės kultūros apdovanojimo „Albatrosas“ ir Klaipėdos kultūros magistro apdovanojimo ceremonijos, Klaipėdos miesto gimtadienis, Kalėdų eglės įžiebimo ceremonija ir Naujametinis fejerverkas.</t>
  </si>
  <si>
    <t>2021 m.: Lėšų šiai priemonei nėra numatyta. Sukurta e. paslauga savivaldybės svetainėje, todėl paraiškų teikėjai dokumentus 2022 metų dalinio finansavimo konkursui galėjo teikti e. būdu, užsakant sukurtą e. paslaugą. Šiuo būdu gauta apie 80 proc. iš viso pateiktų paraiškų.</t>
  </si>
  <si>
    <t>2021 m.: Savivaldybės administracijos direktoriaus 2021-03-01 įsakymu Nr. AD1-257 (2021-03-01 įsakymo Nr. AD1-257 redakcija ir 2021-06-11 įsakymo Nr. AD1-745 redakcija) kaip programų projektai finansuoti šie festivaliai: Tarptautinis menų festivalis „PLARTFORMA“, Klaipėdos pilies džiazo festivalis, BLON Animacijos ir videožaidimų festivalis, Teatro festivalis „Jauno teatro dienos“, Klaipėdos festivalis, Tarptautinis lėlių teatro festivalis MATERIA MAGICA, Europos kino festivalis GoDebut, Tarptautinis kultūros festivalis Klaipėdos knygų mugė, Mados savaitė Klaipėdoje / Fashion week Klaipėda ir Tarptautinis teatro festivalis TheATRIUM. 
Planinis rodiklis nepasiektas, nes dėl koronaviruso pandemijos 2021 m. neįvyko Šviesų festivalis.</t>
  </si>
  <si>
    <t>2021 m.: Savivaldybės administracijos direktoriaus 2021-03-05 įsakymu Nr. AD1-282 finansuoti 56 sričių projektai. Rodiklį nulėmė vizualiųjų menų programos patvirtinimas.</t>
  </si>
  <si>
    <t>2021 m.: Savivaldybės administracijos direktoriaus 2021-03-01 įsakymu Nr. AD1-257 (2021-03-01 įsakymo Nr. AD1-257 redakcija ir 2021-06-11 įsakymo Nr. AD1-745 redakcija) ir 2021-02-25 įsakymu Nr. AD1-247 finansuotas 21 programų projektas (įskaitant festivalius).</t>
  </si>
  <si>
    <t>2021 m.: Paraiškas vertinti projektus pateikė 32 kandidatai, po vertinimo ir viešųjų pirkimų procedūrų Savivaldybės administracijos direktoriaus 2019-12-06 įsakymu Nr. AD1-1482 ir   Savivaldybės administracijos direktoriaus 2020-03-14 įsakymu Nr. AD1-340 patvirtinta ekspertų duomenų bazė, kurioje – 28 ekspertai (1 ekspertas atsisakė teikti paslaugas savo noru, 3 laiku nepateikė viešųjų pirkimų procedūroms reikalingų dokumentų). Ekspertų duomenų bazės atnaujinimas numatytas 2022 m., vyksta viešųjų pirkimų procedūros.</t>
  </si>
  <si>
    <t>2021 m.: 2021 m. I ketv. pagamintos 3 Klaipėdoje kuriančių teatralų apdovanojimo „Padėkos kaukė“ regalijos. II ketv. pagamintos 3 Klaipėdos jūrinės kultūros apdovanojimo „Albatrosas“ statulėlės. 
III ketv. pagamintos dvi Klaipėdos kultūros magistro apdovanojimo regalijos (žiedai). 
IV ketv. vykdytos viešųjų pirkimų procedūros dėl atminimo lentų R. Valsonokui ir N. Nafthaliui pagaminimo ir tvirtinimo darbų. Darbus planuojama baigti 2022 m. I ketv.
Planinis rodiklis nepasiektas, nes, komisijos sprendimu, apdovanoti 2, o ne 3 kultūros magistrai; žymių žmonių ir įvykių atminimo įamžinimas, dailės kūrinių, paminklų priežiūra vykdomi pagal poreikį, atsižvelgiant į gautus prašymus ir priimtus sprendimus.</t>
  </si>
  <si>
    <t>2021 m.: 2021 m. suorganizuota virtuali, karantino sąlygas atitinkanti Klaipėdoje kuriančių teatralų apdovanojimų ceremonija „Padėkos kaukė“. 
III ketv. suorganizuotos dvi apdovanojimų ceremonijos – Klaipėdos jūrinės kultūros apdovanojimas „Albatrosas“ ir Klaipėdos kultūros magistro apdovanojimas.
Planinis rodiklis nepasiektas, nes sprendimas dėl garbės piliečio vardo suteikimo piimtas 2021 m. IV ketv. (Savivaldybės tarybos 2021-11-25 sprendimu Nr. T2-284 Klaipėdos garbės piliečio vardas suteiktas Modestui Juozapui Paulauskui) ir ceremoniją planuojama organizuoti 2022 m. vasarą.</t>
  </si>
  <si>
    <t>2021 m.: Suorganizuota Sausio 15-osios ceremonija, koordinuoti Vasario 16-osios bei Kovo 11-osios minėjimai, Joninių šventė. Suorganizuotos Jūrinės kultūros apdovanojimo „Albatrosas“ ir Klaipėdos kultūros magistro apdovanojimo ceremonijos, paminėtas Klaipėdos miesto gimtadienis, organizuota Kalėdų eglės įžiebimo ceremonija ir Naujametinis fejerverkas.</t>
  </si>
  <si>
    <t>2021 m.: Prancūzų kino festivalis „Žiemos ekranai“ dėl COVID-19 pandemijos vyko virtualioje erdvėje (zmonescinema.lt ir „Skalvijos“ vituali platforma). 2021 m. vasario 18–28 dienomis parodyti 8 filmai. Rodikliui įtakos turėjo COVID-19 pandemija, filmų rodymą perkėlus į virtualią erdvę sumažintas rodomų filmų skaičius.</t>
  </si>
  <si>
    <t>2021 m.: II ketv. pasirašyta paslaugų sutartis su VšĮ Šeiko šokio teatru (2021-06-02). 2021 m. rugsėjo–spalio mėnesiais organizuotos kūrybinės šokio dirbtuvės profesionalams ir šokio studentams (10 užsiėmimų po 4 val.), Klaipėdos bendruomenei (6 užsiėmimai po 2 val.), o spalio–gruodžio mėn. – senjorams (26 dalyviai).</t>
  </si>
  <si>
    <t>2021 m.: Paroda parengta. Atidarymas ir pristatymas visuomenei – 2022 m. sausio 14 d., Mažosios Lietuvos istorijos muziejuje Didžioji Vandens g. 2.</t>
  </si>
  <si>
    <t>2021 m.: Pasirašyta paslaugų sutartis su VšĮ Šeiko šokio teatru (2021-06-02). Šokis „Audros akis“ pastatytas ir pristatytas Vilniuje ir Klaipėdoje (Žvejų rūmuose).</t>
  </si>
  <si>
    <t>2021 m.: 2021 m. II ketv. burlaivių ragata buvo atšaukta dėl COVID-19 pandemijos, tačiau nuspręsta Jūros šventės metu organizuoti mažesnę regatą (dalyvauja  Lietuvos, Lenkijos, Estijos uostai) „Baltic regatta 2021“, pasirašytas papildomas susitarimas.</t>
  </si>
  <si>
    <t>2021 m.: „Baltic regatta 2021“ įvyko 2021 m. liepos 23–25 d., į Klaipėdą atplaukė 22 burlaiviai. Planinis rodiklis nepasiektas, kadangi, atšaukus „The Tall Ships“ regatą, buvo organizuota mažesnės apimties regata.</t>
  </si>
  <si>
    <t>2021 m.: „Baltic regatta 2021“ įvyko 2021 m. liepos 23–25 d., joje dalyvavo 31 buriavimo praktikantas.</t>
  </si>
  <si>
    <t>2021 m.: „Baltic regatta 2021“ įvyko 2021 m. liepos 23–25 d., joje dalyvavo 24 savanoriai.</t>
  </si>
  <si>
    <t>2021 m.: Dėl pandeminės situacijos ir taikomų ribojimų nuspręsta 2021 m. festivalio neorganizuoti. III ketv., liepos 26–30 d., įvyko Mažosios Lietuvos etnokultūros šventė. Sutaupytos lėšos skirtos kariljono langinių tvarkymui.</t>
  </si>
  <si>
    <t>2021 m.: I ketv. 9145 virtualūs lankytojai („Facebook“ ir  „Youtube“ platformose).
II ketv. 620 fizinių lankytojų.
III ketv. 57250 lankytojų.
IV ketv. 22 935 lankytojų.
Rodiklį lėmė COVID-19 pandemija ir jos valdymui taikomi ribojimai.</t>
  </si>
  <si>
    <t>2021 m.: I ketv. virtualių lankytojų / klausytojų skaičius – 75 033, fizinių – 7.
II ketv. virtualių lankytojų / klausytojų – 56 772, fizinių – 3116.
III ketv. 9 620 fizinių lankytojų.
IV ketv. 14 798 fizinių lankytojų.</t>
  </si>
  <si>
    <t xml:space="preserve">2021 m.: I ketv. suorganizuoti 46 renginiai ir 31 edukacinis užsiėmimas kariljone. 
II ketv. suorganizuoti 63 renginiai ir 36 edukaciniai užsiėmimai kariljone.
III ketv. suorganizuoti 96 renginiai, iš jų 10 – edukacinių.
IV ketv. suorganizuota 115 renginių. 
</t>
  </si>
  <si>
    <t>2021 m.: I ketv. 2850 virtualių lankytojų, iš jų 1178 nuotolinių renginių ir edukacijų dalyvių ir 1672 lankytojai Tautinių kultūrų centro „Youtube“ platformoje.
II ketv. 3362 lankytojai, iš jų virtualių (nuotoliniai renginiai, edukaciniai užsiėmimai, Tautinių kultūrų centro „Youtube“ platforma) – 2 131.
III ketv. 8875 lankytojai, iš jų 3610 virtualių.
IV ketv. 3592 lankytojai, iš jų 1071 virtualus.</t>
  </si>
  <si>
    <t xml:space="preserve">2021 m.: I ketv. suorganizuoti 5 nuotoliniai renginiai. 
II ketv. suorganizuota 19 renginių. 
III ketv. suorganizuoti 27 renginiai. 
IV ketv. suorganizuota 18 renginių.  
Rodiklį lėmė COVID-19 pandemija, jos valdymo priemonių (ribojimų) taikymas.
</t>
  </si>
  <si>
    <t>2021 m.: Nupirkta mažiau kompiuterių, nei planuota, dėl didelės kompiuterinės techninkos kainos, įrangos pabrangimo.</t>
  </si>
  <si>
    <t>2021 m.: Skaitmeninio raštingumo mokymuose iš viso dalyvavo 1508 dalyviai. Lietuvos nacionalinės bibliotekos prašymu  įgyvendinant projektą „Prisijungusi Lietuva“ mokymai buvo suintensyvinti.</t>
  </si>
  <si>
    <t>2021 m.: I ketv. – 12281 virtualus lankytojas, iš jų www.kkkc.lt aplankė 1283, o www.kulturpolis.lt – 2307 lankytojai. 
II ketv. 15143 lankytojai, iš jų 3094 virtualūs (kkkc.lt) lankytojai, iš viso II ketv. įstaigos virtualūs lankytojai – 13806.
III ketv. 10 506 lankytojai, iš jų 2535 fiziniai ir 7971 virtualus.
IV ketv. 5806 lankytojai, iš jų 1019 fizinių ir 4778 virtualūs.</t>
  </si>
  <si>
    <t xml:space="preserve">2021 m.: I ketv. suorganizuoti 2 nuotoliniai renginiai. 
II ketv. suorganizuoti 3 renginiai. 
III ketv. suorganizuoti 47 renginiai. 
IV ketv. suorganizuota 10 renginių.
Tokį rodiklį lėmė COVID-19 pandeminė situacija ir taikyti ribojimai.
</t>
  </si>
  <si>
    <t xml:space="preserve">2021 m.: I ketv. suorganizuoti 38 nuotoliniai edukaciniai renginiai.
II ketv. suorganizuota 18 edukacinių renginių.
III ketv. suorganizuoti 36 edukaciniai renginiai.
IV ketv. suorganizuoti 5 edukaciniai renginiai. 
Tokį rodiklį lėmė COVID-19 pandeminė situacija ir taikyti ribojimai.
</t>
  </si>
  <si>
    <t>2021 m.: Priemonė įvykdyta, nupirkti 8 nešiojamieji kompiuteriai, ergonomiškos darbo kėdės, dideli monitoriai.</t>
  </si>
  <si>
    <t>Dalyvavo 19 įstaigų, iš jų 9 kultūros įstaigos (Klaipėdos kultūrų komunikacijų centras, Mažosios Lietuvos istorijos muziejus, Imanuelio Kanto viešoji biblioteka, Klaipėdos koncertų salė, Laikrodžių muziejus, Prano Domšaičio galerija, Lietuvos jūrų muziejus, Ievos Simonaitytės viešoji biblioteka, Klaipėdos dramos teatras) ir 10 švietimo įstaigų („Versmės“ progimnazija, Liudviko Stulpino progimnazija, „Vėtrungės“ gimnazija, Vydūno gimnazija, „Vaivorykštės tako“ mokykla, „Gabijos“ progimnazija, „Verdenės“ progimnazija, Klaipėdos licėjus, Maksimo Gorkio progimnazija, Simono Dacho progimnazija).</t>
  </si>
  <si>
    <t>2021 m.: I ketv. fizinių lankytojų – 701. Virtualių lankytojų – 175 189, iš jų 117 733 muziejaus „Facebook“ svetainėje ir 57456 virtualių edukacinių renginių / užsiėmimų dalyviai.
II ketv. fizinių lankytojų – 3198. Virtualių lankytojų – 155 708,  iš jų 151 722 muziejaus „Facebook“ svetainėje ir 3 986 virtualių edukacinių renginių / užsiėmimų dalyviai.
III ketv. 11 762 fiziniai ir 34 012 virtualių lankytojų.
IV ketv. 28 577 lankytojai, iš jų 21810 virtualių.</t>
  </si>
  <si>
    <t xml:space="preserve">2021 m.: I ketv. suorganizuoti 6 renginiai, iš jų 1 fizinė paroda (Sausio 13-osios) ir 5 virtualūs renginiai. 
II ketv. suorganizuoti 8 renginiai, iš jų 4 virtualūs.
III ketv. suorganizuota 10 renginių. 
IV ketv. 5 renginiai. 
Rodiklį lėmė COVID-19 pandemija ir taikyti ribojimai.
</t>
  </si>
  <si>
    <t>2021 m.: I ketv. suorganizuoti 286 edukaciniai užsiėmimai ir 3 edukaciniai renginiai. 
II ketv. suorganizuoti 48 kontaktiniai edukaciniai užsiėmimai ir 172 virtualūs edukaciniai užsiėmimai / renginiai.
III ketv. suorganizuoti 107 fiziniai edukaciniai renginiai.
IV ketv. suorganizuoti 136 edukaciniai užsiėmimai, iš jų – 2 nuotoliniai.</t>
  </si>
  <si>
    <t>2021 m.: Parengta nauja muziejaus svetainės vizualumo koncepcija atsižvelgiant į naujai sukurtą prekinį ženklą, parengta nuosekli svetainės struktūra, atnaujintas svetainės atvaizdavimas mobiliuosiuose įrenginiuose, supaprastintas svetainės administravimas, atnaujinta svetainės turinio valdymo sistema.</t>
  </si>
  <si>
    <t>2021 m.: I ketv. 17 851 lankytojas, iš jų – 14 944 virtualūs.
II ketv. 20783 lankytojai, iš jų – 16026 virtualūs.
III ketv. 21876 lankytojai, iš jų – 9860 virtualių.
IV ketv. – 17 706 lankytojai, iš jų – 9295 virtualūs.</t>
  </si>
  <si>
    <t xml:space="preserve">2021 m.: I ketv. suorganizuoti 82 renginiai, iš jų 61 virtualus edukacinis renginys.
II ketv. suorganizuota 40 renginių, iš jų 14 – edukacinių ir miesto Joninių šventė.
III ketv. suorganizuoti 68 renginiai, iš jų – 43 edukaciniai renginiai, 22 Mažosios Lietuvos etnodienų renginiai.
IV ketv. – 125 renginiai, iš jų – 110  edukaciniai renginiai.
</t>
  </si>
  <si>
    <t xml:space="preserve">2021 m.: Dėl COVID-19 pandemijos ir karantino ribojimų I ketv. nemokamai patalpų nesuteikta. 
II ketv. nemokamai patalpos suteiktos 2 kartus (Koncertų salė ir Mažosios Lietuvos istorijos muziejus). 
III ketv. neatlygintinai patalpos suteiktos 4 kartus (Mažosios Lietuvos istorijos muziejus – 3 kartus, Koncertų salė – 1 kartą).
IV ketv. neatlygintinai patalpos suteiktos 6 kartus (Mažosios Lietuvos istorijos muziejus – 1, Koncertų salė – 4, Žvejų rūmai – 1).
</t>
  </si>
  <si>
    <t>2021 m.: Dėl COVID-19 pandemijos ir karantino ribojimų I ketv. bilietų nekompensuota. 
II ketv. Žvejų rūmai kompensavo 31 bilietą (62 Eur), Klaipėdos koncertų salė kompensavo 390 bilietų.
III ketv. Žvejų rūmai kompensavo 34 bilietus (170 Eur), Koncertų salė kompensavo 142 bilietus.
IV ketv. Žvejų rūmai kompensavo 254 bilietus (2367 Eur), Koncertų salė – 352.
Rodikliui įtakos turėjo pandeminė situacija ir jos valdymui taikomi ribojimai.</t>
  </si>
  <si>
    <t>2021 m.: II ketv. pasirašyta paslaugų sutartis su MB „Bauland“ (2021-05-14). 
III ketv. organizuoti susitikimai ir diskusijos dėl koncepcijos parengimo.  
IV ketv. įvyko 3 susitikimai – kūrybinės dirbtuvės dėl Žvejų rūmų modernizavimo galimybių. 2022 m. bus parengta galutinė galimybių studija ir suorganizuotas virtualus studijos pristatymo renginys.</t>
  </si>
  <si>
    <t>2021 m.: Visos projekto veiklos įvykdytos 100 proc. Sutaupius lėšų projekte (viešųjų pirkimų metu rangos darbai ir baldai įsigyti pigiau, nei planuota), 2021 m. lapkričio 15 d. kreiptasi į VšĮ Centrinę projektų valdymo agentūrą (CPVA) dėl papildomos įrangos, nenumatytos projekte, įsigijimo iš sutaupytų lėšų. Preliminari planuojamų įsigyti priemonių kaina pagal komercinius pasiūlymus – 44 301,00 Eur.</t>
  </si>
  <si>
    <t xml:space="preserve">2021 m.: Savivaldybės mokėjimo prašymai atliekami pagal CPVA patvirtintą mokėjimo prašymą ir pateiktą projekto vykdytojo (Panciškaus Asyžiečio vienuolyno) paraišką lėšoms iš savivaldybės biudžeto gauti. Tarp projekto vykdytojo ir CPVA pasirašytas projekto įgyvendinimo sutarties pratęsimas, kurioje numatytas projekto veiklų įgyvendinimo pabaigos terminas – 2022-02-28, galutinio mokėjimo prašymo pateikimo terminas – 2022-03-31. Tuo pagrindu tarp savivaldybės  ir projekto vykdytojo 2021-12-31 pasirašytas papildomas susitarimas Nr. J9-3265 dėl sutarties pratęsimo. Per 2021 m. užbaigti vienuolyno dalies patalpų remonto darbai, pritaikant jas kultūrinei veiklai, įrengiant meno Galeriją 1252. Taip pat atliktas meno kūrinių atrinkimas ekspozicijai, įvykdytas ekspozicinės įrangos pirkimas, paveikslų pasportavimas  ir rėminimas, dalis darbų iškabinti ekspozicijai.
2022 m. bus įsigyti lankytojų aptarnavimui skirti baldai ir įranga. 
</t>
  </si>
  <si>
    <t>2021 m.: III ketvirčio pradžioje parengta pirkimo paraiška rangos darbų pirkimui, parengtos konkurso sąlygos, vykdytos pirkimo procedūros. Rangos darbų sutartis su rangovu UAB „Statmax“ (Nr. J9-3146) pasirašyta tik gruodžio 13 d. Atsižvelgus į tai, suplanuotos lėšos SVP 2021 m. perkeliamos į 2022 m.</t>
  </si>
  <si>
    <t>2021 m.: Darbai atlikti – sutarties vertė 2986,68 Eur.</t>
  </si>
  <si>
    <t xml:space="preserve">2021 m.: Įgyvendinama viena kultūros komunikacijos programa „Kultūros uostas – Klaipėda“. </t>
  </si>
  <si>
    <t>2021 m.: 2021 m. po I ketv. platforma turėjo 7289 sekėjus.
2021 m. po II ketv. platforma turėjo7376 sekėjus.
2021 m. po III ketv. platforma turėjo7483 sekėjus.
2021 m. po IV ketv. platforma turėjo 7515 sekėjus.</t>
  </si>
  <si>
    <t xml:space="preserve">Burlaivių regatos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</si>
</sst>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409]General"/>
    <numFmt numFmtId="167" formatCode="[$-10427]#,##0.00;\-#,##0.00;&quot;&quot;"/>
  </numFmts>
  <fonts count="18" x14ac:knownFonts="1">
    <font>
      <sz val="10"/>
      <name val="Arial"/>
      <charset val="186"/>
    </font>
    <font>
      <sz val="10"/>
      <name val="Times New Roman"/>
      <family val="1"/>
      <charset val="186"/>
    </font>
    <font>
      <b/>
      <sz val="10"/>
      <name val="Times New Roman"/>
      <family val="1"/>
      <charset val="186"/>
    </font>
    <font>
      <sz val="10"/>
      <name val="Arial"/>
      <family val="2"/>
      <charset val="186"/>
    </font>
    <font>
      <sz val="12"/>
      <name val="Times New Roman"/>
      <family val="1"/>
      <charset val="186"/>
    </font>
    <font>
      <sz val="12"/>
      <name val="Times New Roman"/>
      <family val="1"/>
    </font>
    <font>
      <b/>
      <sz val="12"/>
      <name val="Times New Roman"/>
      <family val="1"/>
    </font>
    <font>
      <b/>
      <sz val="12"/>
      <name val="Times New Roman"/>
      <family val="1"/>
      <charset val="186"/>
    </font>
    <font>
      <sz val="12"/>
      <name val="Arial"/>
      <family val="2"/>
      <charset val="186"/>
    </font>
    <font>
      <sz val="11"/>
      <name val="Times New Roman"/>
      <family val="1"/>
      <charset val="186"/>
    </font>
    <font>
      <sz val="10"/>
      <color rgb="FF000000"/>
      <name val="Times New Roman"/>
      <family val="1"/>
      <charset val="186"/>
    </font>
    <font>
      <sz val="12"/>
      <color rgb="FF000000"/>
      <name val="Times New Roman"/>
      <family val="1"/>
      <charset val="186"/>
    </font>
    <font>
      <sz val="11"/>
      <color rgb="FF000000"/>
      <name val="Calibri"/>
      <family val="2"/>
      <charset val="186"/>
    </font>
    <font>
      <b/>
      <sz val="12"/>
      <color rgb="FF000000"/>
      <name val="Times New Roman"/>
      <family val="1"/>
      <charset val="186"/>
    </font>
    <font>
      <b/>
      <sz val="10"/>
      <color rgb="FF000000"/>
      <name val="Times New Roman"/>
      <family val="1"/>
      <charset val="186"/>
    </font>
    <font>
      <sz val="10"/>
      <color rgb="FFFF0000"/>
      <name val="Times New Roman"/>
      <family val="1"/>
      <charset val="186"/>
    </font>
    <font>
      <sz val="10"/>
      <color theme="0"/>
      <name val="Times New Roman"/>
      <family val="1"/>
      <charset val="186"/>
    </font>
    <font>
      <sz val="11"/>
      <color rgb="FF000000"/>
      <name val="Calibri"/>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BF9C3"/>
        <bgColor rgb="FFFBF9C3"/>
      </patternFill>
    </fill>
    <fill>
      <patternFill patternType="solid">
        <fgColor rgb="FFCCECFF"/>
        <bgColor rgb="FFBCB5F8"/>
      </patternFill>
    </fill>
    <fill>
      <patternFill patternType="solid">
        <fgColor rgb="FFCCECFF"/>
        <bgColor indexed="64"/>
      </patternFill>
    </fill>
    <fill>
      <patternFill patternType="solid">
        <fgColor rgb="FFC2EFC5"/>
        <bgColor rgb="FFC2EFC5"/>
      </patternFill>
    </fill>
    <fill>
      <patternFill patternType="solid">
        <fgColor rgb="FFCCFFCC"/>
        <bgColor indexed="64"/>
      </patternFill>
    </fill>
    <fill>
      <patternFill patternType="solid">
        <fgColor rgb="FFCCFFCC"/>
        <bgColor rgb="FFC2EFC5"/>
      </patternFill>
    </fill>
    <fill>
      <patternFill patternType="solid">
        <fgColor rgb="FFEBEBEB"/>
        <bgColor rgb="FFEBEBEB"/>
      </patternFill>
    </fill>
    <fill>
      <patternFill patternType="solid">
        <fgColor rgb="FFFFCCFF"/>
        <bgColor indexed="64"/>
      </patternFill>
    </fill>
    <fill>
      <patternFill patternType="solid">
        <fgColor rgb="FFBCB5F8"/>
        <bgColor rgb="FFBCB5F8"/>
      </patternFill>
    </fill>
    <fill>
      <patternFill patternType="solid">
        <fgColor theme="0"/>
        <bgColor rgb="FFBCB5F8"/>
      </patternFill>
    </fill>
  </fills>
  <borders count="89">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rgb="FF000000"/>
      </left>
      <right style="medium">
        <color indexed="64"/>
      </right>
      <top style="thin">
        <color indexed="64"/>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rgb="FF000000"/>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thin">
        <color rgb="FF000000"/>
      </top>
      <bottom/>
      <diagonal/>
    </border>
    <border>
      <left style="medium">
        <color rgb="FF000000"/>
      </left>
      <right style="thin">
        <color rgb="FF000000"/>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medium">
        <color rgb="FF000000"/>
      </right>
      <top style="thin">
        <color indexed="64"/>
      </top>
      <bottom style="thin">
        <color rgb="FF000000"/>
      </bottom>
      <diagonal/>
    </border>
    <border>
      <left style="thin">
        <color rgb="FF000000"/>
      </left>
      <right style="medium">
        <color rgb="FF000000"/>
      </right>
      <top style="thin">
        <color rgb="FF000000"/>
      </top>
      <bottom style="thin">
        <color indexed="64"/>
      </bottom>
      <diagonal/>
    </border>
    <border>
      <left style="thin">
        <color rgb="FF000000"/>
      </left>
      <right style="thin">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indexed="64"/>
      </right>
      <top style="thin">
        <color rgb="FF000000"/>
      </top>
      <bottom/>
      <diagonal/>
    </border>
    <border>
      <left/>
      <right style="medium">
        <color rgb="FF000000"/>
      </right>
      <top style="thin">
        <color rgb="FF000000"/>
      </top>
      <bottom/>
      <diagonal/>
    </border>
    <border>
      <left style="thin">
        <color rgb="FF000000"/>
      </left>
      <right style="thin">
        <color indexed="64"/>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indexed="64"/>
      </top>
      <bottom style="medium">
        <color indexed="64"/>
      </bottom>
      <diagonal/>
    </border>
    <border>
      <left style="thin">
        <color rgb="FF000000"/>
      </left>
      <right/>
      <top style="thin">
        <color rgb="FF000000"/>
      </top>
      <bottom style="medium">
        <color rgb="FF000000"/>
      </bottom>
      <diagonal/>
    </border>
    <border>
      <left style="thin">
        <color indexed="64"/>
      </left>
      <right style="medium">
        <color rgb="FF000000"/>
      </right>
      <top style="thin">
        <color rgb="FF000000"/>
      </top>
      <bottom style="medium">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rgb="FF000000"/>
      </right>
      <top style="medium">
        <color rgb="FF000000"/>
      </top>
      <bottom style="thin">
        <color indexed="64"/>
      </bottom>
      <diagonal/>
    </border>
    <border>
      <left style="thin">
        <color rgb="FF000000"/>
      </left>
      <right style="medium">
        <color indexed="64"/>
      </right>
      <top style="thin">
        <color rgb="FF000000"/>
      </top>
      <bottom style="thin">
        <color indexed="64"/>
      </bottom>
      <diagonal/>
    </border>
    <border>
      <left/>
      <right/>
      <top/>
      <bottom style="thin">
        <color indexed="64"/>
      </bottom>
      <diagonal/>
    </border>
  </borders>
  <cellStyleXfs count="5">
    <xf numFmtId="0" fontId="0" fillId="0" borderId="0"/>
    <xf numFmtId="0" fontId="3" fillId="0" borderId="0"/>
    <xf numFmtId="0" fontId="3" fillId="0" borderId="0">
      <alignment vertical="center"/>
    </xf>
    <xf numFmtId="166" fontId="12" fillId="0" borderId="0" applyBorder="0" applyProtection="0"/>
    <xf numFmtId="0" fontId="17" fillId="0" borderId="0" applyBorder="0"/>
  </cellStyleXfs>
  <cellXfs count="699">
    <xf numFmtId="0" fontId="0" fillId="0" borderId="0" xfId="0"/>
    <xf numFmtId="0" fontId="4" fillId="0" borderId="0" xfId="0" applyFont="1"/>
    <xf numFmtId="0" fontId="4" fillId="0" borderId="4" xfId="0" applyFont="1" applyBorder="1" applyAlignment="1">
      <alignment horizontal="center" vertical="top" wrapText="1"/>
    </xf>
    <xf numFmtId="0" fontId="4" fillId="0" borderId="4" xfId="0" applyFont="1" applyBorder="1" applyAlignment="1">
      <alignment vertical="top" wrapText="1"/>
    </xf>
    <xf numFmtId="3" fontId="2" fillId="0" borderId="0" xfId="0" applyNumberFormat="1" applyFont="1" applyFill="1" applyBorder="1" applyAlignment="1">
      <alignment vertical="top" wrapText="1"/>
    </xf>
    <xf numFmtId="0" fontId="3" fillId="0" borderId="0" xfId="0" applyFont="1"/>
    <xf numFmtId="0" fontId="7" fillId="2" borderId="0" xfId="0" applyFont="1" applyFill="1" applyBorder="1" applyAlignment="1">
      <alignment horizontal="left" wrapText="1"/>
    </xf>
    <xf numFmtId="0" fontId="3" fillId="0" borderId="0" xfId="0" applyFont="1" applyAlignment="1">
      <alignment horizontal="left" wrapText="1"/>
    </xf>
    <xf numFmtId="0" fontId="4" fillId="0" borderId="0" xfId="0" applyFont="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xf>
    <xf numFmtId="0" fontId="8" fillId="0" borderId="0" xfId="0" applyFont="1" applyFill="1" applyBorder="1" applyAlignment="1">
      <alignment vertical="top"/>
    </xf>
    <xf numFmtId="0" fontId="9" fillId="0" borderId="0" xfId="1" applyFont="1" applyBorder="1" applyAlignment="1">
      <alignment vertical="top" wrapText="1"/>
    </xf>
    <xf numFmtId="0" fontId="9" fillId="0" borderId="0" xfId="1" applyFont="1" applyAlignment="1">
      <alignment vertical="center" wrapText="1"/>
    </xf>
    <xf numFmtId="0" fontId="3" fillId="0" borderId="0" xfId="0" applyFont="1"/>
    <xf numFmtId="3" fontId="2" fillId="0" borderId="0" xfId="0" applyNumberFormat="1" applyFont="1" applyFill="1" applyBorder="1" applyAlignment="1">
      <alignment horizontal="center" vertical="top" wrapText="1"/>
    </xf>
    <xf numFmtId="0" fontId="10" fillId="0" borderId="16" xfId="0" applyNumberFormat="1" applyFont="1" applyFill="1" applyBorder="1" applyAlignment="1" applyProtection="1">
      <alignment horizontal="left" vertical="top" wrapText="1" readingOrder="1"/>
      <protection locked="0"/>
    </xf>
    <xf numFmtId="0" fontId="5" fillId="0" borderId="0" xfId="0" applyFont="1" applyAlignment="1">
      <alignment vertical="top"/>
    </xf>
    <xf numFmtId="0" fontId="6" fillId="0" borderId="0" xfId="0" applyFont="1" applyAlignment="1">
      <alignment vertical="top" wrapText="1"/>
    </xf>
    <xf numFmtId="0" fontId="10" fillId="0" borderId="0" xfId="0" applyNumberFormat="1" applyFont="1" applyFill="1" applyAlignment="1" applyProtection="1">
      <alignment horizontal="left" wrapText="1"/>
    </xf>
    <xf numFmtId="0" fontId="11" fillId="0" borderId="0" xfId="0" applyNumberFormat="1" applyFont="1" applyFill="1" applyAlignment="1" applyProtection="1">
      <alignment wrapText="1"/>
    </xf>
    <xf numFmtId="0" fontId="13" fillId="0" borderId="0" xfId="0" applyNumberFormat="1" applyFont="1" applyFill="1" applyAlignment="1" applyProtection="1">
      <alignment horizontal="center" wrapText="1"/>
    </xf>
    <xf numFmtId="0" fontId="11" fillId="0" borderId="0" xfId="0" applyNumberFormat="1" applyFont="1" applyFill="1" applyAlignment="1" applyProtection="1">
      <alignment horizontal="center" wrapText="1"/>
    </xf>
    <xf numFmtId="165" fontId="11" fillId="0" borderId="0" xfId="0" applyNumberFormat="1" applyFont="1" applyFill="1" applyAlignment="1" applyProtection="1">
      <alignment wrapText="1"/>
    </xf>
    <xf numFmtId="0" fontId="10" fillId="0" borderId="0" xfId="0" applyNumberFormat="1" applyFont="1" applyFill="1" applyAlignment="1" applyProtection="1">
      <alignment wrapText="1"/>
    </xf>
    <xf numFmtId="0" fontId="11" fillId="0" borderId="0" xfId="0" applyNumberFormat="1" applyFont="1" applyFill="1" applyAlignment="1" applyProtection="1">
      <alignment horizontal="left" wrapText="1"/>
    </xf>
    <xf numFmtId="0" fontId="11" fillId="0" borderId="0" xfId="0" applyNumberFormat="1" applyFont="1" applyFill="1" applyAlignment="1" applyProtection="1">
      <alignment horizontal="right" wrapText="1"/>
    </xf>
    <xf numFmtId="0" fontId="11" fillId="0" borderId="24" xfId="0" applyNumberFormat="1" applyFont="1" applyFill="1" applyBorder="1" applyAlignment="1" applyProtection="1">
      <alignment wrapText="1"/>
    </xf>
    <xf numFmtId="0" fontId="11" fillId="0" borderId="30" xfId="0" applyNumberFormat="1" applyFont="1" applyFill="1" applyBorder="1" applyAlignment="1" applyProtection="1">
      <alignment horizontal="center" vertical="center" wrapText="1" readingOrder="1"/>
    </xf>
    <xf numFmtId="0" fontId="14" fillId="6" borderId="18" xfId="0" applyNumberFormat="1" applyFont="1" applyFill="1" applyBorder="1" applyAlignment="1" applyProtection="1">
      <alignment horizontal="left" vertical="top" wrapText="1" readingOrder="1"/>
      <protection locked="0"/>
    </xf>
    <xf numFmtId="0" fontId="13" fillId="6" borderId="19" xfId="0" applyNumberFormat="1" applyFont="1" applyFill="1" applyBorder="1" applyAlignment="1" applyProtection="1">
      <alignment vertical="top" wrapText="1" readingOrder="1"/>
      <protection locked="0"/>
    </xf>
    <xf numFmtId="0" fontId="13" fillId="6" borderId="19" xfId="0" applyNumberFormat="1" applyFont="1" applyFill="1" applyBorder="1" applyAlignment="1" applyProtection="1">
      <alignment horizontal="center" vertical="top" wrapText="1" readingOrder="1"/>
      <protection locked="0"/>
    </xf>
    <xf numFmtId="165" fontId="13" fillId="6" borderId="19" xfId="0" applyNumberFormat="1" applyFont="1" applyFill="1" applyBorder="1" applyAlignment="1" applyProtection="1">
      <alignment horizontal="right" vertical="top" wrapText="1" readingOrder="1"/>
    </xf>
    <xf numFmtId="167" fontId="13" fillId="6" borderId="19" xfId="0" applyNumberFormat="1" applyFont="1" applyFill="1" applyBorder="1" applyAlignment="1" applyProtection="1">
      <alignment horizontal="right" vertical="top" wrapText="1" readingOrder="1"/>
    </xf>
    <xf numFmtId="0" fontId="13" fillId="6" borderId="19" xfId="0" applyNumberFormat="1" applyFont="1" applyFill="1" applyBorder="1" applyAlignment="1" applyProtection="1">
      <alignment horizontal="left" vertical="top" wrapText="1" readingOrder="1"/>
      <protection locked="0"/>
    </xf>
    <xf numFmtId="0" fontId="14" fillId="6" borderId="19" xfId="0" applyNumberFormat="1" applyFont="1" applyFill="1" applyBorder="1" applyAlignment="1" applyProtection="1">
      <alignment horizontal="center" vertical="top" wrapText="1" readingOrder="1"/>
      <protection locked="0"/>
    </xf>
    <xf numFmtId="0" fontId="13" fillId="6" borderId="33" xfId="0" applyNumberFormat="1" applyFont="1" applyFill="1" applyBorder="1" applyAlignment="1" applyProtection="1">
      <alignment horizontal="left" vertical="top" wrapText="1" readingOrder="1"/>
      <protection locked="0"/>
    </xf>
    <xf numFmtId="0" fontId="14" fillId="7" borderId="34" xfId="0" applyNumberFormat="1" applyFont="1" applyFill="1" applyBorder="1" applyAlignment="1" applyProtection="1">
      <alignment horizontal="left" vertical="top" wrapText="1" readingOrder="1"/>
      <protection locked="0"/>
    </xf>
    <xf numFmtId="0" fontId="13" fillId="7" borderId="22" xfId="0" applyNumberFormat="1" applyFont="1" applyFill="1" applyBorder="1" applyAlignment="1" applyProtection="1">
      <alignment horizontal="center" vertical="top" wrapText="1" readingOrder="1"/>
      <protection locked="0"/>
    </xf>
    <xf numFmtId="165" fontId="13" fillId="7" borderId="22" xfId="0" applyNumberFormat="1" applyFont="1" applyFill="1" applyBorder="1" applyAlignment="1" applyProtection="1">
      <alignment horizontal="right" vertical="top" wrapText="1" readingOrder="1"/>
    </xf>
    <xf numFmtId="167" fontId="13" fillId="7" borderId="22" xfId="0" applyNumberFormat="1" applyFont="1" applyFill="1" applyBorder="1" applyAlignment="1" applyProtection="1">
      <alignment horizontal="right" vertical="top" wrapText="1" readingOrder="1"/>
    </xf>
    <xf numFmtId="0" fontId="13" fillId="7" borderId="19" xfId="0" applyNumberFormat="1" applyFont="1" applyFill="1" applyBorder="1" applyAlignment="1" applyProtection="1">
      <alignment horizontal="left" vertical="top" wrapText="1" readingOrder="1"/>
      <protection locked="0"/>
    </xf>
    <xf numFmtId="0" fontId="14" fillId="7" borderId="19" xfId="0" applyNumberFormat="1" applyFont="1" applyFill="1" applyBorder="1" applyAlignment="1" applyProtection="1">
      <alignment horizontal="center" vertical="top" wrapText="1" readingOrder="1"/>
      <protection locked="0"/>
    </xf>
    <xf numFmtId="0" fontId="13" fillId="7" borderId="19" xfId="0" applyNumberFormat="1" applyFont="1" applyFill="1" applyBorder="1" applyAlignment="1" applyProtection="1">
      <alignment horizontal="center" vertical="top" wrapText="1" readingOrder="1"/>
      <protection locked="0"/>
    </xf>
    <xf numFmtId="0" fontId="11" fillId="7" borderId="33" xfId="0" applyNumberFormat="1" applyFont="1" applyFill="1" applyBorder="1" applyAlignment="1" applyProtection="1">
      <alignment horizontal="left" vertical="top" wrapText="1" readingOrder="1"/>
      <protection locked="0"/>
    </xf>
    <xf numFmtId="0" fontId="10" fillId="8" borderId="35" xfId="0" applyNumberFormat="1" applyFont="1" applyFill="1" applyBorder="1" applyAlignment="1" applyProtection="1">
      <alignment horizontal="left" vertical="top" wrapText="1" readingOrder="1"/>
      <protection locked="0"/>
    </xf>
    <xf numFmtId="0" fontId="13" fillId="8" borderId="36" xfId="0" applyNumberFormat="1" applyFont="1" applyFill="1" applyBorder="1" applyAlignment="1" applyProtection="1">
      <alignment horizontal="center" vertical="top" wrapText="1" readingOrder="1"/>
      <protection locked="0"/>
    </xf>
    <xf numFmtId="0" fontId="11" fillId="8" borderId="36" xfId="0" applyNumberFormat="1" applyFont="1" applyFill="1" applyBorder="1" applyAlignment="1" applyProtection="1">
      <alignment horizontal="center" vertical="top" wrapText="1" readingOrder="1"/>
      <protection locked="0"/>
    </xf>
    <xf numFmtId="165" fontId="11" fillId="8" borderId="36" xfId="0" applyNumberFormat="1" applyFont="1" applyFill="1" applyBorder="1" applyAlignment="1" applyProtection="1">
      <alignment horizontal="right" vertical="top" wrapText="1" readingOrder="1"/>
      <protection locked="0"/>
    </xf>
    <xf numFmtId="167" fontId="11" fillId="8" borderId="36" xfId="0" applyNumberFormat="1" applyFont="1" applyFill="1" applyBorder="1" applyAlignment="1" applyProtection="1">
      <alignment horizontal="right" vertical="top" wrapText="1" readingOrder="1"/>
      <protection locked="0"/>
    </xf>
    <xf numFmtId="0" fontId="13" fillId="8" borderId="26" xfId="0" applyNumberFormat="1" applyFont="1" applyFill="1" applyBorder="1" applyAlignment="1" applyProtection="1">
      <alignment horizontal="left" vertical="top" wrapText="1" readingOrder="1"/>
      <protection locked="0"/>
    </xf>
    <xf numFmtId="0" fontId="14" fillId="8" borderId="26" xfId="0" applyNumberFormat="1" applyFont="1" applyFill="1" applyBorder="1" applyAlignment="1" applyProtection="1">
      <alignment horizontal="center" vertical="top" wrapText="1" readingOrder="1"/>
      <protection locked="0"/>
    </xf>
    <xf numFmtId="1" fontId="13" fillId="8" borderId="26" xfId="0" applyNumberFormat="1" applyFont="1" applyFill="1" applyBorder="1" applyAlignment="1" applyProtection="1">
      <alignment horizontal="center" vertical="top" wrapText="1" readingOrder="1"/>
      <protection locked="0"/>
    </xf>
    <xf numFmtId="0" fontId="11" fillId="8" borderId="26" xfId="0" applyNumberFormat="1" applyFont="1" applyFill="1" applyBorder="1" applyAlignment="1" applyProtection="1">
      <alignment horizontal="left" vertical="top" wrapText="1" readingOrder="1"/>
      <protection locked="0"/>
    </xf>
    <xf numFmtId="0" fontId="11" fillId="8" borderId="37" xfId="0" applyNumberFormat="1" applyFont="1" applyFill="1" applyBorder="1" applyAlignment="1" applyProtection="1">
      <alignment horizontal="left" vertical="top" wrapText="1" readingOrder="1"/>
      <protection locked="0"/>
    </xf>
    <xf numFmtId="0" fontId="14" fillId="9" borderId="18" xfId="0" applyNumberFormat="1" applyFont="1" applyFill="1" applyBorder="1" applyAlignment="1" applyProtection="1">
      <alignment horizontal="left" vertical="top" wrapText="1" readingOrder="1"/>
      <protection locked="0"/>
    </xf>
    <xf numFmtId="0" fontId="13" fillId="9" borderId="19" xfId="0" applyNumberFormat="1" applyFont="1" applyFill="1" applyBorder="1" applyAlignment="1" applyProtection="1">
      <alignment vertical="top" wrapText="1" readingOrder="1"/>
      <protection locked="0"/>
    </xf>
    <xf numFmtId="0" fontId="13" fillId="9" borderId="19" xfId="0" applyNumberFormat="1" applyFont="1" applyFill="1" applyBorder="1" applyAlignment="1" applyProtection="1">
      <alignment horizontal="center" vertical="top" wrapText="1" readingOrder="1"/>
      <protection locked="0"/>
    </xf>
    <xf numFmtId="165" fontId="13" fillId="9" borderId="19" xfId="0" applyNumberFormat="1" applyFont="1" applyFill="1" applyBorder="1" applyAlignment="1" applyProtection="1">
      <alignment horizontal="right" vertical="top" wrapText="1" readingOrder="1"/>
    </xf>
    <xf numFmtId="167" fontId="13" fillId="9" borderId="19" xfId="0" applyNumberFormat="1" applyFont="1" applyFill="1" applyBorder="1" applyAlignment="1" applyProtection="1">
      <alignment horizontal="right" vertical="top" wrapText="1" readingOrder="1"/>
    </xf>
    <xf numFmtId="0" fontId="13" fillId="9" borderId="19" xfId="0" applyNumberFormat="1" applyFont="1" applyFill="1" applyBorder="1" applyAlignment="1" applyProtection="1">
      <alignment horizontal="left" vertical="top" wrapText="1" readingOrder="1"/>
      <protection locked="0"/>
    </xf>
    <xf numFmtId="0" fontId="14" fillId="9" borderId="19" xfId="0" applyNumberFormat="1" applyFont="1" applyFill="1" applyBorder="1" applyAlignment="1" applyProtection="1">
      <alignment horizontal="center" vertical="top" wrapText="1" readingOrder="1"/>
      <protection locked="0"/>
    </xf>
    <xf numFmtId="0" fontId="13" fillId="9" borderId="33" xfId="0" applyNumberFormat="1" applyFont="1" applyFill="1" applyBorder="1" applyAlignment="1" applyProtection="1">
      <alignment horizontal="left" vertical="top" wrapText="1" readingOrder="1"/>
      <protection locked="0"/>
    </xf>
    <xf numFmtId="0" fontId="10" fillId="0" borderId="18" xfId="0" applyNumberFormat="1" applyFont="1" applyFill="1" applyBorder="1" applyAlignment="1" applyProtection="1">
      <alignment horizontal="left" vertical="top" wrapText="1" readingOrder="1"/>
      <protection locked="0"/>
    </xf>
    <xf numFmtId="0" fontId="11" fillId="0" borderId="19" xfId="0" applyNumberFormat="1" applyFont="1" applyFill="1" applyBorder="1" applyAlignment="1" applyProtection="1">
      <alignment vertical="top" wrapText="1" readingOrder="1"/>
      <protection locked="0"/>
    </xf>
    <xf numFmtId="0" fontId="13" fillId="0" borderId="19" xfId="0" applyNumberFormat="1" applyFont="1" applyFill="1" applyBorder="1" applyAlignment="1" applyProtection="1">
      <alignment horizontal="center" vertical="top" wrapText="1" readingOrder="1"/>
      <protection locked="0"/>
    </xf>
    <xf numFmtId="0" fontId="11" fillId="0" borderId="19" xfId="0" applyNumberFormat="1" applyFont="1" applyFill="1" applyBorder="1" applyAlignment="1" applyProtection="1">
      <alignment horizontal="center" vertical="top" wrapText="1" readingOrder="1"/>
      <protection locked="0"/>
    </xf>
    <xf numFmtId="165" fontId="11" fillId="0" borderId="19" xfId="0" applyNumberFormat="1" applyFont="1" applyFill="1" applyBorder="1" applyAlignment="1" applyProtection="1">
      <alignment horizontal="right" vertical="top" wrapText="1" readingOrder="1"/>
    </xf>
    <xf numFmtId="167" fontId="11" fillId="0" borderId="19" xfId="0" applyNumberFormat="1" applyFont="1" applyFill="1" applyBorder="1" applyAlignment="1" applyProtection="1">
      <alignment horizontal="right" vertical="top" wrapText="1" readingOrder="1"/>
    </xf>
    <xf numFmtId="0" fontId="11" fillId="0" borderId="19" xfId="0" applyNumberFormat="1" applyFont="1" applyFill="1" applyBorder="1" applyAlignment="1" applyProtection="1">
      <alignment horizontal="left" vertical="top" wrapText="1" readingOrder="1"/>
      <protection locked="0"/>
    </xf>
    <xf numFmtId="0" fontId="10" fillId="0" borderId="19" xfId="0" applyNumberFormat="1" applyFont="1" applyFill="1" applyBorder="1" applyAlignment="1" applyProtection="1">
      <alignment horizontal="center" vertical="top" wrapText="1" readingOrder="1"/>
      <protection locked="0"/>
    </xf>
    <xf numFmtId="0" fontId="11" fillId="0" borderId="33" xfId="0" applyNumberFormat="1" applyFont="1" applyFill="1" applyBorder="1" applyAlignment="1" applyProtection="1">
      <alignment horizontal="left" vertical="top" wrapText="1" readingOrder="1"/>
      <protection locked="0"/>
    </xf>
    <xf numFmtId="0" fontId="13" fillId="0" borderId="22" xfId="0" applyNumberFormat="1" applyFont="1" applyFill="1" applyBorder="1" applyAlignment="1" applyProtection="1">
      <alignment horizontal="center" vertical="top" wrapText="1" readingOrder="1"/>
      <protection locked="0"/>
    </xf>
    <xf numFmtId="0" fontId="11" fillId="0" borderId="22" xfId="0" applyNumberFormat="1" applyFont="1" applyFill="1" applyBorder="1" applyAlignment="1" applyProtection="1">
      <alignment horizontal="center" vertical="top" wrapText="1" readingOrder="1"/>
      <protection locked="0"/>
    </xf>
    <xf numFmtId="165" fontId="13" fillId="0" borderId="22" xfId="0" applyNumberFormat="1" applyFont="1" applyFill="1" applyBorder="1" applyAlignment="1" applyProtection="1">
      <alignment horizontal="right" vertical="top" wrapText="1" readingOrder="1"/>
    </xf>
    <xf numFmtId="0" fontId="13" fillId="0" borderId="27" xfId="0" applyNumberFormat="1" applyFont="1" applyFill="1" applyBorder="1" applyAlignment="1" applyProtection="1">
      <alignment horizontal="center" vertical="top" wrapText="1" readingOrder="1"/>
      <protection locked="0"/>
    </xf>
    <xf numFmtId="0" fontId="11" fillId="0" borderId="26" xfId="0" applyNumberFormat="1" applyFont="1" applyFill="1" applyBorder="1" applyAlignment="1" applyProtection="1">
      <alignment horizontal="center" vertical="top" wrapText="1" readingOrder="1"/>
      <protection locked="0"/>
    </xf>
    <xf numFmtId="165" fontId="11" fillId="0" borderId="26" xfId="0" applyNumberFormat="1" applyFont="1" applyFill="1" applyBorder="1" applyAlignment="1" applyProtection="1">
      <alignment horizontal="right" vertical="top" wrapText="1" readingOrder="1"/>
      <protection locked="0"/>
    </xf>
    <xf numFmtId="167" fontId="11" fillId="0" borderId="26" xfId="0" applyNumberFormat="1" applyFont="1" applyFill="1" applyBorder="1" applyAlignment="1" applyProtection="1">
      <alignment horizontal="right" vertical="top" wrapText="1" readingOrder="1"/>
      <protection locked="0"/>
    </xf>
    <xf numFmtId="0" fontId="11" fillId="3" borderId="26" xfId="0" applyNumberFormat="1" applyFont="1" applyFill="1" applyBorder="1" applyAlignment="1" applyProtection="1">
      <alignment horizontal="left" vertical="top" wrapText="1" readingOrder="1"/>
      <protection locked="0"/>
    </xf>
    <xf numFmtId="0" fontId="10" fillId="3" borderId="26" xfId="0" applyNumberFormat="1" applyFont="1" applyFill="1" applyBorder="1" applyAlignment="1" applyProtection="1">
      <alignment horizontal="center" vertical="top" wrapText="1" readingOrder="1"/>
      <protection locked="0"/>
    </xf>
    <xf numFmtId="0" fontId="11" fillId="3" borderId="26" xfId="0" applyNumberFormat="1" applyFont="1" applyFill="1" applyBorder="1" applyAlignment="1" applyProtection="1">
      <alignment horizontal="center" vertical="top" wrapText="1" readingOrder="1"/>
      <protection locked="0"/>
    </xf>
    <xf numFmtId="0" fontId="11" fillId="3" borderId="37" xfId="0" applyNumberFormat="1" applyFont="1" applyFill="1" applyBorder="1" applyAlignment="1" applyProtection="1">
      <alignment horizontal="left" vertical="top" wrapText="1" readingOrder="1"/>
      <protection locked="0"/>
    </xf>
    <xf numFmtId="0" fontId="10" fillId="0" borderId="38" xfId="0" applyNumberFormat="1" applyFont="1" applyFill="1" applyBorder="1" applyAlignment="1" applyProtection="1">
      <alignment horizontal="left" vertical="top" wrapText="1" readingOrder="1"/>
      <protection locked="0"/>
    </xf>
    <xf numFmtId="0" fontId="11" fillId="0" borderId="27" xfId="0" applyNumberFormat="1" applyFont="1" applyFill="1" applyBorder="1" applyAlignment="1" applyProtection="1">
      <alignment vertical="top" wrapText="1" readingOrder="1"/>
      <protection locked="0"/>
    </xf>
    <xf numFmtId="0" fontId="11" fillId="0" borderId="26" xfId="0" applyNumberFormat="1" applyFont="1" applyFill="1" applyBorder="1" applyAlignment="1" applyProtection="1">
      <alignment horizontal="left" vertical="top" wrapText="1" readingOrder="1"/>
      <protection locked="0"/>
    </xf>
    <xf numFmtId="0" fontId="10" fillId="0" borderId="26" xfId="0" applyNumberFormat="1" applyFont="1" applyFill="1" applyBorder="1" applyAlignment="1" applyProtection="1">
      <alignment horizontal="center" vertical="top" wrapText="1" readingOrder="1"/>
      <protection locked="0"/>
    </xf>
    <xf numFmtId="0" fontId="11" fillId="0" borderId="37" xfId="0" applyNumberFormat="1" applyFont="1" applyFill="1" applyBorder="1" applyAlignment="1" applyProtection="1">
      <alignment horizontal="left" vertical="top" wrapText="1" readingOrder="1"/>
      <protection locked="0"/>
    </xf>
    <xf numFmtId="0" fontId="13" fillId="0" borderId="36" xfId="0" applyNumberFormat="1" applyFont="1" applyFill="1" applyBorder="1" applyAlignment="1" applyProtection="1">
      <alignment horizontal="center" vertical="top" wrapText="1" readingOrder="1"/>
      <protection locked="0"/>
    </xf>
    <xf numFmtId="165" fontId="11" fillId="0" borderId="19" xfId="0" applyNumberFormat="1" applyFont="1" applyFill="1" applyBorder="1" applyAlignment="1" applyProtection="1">
      <alignment horizontal="right" vertical="top" wrapText="1" readingOrder="1"/>
      <protection locked="0"/>
    </xf>
    <xf numFmtId="167" fontId="11" fillId="0" borderId="19" xfId="0" applyNumberFormat="1" applyFont="1" applyFill="1" applyBorder="1" applyAlignment="1" applyProtection="1">
      <alignment horizontal="right" vertical="top" wrapText="1" readingOrder="1"/>
      <protection locked="0"/>
    </xf>
    <xf numFmtId="165" fontId="11" fillId="0" borderId="22" xfId="0" applyNumberFormat="1" applyFont="1" applyFill="1" applyBorder="1" applyAlignment="1" applyProtection="1">
      <alignment horizontal="right" vertical="top" wrapText="1" readingOrder="1"/>
    </xf>
    <xf numFmtId="0" fontId="11" fillId="0" borderId="36" xfId="0" applyNumberFormat="1" applyFont="1" applyFill="1" applyBorder="1" applyAlignment="1" applyProtection="1">
      <alignment horizontal="center" vertical="top" wrapText="1" readingOrder="1"/>
      <protection locked="0"/>
    </xf>
    <xf numFmtId="165" fontId="11" fillId="0" borderId="36" xfId="0" applyNumberFormat="1" applyFont="1" applyFill="1" applyBorder="1" applyAlignment="1" applyProtection="1">
      <alignment horizontal="right" vertical="top" wrapText="1" readingOrder="1"/>
      <protection locked="0"/>
    </xf>
    <xf numFmtId="0" fontId="10" fillId="0" borderId="34" xfId="0" applyNumberFormat="1" applyFont="1" applyFill="1" applyBorder="1" applyAlignment="1" applyProtection="1">
      <alignment horizontal="left" vertical="top" wrapText="1" readingOrder="1"/>
      <protection locked="0"/>
    </xf>
    <xf numFmtId="0" fontId="11" fillId="8" borderId="22" xfId="0" applyNumberFormat="1" applyFont="1" applyFill="1" applyBorder="1" applyAlignment="1" applyProtection="1">
      <alignment vertical="top" wrapText="1" readingOrder="1"/>
      <protection locked="0"/>
    </xf>
    <xf numFmtId="165" fontId="13" fillId="0" borderId="19" xfId="0" applyNumberFormat="1" applyFont="1" applyFill="1" applyBorder="1" applyAlignment="1" applyProtection="1">
      <alignment horizontal="right" vertical="top" wrapText="1" readingOrder="1"/>
    </xf>
    <xf numFmtId="0" fontId="11" fillId="8" borderId="19" xfId="0" applyNumberFormat="1" applyFont="1" applyFill="1" applyBorder="1" applyAlignment="1" applyProtection="1">
      <alignment horizontal="left" vertical="top" wrapText="1" readingOrder="1"/>
      <protection locked="0"/>
    </xf>
    <xf numFmtId="0" fontId="10" fillId="8" borderId="19" xfId="0" applyNumberFormat="1" applyFont="1" applyFill="1" applyBorder="1" applyAlignment="1" applyProtection="1">
      <alignment horizontal="center" vertical="top" wrapText="1" readingOrder="1"/>
      <protection locked="0"/>
    </xf>
    <xf numFmtId="0" fontId="11" fillId="8" borderId="19" xfId="0" applyNumberFormat="1" applyFont="1" applyFill="1" applyBorder="1" applyAlignment="1" applyProtection="1">
      <alignment horizontal="center" vertical="top" wrapText="1" readingOrder="1"/>
      <protection locked="0"/>
    </xf>
    <xf numFmtId="0" fontId="4" fillId="8" borderId="19" xfId="0" applyNumberFormat="1" applyFont="1" applyFill="1" applyBorder="1" applyAlignment="1" applyProtection="1">
      <alignment horizontal="left" vertical="top" wrapText="1" readingOrder="1"/>
      <protection locked="0"/>
    </xf>
    <xf numFmtId="0" fontId="4" fillId="8" borderId="33" xfId="0" applyNumberFormat="1" applyFont="1" applyFill="1" applyBorder="1" applyAlignment="1" applyProtection="1">
      <alignment horizontal="left" vertical="top" wrapText="1" readingOrder="1"/>
      <protection locked="0"/>
    </xf>
    <xf numFmtId="0" fontId="11" fillId="8" borderId="27" xfId="0" applyNumberFormat="1" applyFont="1" applyFill="1" applyBorder="1" applyAlignment="1" applyProtection="1">
      <alignment vertical="top" wrapText="1" readingOrder="1"/>
      <protection locked="0"/>
    </xf>
    <xf numFmtId="0" fontId="10" fillId="8" borderId="26" xfId="0" applyNumberFormat="1" applyFont="1" applyFill="1" applyBorder="1" applyAlignment="1" applyProtection="1">
      <alignment horizontal="center" vertical="top" wrapText="1" readingOrder="1"/>
      <protection locked="0"/>
    </xf>
    <xf numFmtId="0" fontId="11" fillId="8" borderId="26" xfId="0" applyNumberFormat="1" applyFont="1" applyFill="1" applyBorder="1" applyAlignment="1" applyProtection="1">
      <alignment horizontal="center" vertical="top" wrapText="1" readingOrder="1"/>
      <protection locked="0"/>
    </xf>
    <xf numFmtId="0" fontId="4" fillId="8" borderId="26" xfId="0" applyNumberFormat="1" applyFont="1" applyFill="1" applyBorder="1" applyAlignment="1" applyProtection="1">
      <alignment horizontal="left" vertical="top" wrapText="1" readingOrder="1"/>
      <protection locked="0"/>
    </xf>
    <xf numFmtId="0" fontId="4" fillId="8" borderId="37" xfId="0" applyNumberFormat="1" applyFont="1" applyFill="1" applyBorder="1" applyAlignment="1" applyProtection="1">
      <alignment horizontal="left" vertical="top" wrapText="1" readingOrder="1"/>
      <protection locked="0"/>
    </xf>
    <xf numFmtId="0" fontId="10" fillId="0" borderId="39" xfId="0" applyNumberFormat="1" applyFont="1" applyFill="1" applyBorder="1" applyAlignment="1" applyProtection="1">
      <alignment horizontal="left" vertical="top" wrapText="1" readingOrder="1"/>
      <protection locked="0"/>
    </xf>
    <xf numFmtId="0" fontId="11" fillId="8" borderId="36" xfId="0" applyNumberFormat="1" applyFont="1" applyFill="1" applyBorder="1" applyAlignment="1" applyProtection="1">
      <alignment vertical="top" wrapText="1" readingOrder="1"/>
      <protection locked="0"/>
    </xf>
    <xf numFmtId="0" fontId="13" fillId="0" borderId="31" xfId="0" applyNumberFormat="1" applyFont="1" applyFill="1" applyBorder="1" applyAlignment="1" applyProtection="1">
      <alignment horizontal="center" vertical="top" wrapText="1" readingOrder="1"/>
      <protection locked="0"/>
    </xf>
    <xf numFmtId="0" fontId="11" fillId="0" borderId="22" xfId="0" applyNumberFormat="1" applyFont="1" applyFill="1" applyBorder="1" applyAlignment="1" applyProtection="1">
      <alignment vertical="top" wrapText="1" readingOrder="1"/>
      <protection locked="0"/>
    </xf>
    <xf numFmtId="0" fontId="11" fillId="10" borderId="19" xfId="0" applyNumberFormat="1" applyFont="1" applyFill="1" applyBorder="1" applyAlignment="1" applyProtection="1">
      <alignment horizontal="left" vertical="top" wrapText="1" readingOrder="1"/>
      <protection locked="0"/>
    </xf>
    <xf numFmtId="0" fontId="10" fillId="10" borderId="19" xfId="0" applyNumberFormat="1" applyFont="1" applyFill="1" applyBorder="1" applyAlignment="1" applyProtection="1">
      <alignment horizontal="center" vertical="top" wrapText="1" readingOrder="1"/>
      <protection locked="0"/>
    </xf>
    <xf numFmtId="0" fontId="11" fillId="10" borderId="19" xfId="0" applyNumberFormat="1" applyFont="1" applyFill="1" applyBorder="1" applyAlignment="1" applyProtection="1">
      <alignment horizontal="center" vertical="top" wrapText="1" readingOrder="1"/>
      <protection locked="0"/>
    </xf>
    <xf numFmtId="0" fontId="11" fillId="10" borderId="33" xfId="0" applyNumberFormat="1" applyFont="1" applyFill="1" applyBorder="1" applyAlignment="1" applyProtection="1">
      <alignment horizontal="left" vertical="top" wrapText="1" readingOrder="1"/>
      <protection locked="0"/>
    </xf>
    <xf numFmtId="0" fontId="11" fillId="0" borderId="27" xfId="0" applyNumberFormat="1" applyFont="1" applyFill="1" applyBorder="1" applyAlignment="1" applyProtection="1">
      <alignment horizontal="center" vertical="top" wrapText="1" readingOrder="1"/>
      <protection locked="0"/>
    </xf>
    <xf numFmtId="165" fontId="11" fillId="0" borderId="27" xfId="0" applyNumberFormat="1" applyFont="1" applyFill="1" applyBorder="1" applyAlignment="1" applyProtection="1">
      <alignment horizontal="right" vertical="top" wrapText="1" readingOrder="1"/>
      <protection locked="0"/>
    </xf>
    <xf numFmtId="0" fontId="11" fillId="10" borderId="26" xfId="0" applyNumberFormat="1" applyFont="1" applyFill="1" applyBorder="1" applyAlignment="1" applyProtection="1">
      <alignment horizontal="left" vertical="top" wrapText="1" readingOrder="1"/>
      <protection locked="0"/>
    </xf>
    <xf numFmtId="0" fontId="10" fillId="10" borderId="26" xfId="0" applyNumberFormat="1" applyFont="1" applyFill="1" applyBorder="1" applyAlignment="1" applyProtection="1">
      <alignment horizontal="center" vertical="top" wrapText="1" readingOrder="1"/>
      <protection locked="0"/>
    </xf>
    <xf numFmtId="0" fontId="11" fillId="10" borderId="26" xfId="0" applyNumberFormat="1" applyFont="1" applyFill="1" applyBorder="1" applyAlignment="1" applyProtection="1">
      <alignment horizontal="center" vertical="top" wrapText="1" readingOrder="1"/>
      <protection locked="0"/>
    </xf>
    <xf numFmtId="0" fontId="11" fillId="10" borderId="37" xfId="0" applyNumberFormat="1" applyFont="1" applyFill="1" applyBorder="1" applyAlignment="1" applyProtection="1">
      <alignment horizontal="left" vertical="top" wrapText="1" readingOrder="1"/>
      <protection locked="0"/>
    </xf>
    <xf numFmtId="0" fontId="11" fillId="0" borderId="36" xfId="0" applyNumberFormat="1" applyFont="1" applyFill="1" applyBorder="1" applyAlignment="1" applyProtection="1">
      <alignment vertical="top" wrapText="1" readingOrder="1"/>
      <protection locked="0"/>
    </xf>
    <xf numFmtId="0" fontId="10" fillId="0" borderId="25" xfId="0" applyNumberFormat="1" applyFont="1" applyFill="1" applyBorder="1" applyAlignment="1" applyProtection="1">
      <alignment horizontal="left" vertical="top" wrapText="1" readingOrder="1"/>
      <protection locked="0"/>
    </xf>
    <xf numFmtId="0" fontId="11" fillId="0" borderId="26" xfId="0" applyNumberFormat="1" applyFont="1" applyFill="1" applyBorder="1" applyAlignment="1" applyProtection="1">
      <alignment vertical="top" wrapText="1" readingOrder="1"/>
      <protection locked="0"/>
    </xf>
    <xf numFmtId="0" fontId="13" fillId="0" borderId="26" xfId="0" applyNumberFormat="1" applyFont="1" applyFill="1" applyBorder="1" applyAlignment="1" applyProtection="1">
      <alignment horizontal="center" vertical="top" wrapText="1" readingOrder="1"/>
      <protection locked="0"/>
    </xf>
    <xf numFmtId="0" fontId="11" fillId="0" borderId="40" xfId="0" applyNumberFormat="1" applyFont="1" applyFill="1" applyBorder="1" applyAlignment="1" applyProtection="1">
      <alignment horizontal="left" vertical="top" wrapText="1" readingOrder="1"/>
      <protection locked="0"/>
    </xf>
    <xf numFmtId="0" fontId="10" fillId="0" borderId="40" xfId="0" applyNumberFormat="1" applyFont="1" applyFill="1" applyBorder="1" applyAlignment="1" applyProtection="1">
      <alignment horizontal="center" vertical="top" wrapText="1" readingOrder="1"/>
      <protection locked="0"/>
    </xf>
    <xf numFmtId="0" fontId="11" fillId="0" borderId="40" xfId="0" applyNumberFormat="1" applyFont="1" applyFill="1" applyBorder="1" applyAlignment="1" applyProtection="1">
      <alignment horizontal="center" vertical="top" wrapText="1" readingOrder="1"/>
      <protection locked="0"/>
    </xf>
    <xf numFmtId="0" fontId="11" fillId="0" borderId="41" xfId="0" applyNumberFormat="1" applyFont="1" applyFill="1" applyBorder="1" applyAlignment="1" applyProtection="1">
      <alignment horizontal="left" vertical="top" wrapText="1" readingOrder="1"/>
      <protection locked="0"/>
    </xf>
    <xf numFmtId="0" fontId="11" fillId="0" borderId="27" xfId="0" applyNumberFormat="1" applyFont="1" applyFill="1" applyBorder="1" applyAlignment="1" applyProtection="1">
      <alignment horizontal="left" vertical="top" wrapText="1" readingOrder="1"/>
      <protection locked="0"/>
    </xf>
    <xf numFmtId="0" fontId="10" fillId="0" borderId="27" xfId="0" applyNumberFormat="1" applyFont="1" applyFill="1" applyBorder="1" applyAlignment="1" applyProtection="1">
      <alignment horizontal="center" vertical="top" wrapText="1" readingOrder="1"/>
      <protection locked="0"/>
    </xf>
    <xf numFmtId="0" fontId="11" fillId="0" borderId="28" xfId="0" applyNumberFormat="1" applyFont="1" applyFill="1" applyBorder="1" applyAlignment="1" applyProtection="1">
      <alignment horizontal="left" vertical="top" wrapText="1" readingOrder="1"/>
      <protection locked="0"/>
    </xf>
    <xf numFmtId="0" fontId="11" fillId="0" borderId="36" xfId="0" applyNumberFormat="1" applyFont="1" applyFill="1" applyBorder="1" applyAlignment="1" applyProtection="1">
      <alignment horizontal="left" vertical="top" wrapText="1" readingOrder="1"/>
      <protection locked="0"/>
    </xf>
    <xf numFmtId="0" fontId="10" fillId="0" borderId="36" xfId="0" applyNumberFormat="1" applyFont="1" applyFill="1" applyBorder="1" applyAlignment="1" applyProtection="1">
      <alignment horizontal="center" vertical="top" wrapText="1" readingOrder="1"/>
      <protection locked="0"/>
    </xf>
    <xf numFmtId="0" fontId="11" fillId="0" borderId="42" xfId="0" applyNumberFormat="1" applyFont="1" applyFill="1" applyBorder="1" applyAlignment="1" applyProtection="1">
      <alignment horizontal="left" vertical="top" wrapText="1" readingOrder="1"/>
      <protection locked="0"/>
    </xf>
    <xf numFmtId="0" fontId="0" fillId="0" borderId="0" xfId="0" applyBorder="1"/>
    <xf numFmtId="0" fontId="10" fillId="0" borderId="35" xfId="0" applyNumberFormat="1" applyFont="1" applyFill="1" applyBorder="1" applyAlignment="1" applyProtection="1">
      <alignment horizontal="left" vertical="top" wrapText="1" readingOrder="1"/>
      <protection locked="0"/>
    </xf>
    <xf numFmtId="165" fontId="11" fillId="0" borderId="40" xfId="0" applyNumberFormat="1" applyFont="1" applyFill="1" applyBorder="1" applyAlignment="1" applyProtection="1">
      <alignment horizontal="right" vertical="top" wrapText="1" readingOrder="1"/>
      <protection locked="0"/>
    </xf>
    <xf numFmtId="167" fontId="11" fillId="0" borderId="40" xfId="0" applyNumberFormat="1" applyFont="1" applyFill="1" applyBorder="1" applyAlignment="1" applyProtection="1">
      <alignment horizontal="right" vertical="top" wrapText="1" readingOrder="1"/>
      <protection locked="0"/>
    </xf>
    <xf numFmtId="0" fontId="10" fillId="0" borderId="44" xfId="0" applyNumberFormat="1" applyFont="1" applyFill="1" applyBorder="1" applyAlignment="1" applyProtection="1">
      <alignment horizontal="left" vertical="top" wrapText="1" readingOrder="1"/>
      <protection locked="0"/>
    </xf>
    <xf numFmtId="0" fontId="13" fillId="0" borderId="45" xfId="0" applyNumberFormat="1" applyFont="1" applyFill="1" applyBorder="1" applyAlignment="1" applyProtection="1">
      <alignment horizontal="center" vertical="top" wrapText="1" readingOrder="1"/>
      <protection locked="0"/>
    </xf>
    <xf numFmtId="0" fontId="11" fillId="0" borderId="46" xfId="0" applyNumberFormat="1" applyFont="1" applyFill="1" applyBorder="1" applyAlignment="1" applyProtection="1">
      <alignment horizontal="center" vertical="top" wrapText="1" readingOrder="1"/>
      <protection locked="0"/>
    </xf>
    <xf numFmtId="165" fontId="11" fillId="0" borderId="46" xfId="0" applyNumberFormat="1" applyFont="1" applyFill="1" applyBorder="1" applyAlignment="1" applyProtection="1">
      <alignment horizontal="right" vertical="top" wrapText="1" readingOrder="1"/>
    </xf>
    <xf numFmtId="167" fontId="11" fillId="0" borderId="46" xfId="0" applyNumberFormat="1" applyFont="1" applyFill="1" applyBorder="1" applyAlignment="1" applyProtection="1">
      <alignment horizontal="right" vertical="top" wrapText="1" readingOrder="1"/>
    </xf>
    <xf numFmtId="0" fontId="11" fillId="0" borderId="45" xfId="0" applyNumberFormat="1" applyFont="1" applyFill="1" applyBorder="1" applyAlignment="1" applyProtection="1">
      <alignment horizontal="left" vertical="top" wrapText="1" readingOrder="1"/>
      <protection locked="0"/>
    </xf>
    <xf numFmtId="0" fontId="10" fillId="0" borderId="45" xfId="0" applyNumberFormat="1" applyFont="1" applyFill="1" applyBorder="1" applyAlignment="1" applyProtection="1">
      <alignment horizontal="center" vertical="top" wrapText="1" readingOrder="1"/>
      <protection locked="0"/>
    </xf>
    <xf numFmtId="0" fontId="11" fillId="0" borderId="45" xfId="0" applyNumberFormat="1" applyFont="1" applyFill="1" applyBorder="1" applyAlignment="1" applyProtection="1">
      <alignment horizontal="center" vertical="top" wrapText="1" readingOrder="1"/>
      <protection locked="0"/>
    </xf>
    <xf numFmtId="0" fontId="11" fillId="0" borderId="47" xfId="0" applyNumberFormat="1" applyFont="1" applyFill="1" applyBorder="1" applyAlignment="1" applyProtection="1">
      <alignment horizontal="left" vertical="top" wrapText="1" readingOrder="1"/>
      <protection locked="0"/>
    </xf>
    <xf numFmtId="0" fontId="10" fillId="0" borderId="12" xfId="0" applyNumberFormat="1" applyFont="1" applyFill="1" applyBorder="1" applyAlignment="1" applyProtection="1">
      <alignment horizontal="left" vertical="top" wrapText="1" readingOrder="1"/>
      <protection locked="0"/>
    </xf>
    <xf numFmtId="0" fontId="13"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11" fillId="0" borderId="17" xfId="0" applyNumberFormat="1" applyFont="1" applyFill="1" applyBorder="1" applyAlignment="1" applyProtection="1">
      <alignment horizontal="left" vertical="top" wrapText="1" readingOrder="1"/>
      <protection locked="0"/>
    </xf>
    <xf numFmtId="165" fontId="13" fillId="0" borderId="46" xfId="0" applyNumberFormat="1" applyFont="1" applyFill="1" applyBorder="1" applyAlignment="1" applyProtection="1">
      <alignment horizontal="right" vertical="top" wrapText="1" readingOrder="1"/>
    </xf>
    <xf numFmtId="0" fontId="11" fillId="0" borderId="43" xfId="0" applyNumberFormat="1" applyFont="1" applyFill="1" applyBorder="1" applyAlignment="1" applyProtection="1">
      <alignment vertical="top" wrapText="1" readingOrder="1"/>
      <protection locked="0"/>
    </xf>
    <xf numFmtId="0" fontId="13" fillId="0" borderId="43" xfId="0" applyNumberFormat="1" applyFont="1" applyFill="1" applyBorder="1" applyAlignment="1" applyProtection="1">
      <alignment horizontal="center" vertical="top" wrapText="1" readingOrder="1"/>
      <protection locked="0"/>
    </xf>
    <xf numFmtId="0" fontId="11" fillId="0" borderId="48" xfId="0" applyNumberFormat="1" applyFont="1" applyFill="1" applyBorder="1" applyAlignment="1" applyProtection="1">
      <alignment horizontal="center" vertical="top" wrapText="1" readingOrder="1"/>
      <protection locked="0"/>
    </xf>
    <xf numFmtId="165" fontId="11" fillId="0" borderId="48" xfId="0" applyNumberFormat="1" applyFont="1" applyFill="1" applyBorder="1" applyAlignment="1" applyProtection="1">
      <alignment horizontal="right" vertical="top" wrapText="1" readingOrder="1"/>
      <protection locked="0"/>
    </xf>
    <xf numFmtId="167" fontId="11" fillId="0" borderId="48" xfId="0" applyNumberFormat="1" applyFont="1" applyFill="1" applyBorder="1" applyAlignment="1" applyProtection="1">
      <alignment horizontal="right" vertical="top" wrapText="1" readingOrder="1"/>
      <protection locked="0"/>
    </xf>
    <xf numFmtId="0" fontId="11" fillId="0" borderId="43" xfId="0" applyNumberFormat="1" applyFont="1" applyFill="1" applyBorder="1" applyAlignment="1" applyProtection="1">
      <alignment horizontal="left" vertical="top" wrapText="1" readingOrder="1"/>
      <protection locked="0"/>
    </xf>
    <xf numFmtId="0" fontId="10" fillId="0" borderId="43" xfId="0" applyNumberFormat="1" applyFont="1" applyFill="1" applyBorder="1" applyAlignment="1" applyProtection="1">
      <alignment horizontal="center" vertical="top" wrapText="1" readingOrder="1"/>
      <protection locked="0"/>
    </xf>
    <xf numFmtId="0" fontId="11" fillId="0" borderId="43" xfId="0" applyNumberFormat="1" applyFont="1" applyFill="1" applyBorder="1" applyAlignment="1" applyProtection="1">
      <alignment horizontal="center" vertical="top" wrapText="1" readingOrder="1"/>
      <protection locked="0"/>
    </xf>
    <xf numFmtId="0" fontId="11" fillId="0" borderId="13" xfId="0" applyNumberFormat="1" applyFont="1" applyFill="1" applyBorder="1" applyAlignment="1" applyProtection="1">
      <alignment horizontal="left" vertical="top" wrapText="1" readingOrder="1"/>
      <protection locked="0"/>
    </xf>
    <xf numFmtId="167" fontId="11" fillId="0" borderId="36" xfId="0" applyNumberFormat="1" applyFont="1" applyFill="1" applyBorder="1" applyAlignment="1" applyProtection="1">
      <alignment horizontal="right" vertical="top" wrapText="1" readingOrder="1"/>
      <protection locked="0"/>
    </xf>
    <xf numFmtId="0" fontId="14" fillId="0" borderId="18" xfId="0" applyNumberFormat="1" applyFont="1" applyFill="1" applyBorder="1" applyAlignment="1" applyProtection="1">
      <alignment horizontal="left" vertical="top" wrapText="1" readingOrder="1"/>
      <protection locked="0"/>
    </xf>
    <xf numFmtId="0" fontId="13" fillId="0" borderId="19" xfId="0" applyNumberFormat="1" applyFont="1" applyFill="1" applyBorder="1" applyAlignment="1" applyProtection="1">
      <alignment vertical="top" wrapText="1" readingOrder="1"/>
      <protection locked="0"/>
    </xf>
    <xf numFmtId="0" fontId="11" fillId="5" borderId="19" xfId="0" applyNumberFormat="1" applyFont="1" applyFill="1" applyBorder="1" applyAlignment="1" applyProtection="1">
      <alignment horizontal="left" vertical="top" wrapText="1" readingOrder="1"/>
      <protection locked="0"/>
    </xf>
    <xf numFmtId="0" fontId="10" fillId="5" borderId="19" xfId="0" applyNumberFormat="1" applyFont="1" applyFill="1" applyBorder="1" applyAlignment="1" applyProtection="1">
      <alignment horizontal="center" vertical="top" wrapText="1" readingOrder="1"/>
      <protection locked="0"/>
    </xf>
    <xf numFmtId="0" fontId="11" fillId="5" borderId="19" xfId="0" applyNumberFormat="1" applyFont="1" applyFill="1" applyBorder="1" applyAlignment="1" applyProtection="1">
      <alignment horizontal="center" vertical="top" wrapText="1" readingOrder="1"/>
      <protection locked="0"/>
    </xf>
    <xf numFmtId="0" fontId="11" fillId="5" borderId="33" xfId="0" applyNumberFormat="1" applyFont="1" applyFill="1" applyBorder="1" applyAlignment="1" applyProtection="1">
      <alignment horizontal="left" vertical="top" wrapText="1" readingOrder="1"/>
      <protection locked="0"/>
    </xf>
    <xf numFmtId="0" fontId="10" fillId="0" borderId="49" xfId="0" applyNumberFormat="1" applyFont="1" applyFill="1" applyBorder="1" applyAlignment="1" applyProtection="1">
      <alignment horizontal="left" vertical="top" wrapText="1" readingOrder="1"/>
      <protection locked="0"/>
    </xf>
    <xf numFmtId="0" fontId="13" fillId="0" borderId="40" xfId="0" applyNumberFormat="1" applyFont="1" applyFill="1" applyBorder="1" applyAlignment="1" applyProtection="1">
      <alignment horizontal="center" vertical="top" wrapText="1" readingOrder="1"/>
      <protection locked="0"/>
    </xf>
    <xf numFmtId="0" fontId="13" fillId="0" borderId="46" xfId="0" applyNumberFormat="1" applyFont="1" applyFill="1" applyBorder="1" applyAlignment="1" applyProtection="1">
      <alignment horizontal="center" vertical="top" wrapText="1" readingOrder="1"/>
      <protection locked="0"/>
    </xf>
    <xf numFmtId="0" fontId="11" fillId="10" borderId="45" xfId="0" applyNumberFormat="1" applyFont="1" applyFill="1" applyBorder="1" applyAlignment="1" applyProtection="1">
      <alignment horizontal="left" vertical="top" wrapText="1" readingOrder="1"/>
      <protection locked="0"/>
    </xf>
    <xf numFmtId="0" fontId="10" fillId="10" borderId="45" xfId="0" applyNumberFormat="1" applyFont="1" applyFill="1" applyBorder="1" applyAlignment="1" applyProtection="1">
      <alignment horizontal="center" vertical="top" wrapText="1" readingOrder="1"/>
      <protection locked="0"/>
    </xf>
    <xf numFmtId="0" fontId="11" fillId="10" borderId="45" xfId="0" applyNumberFormat="1" applyFont="1" applyFill="1" applyBorder="1" applyAlignment="1" applyProtection="1">
      <alignment horizontal="center" vertical="top" wrapText="1" readingOrder="1"/>
      <protection locked="0"/>
    </xf>
    <xf numFmtId="0" fontId="11" fillId="10" borderId="47" xfId="0" applyNumberFormat="1" applyFont="1" applyFill="1" applyBorder="1" applyAlignment="1" applyProtection="1">
      <alignment horizontal="left" vertical="top" wrapText="1" readingOrder="1"/>
      <protection locked="0"/>
    </xf>
    <xf numFmtId="0" fontId="11" fillId="10" borderId="27" xfId="0" applyNumberFormat="1" applyFont="1" applyFill="1" applyBorder="1" applyAlignment="1" applyProtection="1">
      <alignment horizontal="left" vertical="top" wrapText="1" readingOrder="1"/>
      <protection locked="0"/>
    </xf>
    <xf numFmtId="0" fontId="10" fillId="10" borderId="27" xfId="0" applyNumberFormat="1" applyFont="1" applyFill="1" applyBorder="1" applyAlignment="1" applyProtection="1">
      <alignment horizontal="center" vertical="top" wrapText="1" readingOrder="1"/>
      <protection locked="0"/>
    </xf>
    <xf numFmtId="0" fontId="11" fillId="10" borderId="27" xfId="0" applyNumberFormat="1" applyFont="1" applyFill="1" applyBorder="1" applyAlignment="1" applyProtection="1">
      <alignment horizontal="center" vertical="top" wrapText="1" readingOrder="1"/>
      <protection locked="0"/>
    </xf>
    <xf numFmtId="0" fontId="11" fillId="10" borderId="43" xfId="0" applyNumberFormat="1" applyFont="1" applyFill="1" applyBorder="1" applyAlignment="1" applyProtection="1">
      <alignment horizontal="left" vertical="top" wrapText="1" readingOrder="1"/>
      <protection locked="0"/>
    </xf>
    <xf numFmtId="0" fontId="10" fillId="10" borderId="43" xfId="0" applyNumberFormat="1" applyFont="1" applyFill="1" applyBorder="1" applyAlignment="1" applyProtection="1">
      <alignment horizontal="center" vertical="top" wrapText="1" readingOrder="1"/>
      <protection locked="0"/>
    </xf>
    <xf numFmtId="0" fontId="11" fillId="10" borderId="43" xfId="0" applyNumberFormat="1" applyFont="1" applyFill="1" applyBorder="1" applyAlignment="1" applyProtection="1">
      <alignment horizontal="center" vertical="top" wrapText="1" readingOrder="1"/>
      <protection locked="0"/>
    </xf>
    <xf numFmtId="0" fontId="10" fillId="0" borderId="50" xfId="0" applyNumberFormat="1" applyFont="1" applyFill="1" applyBorder="1" applyAlignment="1" applyProtection="1">
      <alignment horizontal="left" vertical="top" wrapText="1" readingOrder="1"/>
      <protection locked="0"/>
    </xf>
    <xf numFmtId="165" fontId="13" fillId="0" borderId="36" xfId="0" applyNumberFormat="1" applyFont="1" applyFill="1" applyBorder="1" applyAlignment="1" applyProtection="1">
      <alignment horizontal="right" vertical="top" wrapText="1" readingOrder="1"/>
    </xf>
    <xf numFmtId="167" fontId="11" fillId="0" borderId="36" xfId="0" applyNumberFormat="1" applyFont="1" applyFill="1" applyBorder="1" applyAlignment="1" applyProtection="1">
      <alignment horizontal="right" vertical="top" wrapText="1" readingOrder="1"/>
    </xf>
    <xf numFmtId="0" fontId="10" fillId="0" borderId="51" xfId="0" applyNumberFormat="1" applyFont="1" applyFill="1" applyBorder="1" applyAlignment="1" applyProtection="1">
      <alignment horizontal="left" vertical="top" wrapText="1" readingOrder="1"/>
      <protection locked="0"/>
    </xf>
    <xf numFmtId="0" fontId="11" fillId="0" borderId="52" xfId="0" applyNumberFormat="1" applyFont="1" applyFill="1" applyBorder="1" applyAlignment="1" applyProtection="1">
      <alignment vertical="top" wrapText="1" readingOrder="1"/>
      <protection locked="0"/>
    </xf>
    <xf numFmtId="0" fontId="13" fillId="0" borderId="52" xfId="0" applyNumberFormat="1" applyFont="1" applyFill="1" applyBorder="1" applyAlignment="1" applyProtection="1">
      <alignment horizontal="center" vertical="top" wrapText="1" readingOrder="1"/>
      <protection locked="0"/>
    </xf>
    <xf numFmtId="0" fontId="11" fillId="0" borderId="52" xfId="0" applyNumberFormat="1" applyFont="1" applyFill="1" applyBorder="1" applyAlignment="1" applyProtection="1">
      <alignment horizontal="center" vertical="top" wrapText="1" readingOrder="1"/>
      <protection locked="0"/>
    </xf>
    <xf numFmtId="165" fontId="11" fillId="0" borderId="52" xfId="0" applyNumberFormat="1" applyFont="1" applyFill="1" applyBorder="1" applyAlignment="1" applyProtection="1">
      <alignment horizontal="right" vertical="top" wrapText="1" readingOrder="1"/>
    </xf>
    <xf numFmtId="167" fontId="11" fillId="0" borderId="52" xfId="0" applyNumberFormat="1" applyFont="1" applyFill="1" applyBorder="1" applyAlignment="1" applyProtection="1">
      <alignment horizontal="right" vertical="top" wrapText="1" readingOrder="1"/>
    </xf>
    <xf numFmtId="0" fontId="11" fillId="0" borderId="52" xfId="0" applyNumberFormat="1" applyFont="1" applyFill="1" applyBorder="1" applyAlignment="1" applyProtection="1">
      <alignment horizontal="left" vertical="top" wrapText="1" readingOrder="1"/>
      <protection locked="0"/>
    </xf>
    <xf numFmtId="0" fontId="10" fillId="0" borderId="52" xfId="0" applyNumberFormat="1" applyFont="1" applyFill="1" applyBorder="1" applyAlignment="1" applyProtection="1">
      <alignment horizontal="center" vertical="top" wrapText="1" readingOrder="1"/>
      <protection locked="0"/>
    </xf>
    <xf numFmtId="0" fontId="11" fillId="0" borderId="53" xfId="0" applyNumberFormat="1" applyFont="1" applyFill="1" applyBorder="1" applyAlignment="1" applyProtection="1">
      <alignment horizontal="left" vertical="top" wrapText="1" readingOrder="1"/>
      <protection locked="0"/>
    </xf>
    <xf numFmtId="0" fontId="13" fillId="0" borderId="0" xfId="0" applyNumberFormat="1" applyFont="1" applyFill="1" applyAlignment="1" applyProtection="1">
      <alignment wrapText="1"/>
    </xf>
    <xf numFmtId="0" fontId="11" fillId="5" borderId="19" xfId="0" applyNumberFormat="1" applyFont="1" applyFill="1" applyBorder="1" applyAlignment="1" applyProtection="1">
      <alignment vertical="top" wrapText="1" readingOrder="1"/>
      <protection locked="0"/>
    </xf>
    <xf numFmtId="0" fontId="11" fillId="5" borderId="26" xfId="0" applyNumberFormat="1" applyFont="1" applyFill="1" applyBorder="1" applyAlignment="1" applyProtection="1">
      <alignment horizontal="left" vertical="top" wrapText="1" readingOrder="1"/>
      <protection locked="0"/>
    </xf>
    <xf numFmtId="0" fontId="10" fillId="5" borderId="26" xfId="0" applyNumberFormat="1" applyFont="1" applyFill="1" applyBorder="1" applyAlignment="1" applyProtection="1">
      <alignment horizontal="center" vertical="top" wrapText="1" readingOrder="1"/>
      <protection locked="0"/>
    </xf>
    <xf numFmtId="0" fontId="11" fillId="5" borderId="26" xfId="0" applyNumberFormat="1" applyFont="1" applyFill="1" applyBorder="1" applyAlignment="1" applyProtection="1">
      <alignment horizontal="center" vertical="top" wrapText="1" readingOrder="1"/>
      <protection locked="0"/>
    </xf>
    <xf numFmtId="0" fontId="14" fillId="0" borderId="34" xfId="0" applyNumberFormat="1" applyFont="1" applyFill="1" applyBorder="1" applyAlignment="1" applyProtection="1">
      <alignment horizontal="left" vertical="top" wrapText="1" readingOrder="1"/>
      <protection locked="0"/>
    </xf>
    <xf numFmtId="0" fontId="13" fillId="0" borderId="22" xfId="0" applyNumberFormat="1" applyFont="1" applyFill="1" applyBorder="1" applyAlignment="1" applyProtection="1">
      <alignment vertical="top" wrapText="1" readingOrder="1"/>
      <protection locked="0"/>
    </xf>
    <xf numFmtId="167" fontId="11" fillId="0" borderId="22" xfId="0" applyNumberFormat="1" applyFont="1" applyFill="1" applyBorder="1" applyAlignment="1" applyProtection="1">
      <alignment horizontal="right" vertical="top" wrapText="1" readingOrder="1"/>
    </xf>
    <xf numFmtId="0" fontId="11" fillId="0" borderId="22" xfId="0" applyNumberFormat="1" applyFont="1" applyFill="1" applyBorder="1" applyAlignment="1" applyProtection="1">
      <alignment horizontal="left" vertical="top" wrapText="1" readingOrder="1"/>
      <protection locked="0"/>
    </xf>
    <xf numFmtId="0" fontId="10" fillId="0" borderId="22" xfId="0" applyNumberFormat="1" applyFont="1" applyFill="1" applyBorder="1" applyAlignment="1" applyProtection="1">
      <alignment horizontal="center" vertical="top" wrapText="1" readingOrder="1"/>
      <protection locked="0"/>
    </xf>
    <xf numFmtId="0" fontId="11" fillId="0" borderId="23" xfId="0" applyNumberFormat="1" applyFont="1" applyFill="1" applyBorder="1" applyAlignment="1" applyProtection="1">
      <alignment horizontal="left" vertical="top" wrapText="1" readingOrder="1"/>
      <protection locked="0"/>
    </xf>
    <xf numFmtId="0" fontId="10" fillId="0" borderId="54" xfId="0" applyNumberFormat="1" applyFont="1" applyFill="1" applyBorder="1" applyAlignment="1" applyProtection="1">
      <alignment horizontal="left" vertical="top" wrapText="1" readingOrder="1"/>
      <protection locked="0"/>
    </xf>
    <xf numFmtId="0" fontId="13" fillId="0" borderId="56" xfId="0" applyNumberFormat="1" applyFont="1" applyFill="1" applyBorder="1" applyAlignment="1" applyProtection="1">
      <alignment horizontal="center" vertical="top" wrapText="1" readingOrder="1"/>
      <protection locked="0"/>
    </xf>
    <xf numFmtId="165" fontId="13" fillId="0" borderId="56" xfId="0" applyNumberFormat="1" applyFont="1" applyFill="1" applyBorder="1" applyAlignment="1" applyProtection="1">
      <alignment horizontal="right" vertical="top" wrapText="1" readingOrder="1"/>
    </xf>
    <xf numFmtId="167" fontId="11" fillId="0" borderId="56" xfId="0" applyNumberFormat="1" applyFont="1" applyFill="1" applyBorder="1" applyAlignment="1" applyProtection="1">
      <alignment horizontal="right" vertical="top" wrapText="1" readingOrder="1"/>
    </xf>
    <xf numFmtId="0" fontId="11" fillId="0" borderId="56" xfId="0" applyNumberFormat="1" applyFont="1" applyFill="1" applyBorder="1" applyAlignment="1" applyProtection="1">
      <alignment horizontal="left" vertical="top" wrapText="1" readingOrder="1"/>
      <protection locked="0"/>
    </xf>
    <xf numFmtId="0" fontId="10" fillId="0" borderId="56" xfId="0" applyNumberFormat="1" applyFont="1" applyFill="1" applyBorder="1" applyAlignment="1" applyProtection="1">
      <alignment horizontal="center" vertical="top" wrapText="1" readingOrder="1"/>
      <protection locked="0"/>
    </xf>
    <xf numFmtId="0" fontId="11" fillId="0" borderId="56" xfId="0" applyNumberFormat="1" applyFont="1" applyFill="1" applyBorder="1" applyAlignment="1" applyProtection="1">
      <alignment horizontal="center" vertical="top" wrapText="1" readingOrder="1"/>
      <protection locked="0"/>
    </xf>
    <xf numFmtId="0" fontId="11" fillId="0" borderId="57" xfId="0" applyNumberFormat="1" applyFont="1" applyFill="1" applyBorder="1" applyAlignment="1" applyProtection="1">
      <alignment horizontal="left" vertical="top" wrapText="1" readingOrder="1"/>
      <protection locked="0"/>
    </xf>
    <xf numFmtId="0" fontId="11" fillId="5" borderId="58" xfId="0" applyNumberFormat="1" applyFont="1" applyFill="1" applyBorder="1" applyAlignment="1" applyProtection="1">
      <alignment horizontal="left" vertical="top" wrapText="1" readingOrder="1"/>
      <protection locked="0"/>
    </xf>
    <xf numFmtId="0" fontId="11" fillId="0" borderId="32" xfId="0" applyNumberFormat="1" applyFont="1" applyFill="1" applyBorder="1" applyAlignment="1" applyProtection="1">
      <alignment horizontal="left" vertical="top" wrapText="1" readingOrder="1"/>
      <protection locked="0"/>
    </xf>
    <xf numFmtId="0" fontId="11" fillId="10" borderId="59" xfId="0" applyNumberFormat="1" applyFont="1" applyFill="1" applyBorder="1" applyAlignment="1" applyProtection="1">
      <alignment horizontal="left" vertical="top" wrapText="1" readingOrder="1"/>
      <protection locked="0"/>
    </xf>
    <xf numFmtId="0" fontId="11" fillId="10" borderId="60" xfId="0" applyNumberFormat="1" applyFont="1" applyFill="1" applyBorder="1" applyAlignment="1" applyProtection="1">
      <alignment horizontal="left" vertical="top" wrapText="1" readingOrder="1"/>
      <protection locked="0"/>
    </xf>
    <xf numFmtId="0" fontId="11" fillId="10" borderId="40" xfId="0" applyNumberFormat="1" applyFont="1" applyFill="1" applyBorder="1" applyAlignment="1" applyProtection="1">
      <alignment horizontal="left" vertical="top" wrapText="1" readingOrder="1"/>
      <protection locked="0"/>
    </xf>
    <xf numFmtId="0" fontId="10" fillId="10" borderId="40" xfId="0" applyNumberFormat="1" applyFont="1" applyFill="1" applyBorder="1" applyAlignment="1" applyProtection="1">
      <alignment horizontal="center" vertical="top" wrapText="1" readingOrder="1"/>
      <protection locked="0"/>
    </xf>
    <xf numFmtId="0" fontId="11" fillId="10" borderId="40" xfId="0" applyNumberFormat="1" applyFont="1" applyFill="1" applyBorder="1" applyAlignment="1" applyProtection="1">
      <alignment horizontal="center" vertical="top" wrapText="1" readingOrder="1"/>
      <protection locked="0"/>
    </xf>
    <xf numFmtId="0" fontId="11" fillId="10" borderId="36" xfId="0" applyNumberFormat="1" applyFont="1" applyFill="1" applyBorder="1" applyAlignment="1" applyProtection="1">
      <alignment vertical="top" wrapText="1" readingOrder="1"/>
      <protection locked="0"/>
    </xf>
    <xf numFmtId="0" fontId="11" fillId="10" borderId="36" xfId="0" applyNumberFormat="1" applyFont="1" applyFill="1" applyBorder="1" applyAlignment="1" applyProtection="1">
      <alignment horizontal="left" vertical="top" wrapText="1" readingOrder="1"/>
      <protection locked="0"/>
    </xf>
    <xf numFmtId="0" fontId="10" fillId="10" borderId="36" xfId="0" applyNumberFormat="1" applyFont="1" applyFill="1" applyBorder="1" applyAlignment="1" applyProtection="1">
      <alignment horizontal="center" vertical="top" wrapText="1" readingOrder="1"/>
      <protection locked="0"/>
    </xf>
    <xf numFmtId="0" fontId="11" fillId="10" borderId="36" xfId="0" applyNumberFormat="1" applyFont="1" applyFill="1" applyBorder="1" applyAlignment="1" applyProtection="1">
      <alignment horizontal="center" vertical="top" wrapText="1" readingOrder="1"/>
      <protection locked="0"/>
    </xf>
    <xf numFmtId="3" fontId="11" fillId="10" borderId="36" xfId="0" applyNumberFormat="1" applyFont="1" applyFill="1" applyBorder="1" applyAlignment="1" applyProtection="1">
      <alignment horizontal="center" vertical="top" wrapText="1" readingOrder="1"/>
      <protection locked="0"/>
    </xf>
    <xf numFmtId="0" fontId="11" fillId="10" borderId="22" xfId="0" applyNumberFormat="1" applyFont="1" applyFill="1" applyBorder="1" applyAlignment="1" applyProtection="1">
      <alignment horizontal="left" vertical="top" wrapText="1" readingOrder="1"/>
      <protection locked="0"/>
    </xf>
    <xf numFmtId="0" fontId="11" fillId="10" borderId="23" xfId="0" applyNumberFormat="1" applyFont="1" applyFill="1" applyBorder="1" applyAlignment="1" applyProtection="1">
      <alignment horizontal="left" vertical="top" wrapText="1" readingOrder="1"/>
      <protection locked="0"/>
    </xf>
    <xf numFmtId="0" fontId="11" fillId="10" borderId="32" xfId="0" applyNumberFormat="1" applyFont="1" applyFill="1" applyBorder="1" applyAlignment="1" applyProtection="1">
      <alignment horizontal="left" vertical="top" wrapText="1" readingOrder="1"/>
      <protection locked="0"/>
    </xf>
    <xf numFmtId="0" fontId="11" fillId="10" borderId="22" xfId="0" applyNumberFormat="1" applyFont="1" applyFill="1" applyBorder="1" applyAlignment="1" applyProtection="1">
      <alignment vertical="top" wrapText="1" readingOrder="1"/>
      <protection locked="0"/>
    </xf>
    <xf numFmtId="165" fontId="11" fillId="0" borderId="22" xfId="0" applyNumberFormat="1" applyFont="1" applyFill="1" applyBorder="1" applyAlignment="1" applyProtection="1">
      <alignment horizontal="right" vertical="top" wrapText="1" readingOrder="1"/>
      <protection locked="0"/>
    </xf>
    <xf numFmtId="167" fontId="11" fillId="0" borderId="22" xfId="0" applyNumberFormat="1" applyFont="1" applyFill="1" applyBorder="1" applyAlignment="1" applyProtection="1">
      <alignment horizontal="right" vertical="top" wrapText="1" readingOrder="1"/>
      <protection locked="0"/>
    </xf>
    <xf numFmtId="0" fontId="10" fillId="10" borderId="22" xfId="0" applyNumberFormat="1" applyFont="1" applyFill="1" applyBorder="1" applyAlignment="1" applyProtection="1">
      <alignment horizontal="center" vertical="top" wrapText="1" readingOrder="1"/>
      <protection locked="0"/>
    </xf>
    <xf numFmtId="0" fontId="11" fillId="10" borderId="22" xfId="0" applyNumberFormat="1" applyFont="1" applyFill="1" applyBorder="1" applyAlignment="1" applyProtection="1">
      <alignment horizontal="center" vertical="top" wrapText="1" readingOrder="1"/>
      <protection locked="0"/>
    </xf>
    <xf numFmtId="0" fontId="0" fillId="0" borderId="7" xfId="0" applyBorder="1"/>
    <xf numFmtId="0" fontId="8" fillId="0" borderId="7" xfId="0" applyFont="1" applyBorder="1"/>
    <xf numFmtId="0" fontId="11" fillId="10" borderId="13" xfId="0" applyNumberFormat="1" applyFont="1" applyFill="1" applyBorder="1" applyAlignment="1" applyProtection="1">
      <alignment horizontal="left" vertical="top" wrapText="1" readingOrder="1"/>
      <protection locked="0"/>
    </xf>
    <xf numFmtId="0" fontId="11" fillId="10" borderId="46" xfId="0" applyNumberFormat="1" applyFont="1" applyFill="1" applyBorder="1" applyAlignment="1" applyProtection="1">
      <alignment horizontal="left" vertical="top" wrapText="1" readingOrder="1"/>
      <protection locked="0"/>
    </xf>
    <xf numFmtId="0" fontId="10" fillId="10" borderId="46" xfId="0" applyNumberFormat="1" applyFont="1" applyFill="1" applyBorder="1" applyAlignment="1" applyProtection="1">
      <alignment horizontal="center" vertical="top" wrapText="1" readingOrder="1"/>
      <protection locked="0"/>
    </xf>
    <xf numFmtId="0" fontId="11" fillId="10" borderId="46" xfId="0" applyNumberFormat="1" applyFont="1" applyFill="1" applyBorder="1" applyAlignment="1" applyProtection="1">
      <alignment horizontal="center" vertical="top" wrapText="1" readingOrder="1"/>
      <protection locked="0"/>
    </xf>
    <xf numFmtId="0" fontId="11" fillId="10" borderId="47" xfId="0" applyNumberFormat="1" applyFont="1" applyFill="1" applyBorder="1" applyAlignment="1" applyProtection="1">
      <alignment vertical="top" wrapText="1" readingOrder="1"/>
      <protection locked="0"/>
    </xf>
    <xf numFmtId="0" fontId="11" fillId="10" borderId="8" xfId="0" applyNumberFormat="1" applyFont="1" applyFill="1" applyBorder="1" applyAlignment="1" applyProtection="1">
      <alignment vertical="top" wrapText="1" readingOrder="1"/>
      <protection locked="0"/>
    </xf>
    <xf numFmtId="0" fontId="11" fillId="10" borderId="43" xfId="0" applyNumberFormat="1" applyFont="1" applyFill="1" applyBorder="1" applyAlignment="1" applyProtection="1">
      <alignment vertical="top" wrapText="1" readingOrder="1"/>
      <protection locked="0"/>
    </xf>
    <xf numFmtId="0" fontId="13" fillId="0" borderId="48" xfId="0" applyNumberFormat="1" applyFont="1" applyFill="1" applyBorder="1" applyAlignment="1" applyProtection="1">
      <alignment horizontal="center" vertical="top" wrapText="1" readingOrder="1"/>
      <protection locked="0"/>
    </xf>
    <xf numFmtId="0" fontId="11" fillId="10" borderId="65" xfId="0" applyNumberFormat="1" applyFont="1" applyFill="1" applyBorder="1" applyAlignment="1" applyProtection="1">
      <alignment horizontal="left" vertical="top" wrapText="1" readingOrder="1"/>
      <protection locked="0"/>
    </xf>
    <xf numFmtId="0" fontId="10" fillId="10" borderId="65" xfId="0" applyNumberFormat="1" applyFont="1" applyFill="1" applyBorder="1" applyAlignment="1" applyProtection="1">
      <alignment horizontal="center" vertical="top" wrapText="1" readingOrder="1"/>
      <protection locked="0"/>
    </xf>
    <xf numFmtId="0" fontId="11" fillId="10" borderId="65" xfId="0" applyNumberFormat="1" applyFont="1" applyFill="1" applyBorder="1" applyAlignment="1" applyProtection="1">
      <alignment horizontal="center" vertical="top" wrapText="1" readingOrder="1"/>
      <protection locked="0"/>
    </xf>
    <xf numFmtId="0" fontId="11" fillId="10" borderId="48" xfId="0" applyNumberFormat="1" applyFont="1" applyFill="1" applyBorder="1" applyAlignment="1" applyProtection="1">
      <alignment horizontal="left" vertical="top" wrapText="1" readingOrder="1"/>
      <protection locked="0"/>
    </xf>
    <xf numFmtId="0" fontId="11" fillId="10" borderId="13" xfId="0" applyNumberFormat="1" applyFont="1" applyFill="1" applyBorder="1" applyAlignment="1" applyProtection="1">
      <alignment vertical="top" wrapText="1" readingOrder="1"/>
      <protection locked="0"/>
    </xf>
    <xf numFmtId="0" fontId="11" fillId="10" borderId="28" xfId="0" applyNumberFormat="1" applyFont="1" applyFill="1" applyBorder="1" applyAlignment="1" applyProtection="1">
      <alignment horizontal="left" vertical="top" wrapText="1" readingOrder="1"/>
      <protection locked="0"/>
    </xf>
    <xf numFmtId="0" fontId="11" fillId="10" borderId="42" xfId="0" applyNumberFormat="1" applyFont="1" applyFill="1" applyBorder="1" applyAlignment="1" applyProtection="1">
      <alignment horizontal="left" vertical="top" wrapText="1" readingOrder="1"/>
      <protection locked="0"/>
    </xf>
    <xf numFmtId="0" fontId="13" fillId="11" borderId="19" xfId="0" applyNumberFormat="1" applyFont="1" applyFill="1" applyBorder="1" applyAlignment="1" applyProtection="1">
      <alignment horizontal="center" vertical="top" wrapText="1" readingOrder="1"/>
      <protection locked="0"/>
    </xf>
    <xf numFmtId="165" fontId="13" fillId="11" borderId="19" xfId="0" applyNumberFormat="1" applyFont="1" applyFill="1" applyBorder="1" applyAlignment="1" applyProtection="1">
      <alignment horizontal="right" vertical="top" wrapText="1" readingOrder="1"/>
    </xf>
    <xf numFmtId="0" fontId="11" fillId="5" borderId="52" xfId="0" applyNumberFormat="1" applyFont="1" applyFill="1" applyBorder="1" applyAlignment="1" applyProtection="1">
      <alignment vertical="top" wrapText="1" readingOrder="1"/>
      <protection locked="0"/>
    </xf>
    <xf numFmtId="0" fontId="11" fillId="5" borderId="52" xfId="0" applyNumberFormat="1" applyFont="1" applyFill="1" applyBorder="1" applyAlignment="1" applyProtection="1">
      <alignment horizontal="left" vertical="top" wrapText="1" readingOrder="1"/>
      <protection locked="0"/>
    </xf>
    <xf numFmtId="0" fontId="10" fillId="5" borderId="52" xfId="0" applyNumberFormat="1" applyFont="1" applyFill="1" applyBorder="1" applyAlignment="1" applyProtection="1">
      <alignment horizontal="center" vertical="top" wrapText="1" readingOrder="1"/>
      <protection locked="0"/>
    </xf>
    <xf numFmtId="0" fontId="11" fillId="5" borderId="52" xfId="0" applyNumberFormat="1" applyFont="1" applyFill="1" applyBorder="1" applyAlignment="1" applyProtection="1">
      <alignment horizontal="center" vertical="top" wrapText="1" readingOrder="1"/>
      <protection locked="0"/>
    </xf>
    <xf numFmtId="0" fontId="11" fillId="5" borderId="53" xfId="0" applyNumberFormat="1" applyFont="1" applyFill="1" applyBorder="1" applyAlignment="1" applyProtection="1">
      <alignment horizontal="left" vertical="top" wrapText="1" readingOrder="1"/>
      <protection locked="0"/>
    </xf>
    <xf numFmtId="0" fontId="11" fillId="0" borderId="31" xfId="0" applyNumberFormat="1" applyFont="1" applyFill="1" applyBorder="1" applyAlignment="1" applyProtection="1">
      <alignment vertical="top" wrapText="1" readingOrder="1"/>
      <protection locked="0"/>
    </xf>
    <xf numFmtId="0" fontId="11" fillId="0" borderId="31" xfId="0" applyNumberFormat="1" applyFont="1" applyFill="1" applyBorder="1" applyAlignment="1" applyProtection="1">
      <alignment horizontal="center" vertical="top" wrapText="1" readingOrder="1"/>
      <protection locked="0"/>
    </xf>
    <xf numFmtId="165" fontId="11" fillId="0" borderId="31" xfId="0" applyNumberFormat="1" applyFont="1" applyFill="1" applyBorder="1" applyAlignment="1" applyProtection="1">
      <alignment horizontal="right" vertical="top" wrapText="1" readingOrder="1"/>
      <protection locked="0"/>
    </xf>
    <xf numFmtId="167" fontId="11" fillId="0" borderId="30" xfId="0" applyNumberFormat="1" applyFont="1" applyFill="1" applyBorder="1" applyAlignment="1" applyProtection="1">
      <alignment horizontal="right" vertical="top" wrapText="1" readingOrder="1"/>
      <protection locked="0"/>
    </xf>
    <xf numFmtId="0" fontId="11" fillId="0" borderId="30" xfId="0" applyNumberFormat="1" applyFont="1" applyFill="1" applyBorder="1" applyAlignment="1" applyProtection="1">
      <alignment horizontal="left" vertical="top" wrapText="1" readingOrder="1"/>
      <protection locked="0"/>
    </xf>
    <xf numFmtId="0" fontId="10" fillId="0" borderId="30" xfId="0" applyNumberFormat="1" applyFont="1" applyFill="1" applyBorder="1" applyAlignment="1" applyProtection="1">
      <alignment horizontal="center" vertical="top" wrapText="1" readingOrder="1"/>
      <protection locked="0"/>
    </xf>
    <xf numFmtId="0" fontId="11" fillId="0" borderId="30" xfId="0" applyNumberFormat="1" applyFont="1" applyFill="1" applyBorder="1" applyAlignment="1" applyProtection="1">
      <alignment horizontal="center" vertical="top" wrapText="1" readingOrder="1"/>
      <protection locked="0"/>
    </xf>
    <xf numFmtId="0" fontId="11" fillId="0" borderId="66" xfId="0" applyNumberFormat="1" applyFont="1" applyFill="1" applyBorder="1" applyAlignment="1" applyProtection="1">
      <alignment vertical="top" wrapText="1" readingOrder="1"/>
      <protection locked="0"/>
    </xf>
    <xf numFmtId="0" fontId="11" fillId="0" borderId="67" xfId="0" applyNumberFormat="1" applyFont="1" applyFill="1" applyBorder="1" applyAlignment="1" applyProtection="1">
      <alignment vertical="top" wrapText="1" readingOrder="1"/>
      <protection locked="0"/>
    </xf>
    <xf numFmtId="3" fontId="2" fillId="0" borderId="0" xfId="0" applyNumberFormat="1" applyFont="1" applyFill="1" applyBorder="1" applyAlignment="1">
      <alignment wrapText="1"/>
    </xf>
    <xf numFmtId="0" fontId="14" fillId="0" borderId="9" xfId="0" applyNumberFormat="1" applyFont="1" applyFill="1" applyBorder="1" applyAlignment="1" applyProtection="1">
      <alignment horizontal="left" vertical="center" wrapText="1" readingOrder="1"/>
    </xf>
    <xf numFmtId="165" fontId="13" fillId="0" borderId="68" xfId="0" applyNumberFormat="1" applyFont="1" applyFill="1" applyBorder="1" applyAlignment="1" applyProtection="1">
      <alignment horizontal="center" vertical="center" textRotation="90" wrapText="1" readingOrder="1"/>
    </xf>
    <xf numFmtId="165" fontId="14" fillId="0" borderId="56" xfId="0" applyNumberFormat="1" applyFont="1" applyFill="1" applyBorder="1" applyAlignment="1" applyProtection="1">
      <alignment horizontal="center" vertical="center" textRotation="90" wrapText="1" readingOrder="1"/>
    </xf>
    <xf numFmtId="165" fontId="13" fillId="0" borderId="69" xfId="0" applyNumberFormat="1" applyFont="1" applyFill="1" applyBorder="1" applyAlignment="1" applyProtection="1">
      <alignment horizontal="center" vertical="center" textRotation="90" wrapText="1" readingOrder="1"/>
    </xf>
    <xf numFmtId="0" fontId="13" fillId="0" borderId="70" xfId="0" applyNumberFormat="1" applyFont="1" applyFill="1" applyBorder="1" applyAlignment="1" applyProtection="1">
      <alignment horizontal="center" vertical="center" wrapText="1" readingOrder="1"/>
    </xf>
    <xf numFmtId="0" fontId="11" fillId="0" borderId="15" xfId="0" applyNumberFormat="1" applyFont="1" applyFill="1" applyBorder="1" applyAlignment="1" applyProtection="1">
      <alignment wrapText="1"/>
    </xf>
    <xf numFmtId="0" fontId="10" fillId="0" borderId="0" xfId="0" applyNumberFormat="1" applyFont="1" applyFill="1" applyBorder="1" applyAlignment="1" applyProtection="1">
      <alignmen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wrapText="1"/>
    </xf>
    <xf numFmtId="0" fontId="10" fillId="0" borderId="10" xfId="0" applyNumberFormat="1" applyFont="1" applyFill="1" applyBorder="1" applyAlignment="1" applyProtection="1">
      <alignment horizontal="left" vertical="top" wrapText="1" readingOrder="1"/>
      <protection locked="0"/>
    </xf>
    <xf numFmtId="165" fontId="11" fillId="0" borderId="70" xfId="0" applyNumberFormat="1" applyFont="1" applyFill="1" applyBorder="1" applyAlignment="1" applyProtection="1">
      <alignment horizontal="center" vertical="top" wrapText="1" readingOrder="1"/>
      <protection locked="0"/>
    </xf>
    <xf numFmtId="165" fontId="11" fillId="0" borderId="26" xfId="0" applyNumberFormat="1" applyFont="1" applyFill="1" applyBorder="1" applyAlignment="1" applyProtection="1">
      <alignment horizontal="center" vertical="top" wrapText="1" readingOrder="1"/>
      <protection locked="0"/>
    </xf>
    <xf numFmtId="165" fontId="11" fillId="0" borderId="71" xfId="0" applyNumberFormat="1" applyFont="1" applyFill="1" applyBorder="1" applyAlignment="1" applyProtection="1">
      <alignment horizontal="right" vertical="top" wrapText="1" readingOrder="1"/>
      <protection locked="0"/>
    </xf>
    <xf numFmtId="167" fontId="11" fillId="0" borderId="70" xfId="0" applyNumberFormat="1" applyFont="1" applyFill="1" applyBorder="1" applyAlignment="1" applyProtection="1">
      <alignment horizontal="right" vertical="top" wrapText="1" readingOrder="1"/>
      <protection locked="0"/>
    </xf>
    <xf numFmtId="0" fontId="11" fillId="0" borderId="6" xfId="0" applyNumberFormat="1" applyFont="1" applyFill="1" applyBorder="1" applyAlignment="1" applyProtection="1">
      <alignment vertical="top" wrapText="1" readingOrder="1"/>
      <protection locked="0"/>
    </xf>
    <xf numFmtId="0" fontId="13" fillId="0" borderId="5" xfId="0" applyNumberFormat="1" applyFont="1" applyFill="1" applyBorder="1" applyAlignment="1" applyProtection="1">
      <alignment horizontal="left" wrapText="1"/>
    </xf>
    <xf numFmtId="0" fontId="11" fillId="0" borderId="72" xfId="0" applyNumberFormat="1" applyFont="1" applyFill="1" applyBorder="1" applyAlignment="1" applyProtection="1">
      <alignment horizontal="left" wrapText="1"/>
    </xf>
    <xf numFmtId="0" fontId="14" fillId="12" borderId="11" xfId="0" applyNumberFormat="1" applyFont="1" applyFill="1" applyBorder="1" applyAlignment="1" applyProtection="1">
      <alignment horizontal="left" vertical="top" wrapText="1" readingOrder="1"/>
      <protection locked="0"/>
    </xf>
    <xf numFmtId="165" fontId="13" fillId="12" borderId="73" xfId="0" applyNumberFormat="1" applyFont="1" applyFill="1" applyBorder="1" applyAlignment="1" applyProtection="1">
      <alignment horizontal="center" vertical="top" wrapText="1" readingOrder="1"/>
    </xf>
    <xf numFmtId="165" fontId="13" fillId="12" borderId="74" xfId="0" applyNumberFormat="1" applyFont="1" applyFill="1" applyBorder="1" applyAlignment="1" applyProtection="1">
      <alignment horizontal="center" vertical="top" wrapText="1" readingOrder="1"/>
    </xf>
    <xf numFmtId="165" fontId="13" fillId="12" borderId="75" xfId="0" applyNumberFormat="1" applyFont="1" applyFill="1" applyBorder="1" applyAlignment="1" applyProtection="1">
      <alignment horizontal="right" vertical="top" wrapText="1" readingOrder="1"/>
    </xf>
    <xf numFmtId="167" fontId="13" fillId="12" borderId="70" xfId="0" applyNumberFormat="1" applyFont="1" applyFill="1" applyBorder="1" applyAlignment="1" applyProtection="1">
      <alignment horizontal="right" vertical="top" wrapText="1" readingOrder="1"/>
    </xf>
    <xf numFmtId="0" fontId="8" fillId="0" borderId="0" xfId="0" applyFont="1"/>
    <xf numFmtId="0" fontId="7" fillId="0" borderId="0" xfId="0" applyFont="1" applyAlignment="1">
      <alignment horizontal="center" vertical="center"/>
    </xf>
    <xf numFmtId="0" fontId="1" fillId="0" borderId="0" xfId="0" applyNumberFormat="1" applyFont="1" applyFill="1" applyAlignment="1" applyProtection="1">
      <alignment wrapText="1" readingOrder="1"/>
    </xf>
    <xf numFmtId="0" fontId="14" fillId="6" borderId="18" xfId="0" applyNumberFormat="1" applyFont="1" applyFill="1" applyBorder="1" applyAlignment="1" applyProtection="1">
      <alignment vertical="top" wrapText="1" readingOrder="1"/>
      <protection locked="0"/>
    </xf>
    <xf numFmtId="0" fontId="14" fillId="6" borderId="19" xfId="0" applyNumberFormat="1" applyFont="1" applyFill="1" applyBorder="1" applyAlignment="1" applyProtection="1">
      <alignment vertical="top" wrapText="1" readingOrder="1"/>
      <protection locked="0"/>
    </xf>
    <xf numFmtId="0" fontId="14" fillId="6" borderId="19" xfId="0" applyNumberFormat="1" applyFont="1" applyFill="1" applyBorder="1" applyAlignment="1" applyProtection="1">
      <alignment horizontal="left" vertical="top" wrapText="1" readingOrder="1"/>
      <protection locked="0"/>
    </xf>
    <xf numFmtId="164" fontId="14" fillId="6" borderId="19" xfId="0" applyNumberFormat="1" applyFont="1" applyFill="1" applyBorder="1" applyAlignment="1" applyProtection="1">
      <alignment horizontal="right" vertical="top" wrapText="1" readingOrder="1"/>
    </xf>
    <xf numFmtId="0" fontId="14" fillId="6" borderId="33" xfId="0" applyNumberFormat="1" applyFont="1" applyFill="1" applyBorder="1" applyAlignment="1" applyProtection="1">
      <alignment horizontal="left" vertical="top" wrapText="1" readingOrder="1"/>
      <protection locked="0"/>
    </xf>
    <xf numFmtId="0" fontId="14" fillId="14" borderId="18" xfId="0" applyNumberFormat="1" applyFont="1" applyFill="1" applyBorder="1" applyAlignment="1" applyProtection="1">
      <alignment vertical="top" wrapText="1" readingOrder="1"/>
      <protection locked="0"/>
    </xf>
    <xf numFmtId="0" fontId="14" fillId="14" borderId="19" xfId="0" applyNumberFormat="1" applyFont="1" applyFill="1" applyBorder="1" applyAlignment="1" applyProtection="1">
      <alignment vertical="top" wrapText="1" readingOrder="1"/>
      <protection locked="0"/>
    </xf>
    <xf numFmtId="0" fontId="14" fillId="14" borderId="19" xfId="0" applyNumberFormat="1" applyFont="1" applyFill="1" applyBorder="1" applyAlignment="1" applyProtection="1">
      <alignment horizontal="left" vertical="top" wrapText="1" readingOrder="1"/>
      <protection locked="0"/>
    </xf>
    <xf numFmtId="164" fontId="14" fillId="14" borderId="19" xfId="0" applyNumberFormat="1" applyFont="1" applyFill="1" applyBorder="1" applyAlignment="1" applyProtection="1">
      <alignment horizontal="right" vertical="top" wrapText="1" readingOrder="1"/>
    </xf>
    <xf numFmtId="0" fontId="10" fillId="0" borderId="25" xfId="0" applyNumberFormat="1" applyFont="1" applyFill="1" applyBorder="1" applyAlignment="1" applyProtection="1">
      <alignment vertical="top" wrapText="1" readingOrder="1"/>
      <protection locked="0"/>
    </xf>
    <xf numFmtId="0" fontId="10" fillId="0" borderId="26" xfId="0" applyNumberFormat="1" applyFont="1" applyFill="1" applyBorder="1" applyAlignment="1" applyProtection="1">
      <alignment vertical="top" wrapText="1" readingOrder="1"/>
      <protection locked="0"/>
    </xf>
    <xf numFmtId="0" fontId="10" fillId="0" borderId="26" xfId="0" applyNumberFormat="1" applyFont="1" applyFill="1" applyBorder="1" applyAlignment="1" applyProtection="1">
      <alignment horizontal="left" vertical="top" wrapText="1" readingOrder="1"/>
      <protection locked="0"/>
    </xf>
    <xf numFmtId="164" fontId="10" fillId="0" borderId="26" xfId="0" applyNumberFormat="1" applyFont="1" applyFill="1" applyBorder="1" applyAlignment="1" applyProtection="1">
      <alignment horizontal="right" vertical="top" wrapText="1" readingOrder="1"/>
      <protection locked="0"/>
    </xf>
    <xf numFmtId="0" fontId="10" fillId="0" borderId="37" xfId="0" applyNumberFormat="1" applyFont="1" applyFill="1" applyBorder="1" applyAlignment="1" applyProtection="1">
      <alignment horizontal="left" vertical="top" wrapText="1" readingOrder="1"/>
      <protection locked="0"/>
    </xf>
    <xf numFmtId="0" fontId="14" fillId="9" borderId="18" xfId="0" applyNumberFormat="1" applyFont="1" applyFill="1" applyBorder="1" applyAlignment="1" applyProtection="1">
      <alignment vertical="top" wrapText="1" readingOrder="1"/>
      <protection locked="0"/>
    </xf>
    <xf numFmtId="0" fontId="14" fillId="9" borderId="19" xfId="0" applyNumberFormat="1" applyFont="1" applyFill="1" applyBorder="1" applyAlignment="1" applyProtection="1">
      <alignment vertical="top" wrapText="1" readingOrder="1"/>
      <protection locked="0"/>
    </xf>
    <xf numFmtId="0" fontId="14" fillId="9" borderId="19" xfId="0" applyNumberFormat="1" applyFont="1" applyFill="1" applyBorder="1" applyAlignment="1" applyProtection="1">
      <alignment horizontal="left" vertical="top" wrapText="1" readingOrder="1"/>
      <protection locked="0"/>
    </xf>
    <xf numFmtId="164" fontId="14" fillId="9" borderId="19" xfId="0" applyNumberFormat="1" applyFont="1" applyFill="1" applyBorder="1" applyAlignment="1" applyProtection="1">
      <alignment horizontal="right" vertical="top" wrapText="1" readingOrder="1"/>
    </xf>
    <xf numFmtId="0" fontId="14" fillId="9" borderId="33" xfId="0" applyNumberFormat="1" applyFont="1" applyFill="1" applyBorder="1" applyAlignment="1" applyProtection="1">
      <alignment horizontal="left" vertical="top" wrapText="1" readingOrder="1"/>
      <protection locked="0"/>
    </xf>
    <xf numFmtId="0" fontId="10" fillId="0" borderId="18" xfId="0" applyNumberFormat="1" applyFont="1" applyFill="1" applyBorder="1" applyAlignment="1" applyProtection="1">
      <alignment vertical="top" wrapText="1" readingOrder="1"/>
      <protection locked="0"/>
    </xf>
    <xf numFmtId="0" fontId="10" fillId="0" borderId="19" xfId="0" applyNumberFormat="1" applyFont="1" applyFill="1" applyBorder="1" applyAlignment="1" applyProtection="1">
      <alignment vertical="top" wrapText="1" readingOrder="1"/>
      <protection locked="0"/>
    </xf>
    <xf numFmtId="0" fontId="10" fillId="0" borderId="19" xfId="0" applyNumberFormat="1" applyFont="1" applyFill="1" applyBorder="1" applyAlignment="1" applyProtection="1">
      <alignment horizontal="left" vertical="top" wrapText="1" readingOrder="1"/>
      <protection locked="0"/>
    </xf>
    <xf numFmtId="164" fontId="10" fillId="0" borderId="19" xfId="0" applyNumberFormat="1" applyFont="1" applyFill="1" applyBorder="1" applyAlignment="1" applyProtection="1">
      <alignment horizontal="right" vertical="top" wrapText="1" readingOrder="1"/>
    </xf>
    <xf numFmtId="0" fontId="10" fillId="0" borderId="33" xfId="0" applyNumberFormat="1" applyFont="1" applyFill="1" applyBorder="1" applyAlignment="1" applyProtection="1">
      <alignment horizontal="left" vertical="top" wrapText="1" readingOrder="1"/>
      <protection locked="0"/>
    </xf>
    <xf numFmtId="164" fontId="10" fillId="0" borderId="19" xfId="0" applyNumberFormat="1" applyFont="1" applyFill="1" applyBorder="1" applyAlignment="1" applyProtection="1">
      <alignment horizontal="right" vertical="top" wrapText="1" readingOrder="1"/>
      <protection locked="0"/>
    </xf>
    <xf numFmtId="0" fontId="10" fillId="0" borderId="29" xfId="0" applyNumberFormat="1" applyFont="1" applyFill="1" applyBorder="1" applyAlignment="1" applyProtection="1">
      <alignment vertical="top" wrapText="1" readingOrder="1"/>
      <protection locked="0"/>
    </xf>
    <xf numFmtId="0" fontId="10" fillId="0" borderId="30" xfId="0" applyNumberFormat="1" applyFont="1" applyFill="1" applyBorder="1" applyAlignment="1" applyProtection="1">
      <alignment vertical="top" wrapText="1" readingOrder="1"/>
      <protection locked="0"/>
    </xf>
    <xf numFmtId="0" fontId="10" fillId="0" borderId="30" xfId="0" applyNumberFormat="1" applyFont="1" applyFill="1" applyBorder="1" applyAlignment="1" applyProtection="1">
      <alignment horizontal="left" vertical="top" wrapText="1" readingOrder="1"/>
      <protection locked="0"/>
    </xf>
    <xf numFmtId="0" fontId="10" fillId="0" borderId="76" xfId="0" applyNumberFormat="1" applyFont="1" applyFill="1" applyBorder="1" applyAlignment="1" applyProtection="1">
      <alignment horizontal="left" vertical="top" wrapText="1" readingOrder="1"/>
      <protection locked="0"/>
    </xf>
    <xf numFmtId="0" fontId="10" fillId="0" borderId="0" xfId="0" applyNumberFormat="1" applyFont="1" applyFill="1" applyAlignment="1" applyProtection="1">
      <alignment vertical="top" wrapText="1" readingOrder="1"/>
      <protection locked="0"/>
    </xf>
    <xf numFmtId="0" fontId="10" fillId="0" borderId="0" xfId="0" applyNumberFormat="1" applyFont="1" applyFill="1" applyAlignment="1" applyProtection="1">
      <alignment horizontal="left" vertical="top" wrapText="1" readingOrder="1"/>
      <protection locked="0"/>
    </xf>
    <xf numFmtId="164" fontId="10" fillId="0" borderId="0" xfId="0" applyNumberFormat="1" applyFont="1" applyFill="1" applyAlignment="1" applyProtection="1">
      <alignment horizontal="right" vertical="top" wrapText="1" readingOrder="1"/>
      <protection locked="0"/>
    </xf>
    <xf numFmtId="0" fontId="10" fillId="0" borderId="0" xfId="0" applyNumberFormat="1" applyFont="1" applyFill="1" applyAlignment="1" applyProtection="1">
      <alignment horizontal="center" vertical="top" wrapText="1" readingOrder="1"/>
      <protection locked="0"/>
    </xf>
    <xf numFmtId="167" fontId="10" fillId="0" borderId="26" xfId="0" applyNumberFormat="1" applyFont="1" applyFill="1" applyBorder="1" applyAlignment="1" applyProtection="1">
      <alignment horizontal="right" vertical="top" wrapText="1" readingOrder="1"/>
      <protection locked="0"/>
    </xf>
    <xf numFmtId="0" fontId="14" fillId="12" borderId="26" xfId="0" applyNumberFormat="1" applyFont="1" applyFill="1" applyBorder="1" applyAlignment="1" applyProtection="1">
      <alignment vertical="top" wrapText="1" readingOrder="1"/>
      <protection locked="0"/>
    </xf>
    <xf numFmtId="0" fontId="14" fillId="12" borderId="26" xfId="0" applyNumberFormat="1" applyFont="1" applyFill="1" applyBorder="1" applyAlignment="1" applyProtection="1">
      <alignment horizontal="right" vertical="top" wrapText="1" readingOrder="1"/>
      <protection locked="0"/>
    </xf>
    <xf numFmtId="167" fontId="14" fillId="12" borderId="26" xfId="0" applyNumberFormat="1" applyFont="1" applyFill="1" applyBorder="1" applyAlignment="1" applyProtection="1">
      <alignment horizontal="right" vertical="top" wrapText="1" readingOrder="1"/>
    </xf>
    <xf numFmtId="0" fontId="14" fillId="0" borderId="26" xfId="0" applyNumberFormat="1" applyFont="1" applyFill="1" applyBorder="1" applyAlignment="1" applyProtection="1">
      <alignment horizontal="center" vertical="top" wrapText="1" readingOrder="1"/>
    </xf>
    <xf numFmtId="164" fontId="16" fillId="0" borderId="26" xfId="0" applyNumberFormat="1" applyFont="1" applyFill="1" applyBorder="1" applyAlignment="1" applyProtection="1">
      <alignment horizontal="right" vertical="top" wrapText="1" readingOrder="1"/>
      <protection locked="0"/>
    </xf>
    <xf numFmtId="164" fontId="16" fillId="0" borderId="19" xfId="0" applyNumberFormat="1" applyFont="1" applyFill="1" applyBorder="1" applyAlignment="1" applyProtection="1">
      <alignment horizontal="right" vertical="top" wrapText="1" readingOrder="1"/>
    </xf>
    <xf numFmtId="0" fontId="10" fillId="13" borderId="26" xfId="0" applyNumberFormat="1" applyFont="1" applyFill="1" applyBorder="1" applyAlignment="1" applyProtection="1">
      <alignment horizontal="left" vertical="top" wrapText="1" readingOrder="1"/>
      <protection locked="0"/>
    </xf>
    <xf numFmtId="0" fontId="10" fillId="13" borderId="26" xfId="0" applyNumberFormat="1" applyFont="1" applyFill="1" applyBorder="1" applyAlignment="1" applyProtection="1">
      <alignment horizontal="center" vertical="top" wrapText="1" readingOrder="1"/>
      <protection locked="0"/>
    </xf>
    <xf numFmtId="0" fontId="10" fillId="4" borderId="19" xfId="0" applyNumberFormat="1" applyFont="1" applyFill="1" applyBorder="1" applyAlignment="1" applyProtection="1">
      <alignment horizontal="left" vertical="top" wrapText="1" readingOrder="1"/>
      <protection locked="0"/>
    </xf>
    <xf numFmtId="0" fontId="10" fillId="4" borderId="19" xfId="0" applyNumberFormat="1" applyFont="1" applyFill="1" applyBorder="1" applyAlignment="1" applyProtection="1">
      <alignment horizontal="center" vertical="top" wrapText="1" readingOrder="1"/>
      <protection locked="0"/>
    </xf>
    <xf numFmtId="0" fontId="10" fillId="4" borderId="33" xfId="0" applyNumberFormat="1" applyFont="1" applyFill="1" applyBorder="1" applyAlignment="1" applyProtection="1">
      <alignment horizontal="left" vertical="top" wrapText="1" readingOrder="1"/>
      <protection locked="0"/>
    </xf>
    <xf numFmtId="0" fontId="10" fillId="4" borderId="26" xfId="0" applyNumberFormat="1" applyFont="1" applyFill="1" applyBorder="1" applyAlignment="1" applyProtection="1">
      <alignment horizontal="left" vertical="top" wrapText="1" readingOrder="1"/>
      <protection locked="0"/>
    </xf>
    <xf numFmtId="0" fontId="10" fillId="4" borderId="26" xfId="0" applyNumberFormat="1" applyFont="1" applyFill="1" applyBorder="1" applyAlignment="1" applyProtection="1">
      <alignment horizontal="center" vertical="top" wrapText="1" readingOrder="1"/>
      <protection locked="0"/>
    </xf>
    <xf numFmtId="0" fontId="10" fillId="4" borderId="37" xfId="0" applyNumberFormat="1" applyFont="1" applyFill="1" applyBorder="1" applyAlignment="1" applyProtection="1">
      <alignment horizontal="left" vertical="top" wrapText="1" readingOrder="1"/>
      <protection locked="0"/>
    </xf>
    <xf numFmtId="0" fontId="10" fillId="4" borderId="19" xfId="0" applyNumberFormat="1" applyFont="1" applyFill="1" applyBorder="1" applyAlignment="1" applyProtection="1">
      <alignment vertical="top" wrapText="1" readingOrder="1"/>
      <protection locked="0"/>
    </xf>
    <xf numFmtId="0" fontId="10" fillId="4" borderId="18" xfId="0" applyNumberFormat="1" applyFont="1" applyFill="1" applyBorder="1" applyAlignment="1" applyProtection="1">
      <alignment vertical="top" wrapText="1" readingOrder="1"/>
      <protection locked="0"/>
    </xf>
    <xf numFmtId="0" fontId="1" fillId="0" borderId="0" xfId="0" applyNumberFormat="1" applyFont="1" applyFill="1" applyAlignment="1" applyProtection="1">
      <alignment vertical="top" wrapText="1" readingOrder="1"/>
    </xf>
    <xf numFmtId="164" fontId="16" fillId="0" borderId="30" xfId="0" applyNumberFormat="1" applyFont="1" applyFill="1" applyBorder="1" applyAlignment="1" applyProtection="1">
      <alignment horizontal="right" vertical="top" wrapText="1" readingOrder="1"/>
      <protection locked="0"/>
    </xf>
    <xf numFmtId="0" fontId="10" fillId="13" borderId="19" xfId="0" applyNumberFormat="1" applyFont="1" applyFill="1" applyBorder="1" applyAlignment="1" applyProtection="1">
      <alignment horizontal="left" vertical="top" wrapText="1" readingOrder="1"/>
      <protection locked="0"/>
    </xf>
    <xf numFmtId="0" fontId="10" fillId="13" borderId="19" xfId="0" applyNumberFormat="1" applyFont="1" applyFill="1" applyBorder="1" applyAlignment="1" applyProtection="1">
      <alignment horizontal="center" vertical="top" wrapText="1" readingOrder="1"/>
      <protection locked="0"/>
    </xf>
    <xf numFmtId="0" fontId="10" fillId="13" borderId="33" xfId="0" applyNumberFormat="1" applyFont="1" applyFill="1" applyBorder="1" applyAlignment="1" applyProtection="1">
      <alignment horizontal="left" vertical="top" wrapText="1" readingOrder="1"/>
      <protection locked="0"/>
    </xf>
    <xf numFmtId="0" fontId="10" fillId="13" borderId="18" xfId="0" applyNumberFormat="1" applyFont="1" applyFill="1" applyBorder="1" applyAlignment="1" applyProtection="1">
      <alignment vertical="top" wrapText="1" readingOrder="1"/>
      <protection locked="0"/>
    </xf>
    <xf numFmtId="0" fontId="10" fillId="13" borderId="19" xfId="0" applyNumberFormat="1" applyFont="1" applyFill="1" applyBorder="1" applyAlignment="1" applyProtection="1">
      <alignment vertical="top" wrapText="1" readingOrder="1"/>
      <protection locked="0"/>
    </xf>
    <xf numFmtId="0" fontId="10" fillId="3" borderId="19" xfId="0" applyNumberFormat="1" applyFont="1" applyFill="1" applyBorder="1" applyAlignment="1" applyProtection="1">
      <alignment horizontal="left" vertical="top" wrapText="1" readingOrder="1"/>
      <protection locked="0"/>
    </xf>
    <xf numFmtId="164" fontId="10" fillId="3" borderId="19" xfId="0" applyNumberFormat="1" applyFont="1" applyFill="1" applyBorder="1" applyAlignment="1" applyProtection="1">
      <alignment horizontal="right" vertical="top" wrapText="1" readingOrder="1"/>
    </xf>
    <xf numFmtId="0" fontId="10" fillId="3" borderId="19" xfId="0" applyNumberFormat="1" applyFont="1" applyFill="1" applyBorder="1" applyAlignment="1" applyProtection="1">
      <alignment horizontal="center" vertical="top" wrapText="1" readingOrder="1"/>
      <protection locked="0"/>
    </xf>
    <xf numFmtId="0" fontId="10" fillId="3" borderId="33" xfId="0" applyNumberFormat="1" applyFont="1" applyFill="1" applyBorder="1" applyAlignment="1" applyProtection="1">
      <alignment horizontal="left" vertical="top" wrapText="1" readingOrder="1"/>
      <protection locked="0"/>
    </xf>
    <xf numFmtId="0" fontId="10" fillId="3" borderId="26" xfId="0" applyNumberFormat="1" applyFont="1" applyFill="1" applyBorder="1" applyAlignment="1" applyProtection="1">
      <alignment horizontal="left" vertical="top" wrapText="1" readingOrder="1"/>
      <protection locked="0"/>
    </xf>
    <xf numFmtId="0" fontId="10" fillId="3" borderId="37" xfId="0" applyNumberFormat="1" applyFont="1" applyFill="1" applyBorder="1" applyAlignment="1" applyProtection="1">
      <alignment horizontal="left" vertical="top" wrapText="1" readingOrder="1"/>
      <protection locked="0"/>
    </xf>
    <xf numFmtId="0" fontId="10" fillId="3" borderId="18" xfId="0" applyNumberFormat="1" applyFont="1" applyFill="1" applyBorder="1" applyAlignment="1" applyProtection="1">
      <alignment vertical="top" wrapText="1" readingOrder="1"/>
      <protection locked="0"/>
    </xf>
    <xf numFmtId="0" fontId="10" fillId="3" borderId="19" xfId="0" applyNumberFormat="1" applyFont="1" applyFill="1" applyBorder="1" applyAlignment="1" applyProtection="1">
      <alignment vertical="top" wrapText="1" readingOrder="1"/>
      <protection locked="0"/>
    </xf>
    <xf numFmtId="164" fontId="16" fillId="3" borderId="19" xfId="0" applyNumberFormat="1" applyFont="1" applyFill="1" applyBorder="1" applyAlignment="1" applyProtection="1">
      <alignment horizontal="right" vertical="top" wrapText="1" readingOrder="1"/>
    </xf>
    <xf numFmtId="0" fontId="1" fillId="3" borderId="0" xfId="0" applyNumberFormat="1" applyFont="1" applyFill="1" applyAlignment="1" applyProtection="1">
      <alignment wrapText="1" readingOrder="1"/>
    </xf>
    <xf numFmtId="164" fontId="10" fillId="3" borderId="26" xfId="0" applyNumberFormat="1" applyFont="1" applyFill="1" applyBorder="1" applyAlignment="1" applyProtection="1">
      <alignment horizontal="right" vertical="top" wrapText="1" readingOrder="1"/>
      <protection locked="0"/>
    </xf>
    <xf numFmtId="0" fontId="10" fillId="3" borderId="25" xfId="0" applyNumberFormat="1" applyFont="1" applyFill="1" applyBorder="1" applyAlignment="1" applyProtection="1">
      <alignment vertical="top" wrapText="1" readingOrder="1"/>
      <protection locked="0"/>
    </xf>
    <xf numFmtId="0" fontId="10" fillId="3" borderId="26" xfId="0" applyNumberFormat="1" applyFont="1" applyFill="1" applyBorder="1" applyAlignment="1" applyProtection="1">
      <alignment vertical="top" wrapText="1" readingOrder="1"/>
      <protection locked="0"/>
    </xf>
    <xf numFmtId="164" fontId="10" fillId="3" borderId="19" xfId="0" applyNumberFormat="1" applyFont="1" applyFill="1" applyBorder="1" applyAlignment="1" applyProtection="1">
      <alignment horizontal="right" vertical="top" wrapText="1" readingOrder="1"/>
      <protection locked="0"/>
    </xf>
    <xf numFmtId="164" fontId="16" fillId="3" borderId="26" xfId="0" applyNumberFormat="1" applyFont="1" applyFill="1" applyBorder="1" applyAlignment="1" applyProtection="1">
      <alignment horizontal="right" vertical="top" wrapText="1" readingOrder="1"/>
      <protection locked="0"/>
    </xf>
    <xf numFmtId="0" fontId="4" fillId="0" borderId="0" xfId="0" applyFont="1" applyBorder="1" applyAlignment="1">
      <alignment vertical="top" wrapText="1"/>
    </xf>
    <xf numFmtId="0" fontId="7" fillId="0" borderId="0" xfId="0" applyFont="1" applyBorder="1" applyAlignment="1">
      <alignment vertical="center" wrapText="1"/>
    </xf>
    <xf numFmtId="0" fontId="1" fillId="0" borderId="0" xfId="0" applyNumberFormat="1" applyFont="1" applyFill="1" applyAlignment="1" applyProtection="1">
      <alignment horizontal="right" wrapText="1" readingOrder="1"/>
    </xf>
    <xf numFmtId="0" fontId="1" fillId="4" borderId="33" xfId="0" applyNumberFormat="1" applyFont="1" applyFill="1" applyBorder="1" applyAlignment="1" applyProtection="1">
      <alignment horizontal="left" vertical="top" wrapText="1" readingOrder="1"/>
      <protection locked="0"/>
    </xf>
    <xf numFmtId="2" fontId="1" fillId="0" borderId="0" xfId="0" applyNumberFormat="1" applyFont="1" applyFill="1" applyAlignment="1" applyProtection="1">
      <alignment wrapText="1" readingOrder="1"/>
    </xf>
    <xf numFmtId="2" fontId="14" fillId="0" borderId="30" xfId="0" applyNumberFormat="1" applyFont="1" applyFill="1" applyBorder="1" applyAlignment="1" applyProtection="1">
      <alignment horizontal="center" wrapText="1" readingOrder="1"/>
    </xf>
    <xf numFmtId="2" fontId="14" fillId="6" borderId="19" xfId="0" applyNumberFormat="1" applyFont="1" applyFill="1" applyBorder="1" applyAlignment="1" applyProtection="1">
      <alignment horizontal="right" vertical="top" wrapText="1" readingOrder="1"/>
      <protection locked="0"/>
    </xf>
    <xf numFmtId="2" fontId="10" fillId="0" borderId="26" xfId="0" applyNumberFormat="1" applyFont="1" applyFill="1" applyBorder="1" applyAlignment="1" applyProtection="1">
      <alignment horizontal="right" vertical="top" wrapText="1" readingOrder="1"/>
      <protection locked="0"/>
    </xf>
    <xf numFmtId="2" fontId="14" fillId="9" borderId="19" xfId="0" applyNumberFormat="1" applyFont="1" applyFill="1" applyBorder="1" applyAlignment="1" applyProtection="1">
      <alignment horizontal="right" vertical="top" wrapText="1" readingOrder="1"/>
      <protection locked="0"/>
    </xf>
    <xf numFmtId="2" fontId="10" fillId="0" borderId="19" xfId="0" applyNumberFormat="1" applyFont="1" applyFill="1" applyBorder="1" applyAlignment="1" applyProtection="1">
      <alignment horizontal="right" vertical="top" wrapText="1" readingOrder="1"/>
      <protection locked="0"/>
    </xf>
    <xf numFmtId="2" fontId="10" fillId="4" borderId="26" xfId="0" applyNumberFormat="1" applyFont="1" applyFill="1" applyBorder="1" applyAlignment="1" applyProtection="1">
      <alignment horizontal="right" vertical="top" wrapText="1" readingOrder="1"/>
      <protection locked="0"/>
    </xf>
    <xf numFmtId="2" fontId="10" fillId="4" borderId="19" xfId="0" applyNumberFormat="1" applyFont="1" applyFill="1" applyBorder="1" applyAlignment="1" applyProtection="1">
      <alignment horizontal="right" vertical="top" wrapText="1" readingOrder="1"/>
      <protection locked="0"/>
    </xf>
    <xf numFmtId="2" fontId="10" fillId="13" borderId="19" xfId="0" applyNumberFormat="1" applyFont="1" applyFill="1" applyBorder="1" applyAlignment="1" applyProtection="1">
      <alignment horizontal="right" vertical="top" wrapText="1" readingOrder="1"/>
      <protection locked="0"/>
    </xf>
    <xf numFmtId="2" fontId="10" fillId="13" borderId="26" xfId="0" applyNumberFormat="1" applyFont="1" applyFill="1" applyBorder="1" applyAlignment="1" applyProtection="1">
      <alignment horizontal="right" vertical="top" wrapText="1" readingOrder="1"/>
      <protection locked="0"/>
    </xf>
    <xf numFmtId="2" fontId="10" fillId="3" borderId="19" xfId="0" applyNumberFormat="1" applyFont="1" applyFill="1" applyBorder="1" applyAlignment="1" applyProtection="1">
      <alignment horizontal="right" vertical="top" wrapText="1" readingOrder="1"/>
      <protection locked="0"/>
    </xf>
    <xf numFmtId="2" fontId="10" fillId="3" borderId="26" xfId="0" applyNumberFormat="1" applyFont="1" applyFill="1" applyBorder="1" applyAlignment="1" applyProtection="1">
      <alignment horizontal="right" vertical="top" wrapText="1" readingOrder="1"/>
      <protection locked="0"/>
    </xf>
    <xf numFmtId="2" fontId="1" fillId="4" borderId="19" xfId="0" applyNumberFormat="1" applyFont="1" applyFill="1" applyBorder="1" applyAlignment="1" applyProtection="1">
      <alignment horizontal="right" vertical="top" wrapText="1" readingOrder="1"/>
      <protection locked="0"/>
    </xf>
    <xf numFmtId="2" fontId="10" fillId="0" borderId="30" xfId="0" applyNumberFormat="1" applyFont="1" applyFill="1" applyBorder="1" applyAlignment="1" applyProtection="1">
      <alignment horizontal="right" vertical="top" wrapText="1" readingOrder="1"/>
      <protection locked="0"/>
    </xf>
    <xf numFmtId="2" fontId="10" fillId="0" borderId="0" xfId="0" applyNumberFormat="1" applyFont="1" applyFill="1" applyAlignment="1" applyProtection="1">
      <alignment horizontal="right" vertical="top" wrapText="1" readingOrder="1"/>
      <protection locked="0"/>
    </xf>
    <xf numFmtId="2" fontId="1" fillId="0" borderId="0" xfId="0" applyNumberFormat="1" applyFont="1" applyFill="1" applyAlignment="1" applyProtection="1">
      <alignment vertical="top" wrapText="1" readingOrder="1"/>
    </xf>
    <xf numFmtId="0" fontId="1" fillId="4" borderId="37" xfId="0" applyNumberFormat="1" applyFont="1" applyFill="1" applyBorder="1" applyAlignment="1" applyProtection="1">
      <alignment horizontal="left" vertical="top" wrapText="1" readingOrder="1"/>
      <protection locked="0"/>
    </xf>
    <xf numFmtId="0" fontId="14" fillId="14" borderId="39" xfId="0" applyNumberFormat="1" applyFont="1" applyFill="1" applyBorder="1" applyAlignment="1" applyProtection="1">
      <alignment vertical="top" wrapText="1" readingOrder="1"/>
      <protection locked="0"/>
    </xf>
    <xf numFmtId="0" fontId="14" fillId="14" borderId="36" xfId="0" applyNumberFormat="1" applyFont="1" applyFill="1" applyBorder="1" applyAlignment="1" applyProtection="1">
      <alignment vertical="top" wrapText="1" readingOrder="1"/>
      <protection locked="0"/>
    </xf>
    <xf numFmtId="0" fontId="14" fillId="14" borderId="36" xfId="0" applyNumberFormat="1" applyFont="1" applyFill="1" applyBorder="1" applyAlignment="1" applyProtection="1">
      <alignment horizontal="left" vertical="top" wrapText="1" readingOrder="1"/>
      <protection locked="0"/>
    </xf>
    <xf numFmtId="164" fontId="14" fillId="14" borderId="36" xfId="0" applyNumberFormat="1" applyFont="1" applyFill="1" applyBorder="1" applyAlignment="1" applyProtection="1">
      <alignment horizontal="right" vertical="top" wrapText="1" readingOrder="1"/>
    </xf>
    <xf numFmtId="0" fontId="10" fillId="14" borderId="19" xfId="0" applyNumberFormat="1" applyFont="1" applyFill="1" applyBorder="1" applyAlignment="1" applyProtection="1">
      <alignment horizontal="left" vertical="top" wrapText="1" readingOrder="1"/>
      <protection locked="0"/>
    </xf>
    <xf numFmtId="0" fontId="10" fillId="14" borderId="19" xfId="0" applyNumberFormat="1" applyFont="1" applyFill="1" applyBorder="1" applyAlignment="1" applyProtection="1">
      <alignment horizontal="center" vertical="top" wrapText="1" readingOrder="1"/>
      <protection locked="0"/>
    </xf>
    <xf numFmtId="2" fontId="10" fillId="14" borderId="19" xfId="0" applyNumberFormat="1" applyFont="1" applyFill="1" applyBorder="1" applyAlignment="1" applyProtection="1">
      <alignment horizontal="right" vertical="top" wrapText="1" readingOrder="1"/>
      <protection locked="0"/>
    </xf>
    <xf numFmtId="0" fontId="10" fillId="14" borderId="33" xfId="0" applyNumberFormat="1" applyFont="1" applyFill="1" applyBorder="1" applyAlignment="1" applyProtection="1">
      <alignment horizontal="left" vertical="top" wrapText="1" readingOrder="1"/>
      <protection locked="0"/>
    </xf>
    <xf numFmtId="0" fontId="10" fillId="14" borderId="36" xfId="0" applyNumberFormat="1" applyFont="1" applyFill="1" applyBorder="1" applyAlignment="1" applyProtection="1">
      <alignment horizontal="left" vertical="top" wrapText="1" readingOrder="1"/>
      <protection locked="0"/>
    </xf>
    <xf numFmtId="0" fontId="10" fillId="14" borderId="36" xfId="0" applyNumberFormat="1" applyFont="1" applyFill="1" applyBorder="1" applyAlignment="1" applyProtection="1">
      <alignment horizontal="center" vertical="top" wrapText="1" readingOrder="1"/>
      <protection locked="0"/>
    </xf>
    <xf numFmtId="2" fontId="10" fillId="14" borderId="36" xfId="0" applyNumberFormat="1" applyFont="1" applyFill="1" applyBorder="1" applyAlignment="1" applyProtection="1">
      <alignment horizontal="right" vertical="top" wrapText="1" readingOrder="1"/>
      <protection locked="0"/>
    </xf>
    <xf numFmtId="0" fontId="10" fillId="14" borderId="42" xfId="0" applyNumberFormat="1" applyFont="1" applyFill="1" applyBorder="1" applyAlignment="1" applyProtection="1">
      <alignment horizontal="left" vertical="top" wrapText="1" readingOrder="1"/>
      <protection locked="0"/>
    </xf>
    <xf numFmtId="0" fontId="14" fillId="6" borderId="19" xfId="0" applyNumberFormat="1" applyFont="1" applyFill="1" applyBorder="1" applyAlignment="1" applyProtection="1">
      <alignment horizontal="right" vertical="top" wrapText="1" readingOrder="1"/>
      <protection locked="0"/>
    </xf>
    <xf numFmtId="0" fontId="14" fillId="14" borderId="19" xfId="0" applyNumberFormat="1" applyFont="1" applyFill="1" applyBorder="1" applyAlignment="1" applyProtection="1">
      <alignment horizontal="center" vertical="top" wrapText="1" readingOrder="1"/>
      <protection locked="0"/>
    </xf>
    <xf numFmtId="0" fontId="14" fillId="14" borderId="19" xfId="0" applyNumberFormat="1" applyFont="1" applyFill="1" applyBorder="1" applyAlignment="1" applyProtection="1">
      <alignment horizontal="right" vertical="top" wrapText="1" readingOrder="1"/>
      <protection locked="0"/>
    </xf>
    <xf numFmtId="0" fontId="10" fillId="0" borderId="26" xfId="0" applyNumberFormat="1" applyFont="1" applyFill="1" applyBorder="1" applyAlignment="1" applyProtection="1">
      <alignment horizontal="right" vertical="top" wrapText="1" readingOrder="1"/>
      <protection locked="0"/>
    </xf>
    <xf numFmtId="0" fontId="14" fillId="9" borderId="19" xfId="0" applyNumberFormat="1" applyFont="1" applyFill="1" applyBorder="1" applyAlignment="1" applyProtection="1">
      <alignment horizontal="right" vertical="top" wrapText="1" readingOrder="1"/>
      <protection locked="0"/>
    </xf>
    <xf numFmtId="0" fontId="10" fillId="0" borderId="19" xfId="0" applyNumberFormat="1" applyFont="1" applyFill="1" applyBorder="1" applyAlignment="1" applyProtection="1">
      <alignment horizontal="right" vertical="top" wrapText="1" readingOrder="1"/>
      <protection locked="0"/>
    </xf>
    <xf numFmtId="0" fontId="10" fillId="0" borderId="78" xfId="0" applyNumberFormat="1" applyFont="1" applyFill="1" applyBorder="1" applyAlignment="1" applyProtection="1">
      <alignment vertical="top" wrapText="1" readingOrder="1"/>
      <protection locked="0"/>
    </xf>
    <xf numFmtId="0" fontId="10" fillId="0" borderId="79" xfId="0" applyNumberFormat="1" applyFont="1" applyFill="1" applyBorder="1" applyAlignment="1" applyProtection="1">
      <alignment vertical="top" wrapText="1" readingOrder="1"/>
      <protection locked="0"/>
    </xf>
    <xf numFmtId="0" fontId="10" fillId="0" borderId="79" xfId="0" applyNumberFormat="1" applyFont="1" applyFill="1" applyBorder="1" applyAlignment="1" applyProtection="1">
      <alignment horizontal="left" vertical="top" wrapText="1" readingOrder="1"/>
      <protection locked="0"/>
    </xf>
    <xf numFmtId="164" fontId="10" fillId="0" borderId="79" xfId="0" applyNumberFormat="1" applyFont="1" applyFill="1" applyBorder="1" applyAlignment="1" applyProtection="1">
      <alignment horizontal="right" vertical="top" wrapText="1" readingOrder="1"/>
      <protection locked="0"/>
    </xf>
    <xf numFmtId="0" fontId="10" fillId="0" borderId="79" xfId="0" applyNumberFormat="1" applyFont="1" applyFill="1" applyBorder="1" applyAlignment="1" applyProtection="1">
      <alignment horizontal="center" vertical="top" wrapText="1" readingOrder="1"/>
      <protection locked="0"/>
    </xf>
    <xf numFmtId="0" fontId="10" fillId="0" borderId="79" xfId="0" applyNumberFormat="1" applyFont="1" applyFill="1" applyBorder="1" applyAlignment="1" applyProtection="1">
      <alignment horizontal="right" vertical="top" wrapText="1" readingOrder="1"/>
      <protection locked="0"/>
    </xf>
    <xf numFmtId="0" fontId="10" fillId="0" borderId="0" xfId="0" applyNumberFormat="1" applyFont="1" applyFill="1" applyAlignment="1" applyProtection="1">
      <alignment horizontal="right" vertical="top" wrapText="1" readingOrder="1"/>
      <protection locked="0"/>
    </xf>
    <xf numFmtId="164" fontId="14" fillId="12" borderId="26" xfId="0" applyNumberFormat="1" applyFont="1" applyFill="1" applyBorder="1" applyAlignment="1" applyProtection="1">
      <alignment horizontal="right" vertical="top" wrapText="1" readingOrder="1"/>
    </xf>
    <xf numFmtId="0" fontId="14" fillId="14" borderId="86" xfId="0" applyNumberFormat="1" applyFont="1" applyFill="1" applyBorder="1" applyAlignment="1" applyProtection="1">
      <alignment horizontal="left" vertical="top" wrapText="1" readingOrder="1"/>
      <protection locked="0"/>
    </xf>
    <xf numFmtId="0" fontId="10" fillId="15" borderId="42"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3"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 fillId="0" borderId="33"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3" xfId="1" applyNumberFormat="1" applyFont="1" applyFill="1" applyBorder="1" applyAlignment="1" applyProtection="1">
      <alignment horizontal="left" vertical="top" wrapText="1" readingOrder="1"/>
      <protection locked="0"/>
    </xf>
    <xf numFmtId="0" fontId="10" fillId="4" borderId="37" xfId="1" applyNumberFormat="1" applyFont="1" applyFill="1" applyBorder="1" applyAlignment="1" applyProtection="1">
      <alignment horizontal="left" vertical="top" wrapText="1" readingOrder="1"/>
      <protection locked="0"/>
    </xf>
    <xf numFmtId="0" fontId="10" fillId="0" borderId="82" xfId="1" applyNumberFormat="1" applyFont="1" applyFill="1" applyBorder="1" applyAlignment="1" applyProtection="1">
      <alignment horizontal="left" vertical="top" wrapText="1" readingOrder="1"/>
      <protection locked="0"/>
    </xf>
    <xf numFmtId="0" fontId="10" fillId="0" borderId="84" xfId="1" applyNumberFormat="1" applyFont="1" applyFill="1" applyBorder="1" applyAlignment="1" applyProtection="1">
      <alignment horizontal="left" vertical="top" wrapText="1" readingOrder="1"/>
      <protection locked="0"/>
    </xf>
    <xf numFmtId="0" fontId="10" fillId="0" borderId="42" xfId="1" applyNumberFormat="1" applyFont="1" applyFill="1" applyBorder="1" applyAlignment="1" applyProtection="1">
      <alignment horizontal="left" vertical="top" wrapText="1" readingOrder="1"/>
      <protection locked="0"/>
    </xf>
    <xf numFmtId="0" fontId="10" fillId="0" borderId="82" xfId="1" applyNumberFormat="1" applyFont="1" applyFill="1" applyBorder="1" applyAlignment="1" applyProtection="1">
      <alignment horizontal="left" vertical="top" wrapText="1" readingOrder="1"/>
      <protection locked="0"/>
    </xf>
    <xf numFmtId="0" fontId="10" fillId="0" borderId="85" xfId="1" applyNumberFormat="1" applyFont="1" applyFill="1" applyBorder="1" applyAlignment="1" applyProtection="1">
      <alignment horizontal="left" vertical="top" wrapText="1" readingOrder="1"/>
      <protection locked="0"/>
    </xf>
    <xf numFmtId="0" fontId="10" fillId="0" borderId="82" xfId="1" applyNumberFormat="1" applyFont="1" applyFill="1" applyBorder="1" applyAlignment="1" applyProtection="1">
      <alignment horizontal="left" vertical="top" wrapText="1" readingOrder="1"/>
      <protection locked="0"/>
    </xf>
    <xf numFmtId="0" fontId="10" fillId="0" borderId="85"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 fillId="0" borderId="37" xfId="1" applyNumberFormat="1" applyFont="1" applyFill="1" applyBorder="1" applyAlignment="1" applyProtection="1">
      <alignment horizontal="left" vertical="top" wrapText="1" readingOrder="1"/>
      <protection locked="0"/>
    </xf>
    <xf numFmtId="0" fontId="10" fillId="0" borderId="82"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84" xfId="1" applyNumberFormat="1" applyFont="1" applyFill="1" applyBorder="1" applyAlignment="1" applyProtection="1">
      <alignment horizontal="left" vertical="top" wrapText="1" readingOrder="1"/>
      <protection locked="0"/>
    </xf>
    <xf numFmtId="0" fontId="16" fillId="0" borderId="18" xfId="0" applyNumberFormat="1" applyFont="1" applyFill="1" applyBorder="1" applyAlignment="1" applyProtection="1">
      <alignment vertical="top" wrapText="1" readingOrder="1"/>
      <protection locked="0"/>
    </xf>
    <xf numFmtId="0" fontId="16" fillId="0" borderId="19" xfId="0" applyNumberFormat="1" applyFont="1" applyFill="1" applyBorder="1" applyAlignment="1" applyProtection="1">
      <alignment vertical="top" wrapText="1" readingOrder="1"/>
      <protection locked="0"/>
    </xf>
    <xf numFmtId="0" fontId="16" fillId="0" borderId="19" xfId="0" applyNumberFormat="1" applyFont="1" applyFill="1" applyBorder="1" applyAlignment="1" applyProtection="1">
      <alignment horizontal="left" vertical="top" wrapText="1" readingOrder="1"/>
      <protection locked="0"/>
    </xf>
    <xf numFmtId="0" fontId="16" fillId="0" borderId="19" xfId="0" applyNumberFormat="1" applyFont="1" applyFill="1" applyBorder="1" applyAlignment="1" applyProtection="1">
      <alignment horizontal="center" vertical="top" wrapText="1" readingOrder="1"/>
      <protection locked="0"/>
    </xf>
    <xf numFmtId="0" fontId="16" fillId="0" borderId="19" xfId="0" applyNumberFormat="1" applyFont="1" applyFill="1" applyBorder="1" applyAlignment="1" applyProtection="1">
      <alignment horizontal="right" vertical="top" wrapText="1" readingOrder="1"/>
      <protection locked="0"/>
    </xf>
    <xf numFmtId="0" fontId="16" fillId="0" borderId="25" xfId="0" applyNumberFormat="1" applyFont="1" applyFill="1" applyBorder="1" applyAlignment="1" applyProtection="1">
      <alignment vertical="top" wrapText="1" readingOrder="1"/>
      <protection locked="0"/>
    </xf>
    <xf numFmtId="0" fontId="16" fillId="0" borderId="26" xfId="0" applyNumberFormat="1" applyFont="1" applyFill="1" applyBorder="1" applyAlignment="1" applyProtection="1">
      <alignment vertical="top" wrapText="1" readingOrder="1"/>
      <protection locked="0"/>
    </xf>
    <xf numFmtId="0" fontId="16" fillId="0" borderId="26" xfId="0" applyNumberFormat="1" applyFont="1" applyFill="1" applyBorder="1" applyAlignment="1" applyProtection="1">
      <alignment horizontal="left" vertical="top" wrapText="1" readingOrder="1"/>
      <protection locked="0"/>
    </xf>
    <xf numFmtId="0" fontId="16" fillId="0" borderId="26" xfId="0" applyNumberFormat="1" applyFont="1" applyFill="1" applyBorder="1" applyAlignment="1" applyProtection="1">
      <alignment horizontal="center" vertical="top" wrapText="1" readingOrder="1"/>
      <protection locked="0"/>
    </xf>
    <xf numFmtId="0" fontId="16" fillId="0" borderId="26" xfId="0" applyNumberFormat="1" applyFont="1" applyFill="1" applyBorder="1" applyAlignment="1" applyProtection="1">
      <alignment horizontal="right" vertical="top" wrapText="1" readingOrder="1"/>
      <protection locked="0"/>
    </xf>
    <xf numFmtId="164" fontId="16" fillId="0" borderId="19" xfId="0" applyNumberFormat="1" applyFont="1" applyFill="1" applyBorder="1" applyAlignment="1" applyProtection="1">
      <alignment horizontal="right" vertical="top" wrapText="1" readingOrder="1"/>
      <protection locked="0"/>
    </xf>
    <xf numFmtId="0" fontId="10" fillId="0" borderId="33"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82" xfId="1" applyNumberFormat="1" applyFont="1" applyFill="1" applyBorder="1" applyAlignment="1" applyProtection="1">
      <alignment horizontal="left" vertical="top" wrapText="1" readingOrder="1"/>
      <protection locked="0"/>
    </xf>
    <xf numFmtId="0" fontId="10" fillId="0" borderId="85" xfId="1" applyNumberFormat="1" applyFont="1" applyFill="1" applyBorder="1" applyAlignment="1" applyProtection="1">
      <alignment horizontal="left" vertical="top" wrapText="1" readingOrder="1"/>
      <protection locked="0"/>
    </xf>
    <xf numFmtId="0" fontId="10" fillId="0" borderId="40" xfId="0" applyNumberFormat="1" applyFont="1" applyFill="1" applyBorder="1" applyAlignment="1" applyProtection="1">
      <alignment horizontal="center" vertical="top" wrapText="1" readingOrder="1"/>
      <protection locked="0"/>
    </xf>
    <xf numFmtId="0" fontId="10" fillId="0" borderId="36" xfId="0" applyNumberFormat="1" applyFont="1" applyFill="1" applyBorder="1" applyAlignment="1" applyProtection="1">
      <alignment horizontal="center" vertical="top" wrapText="1" readingOrder="1"/>
      <protection locked="0"/>
    </xf>
    <xf numFmtId="164" fontId="16" fillId="0" borderId="26" xfId="0" applyNumberFormat="1" applyFont="1" applyFill="1" applyBorder="1" applyAlignment="1" applyProtection="1">
      <alignment horizontal="right" vertical="top" wrapText="1" readingOrder="1"/>
      <protection locked="0"/>
    </xf>
    <xf numFmtId="164" fontId="16" fillId="0" borderId="19" xfId="0" applyNumberFormat="1" applyFont="1" applyFill="1" applyBorder="1" applyAlignment="1" applyProtection="1">
      <alignment horizontal="right" vertical="top" wrapText="1" readingOrder="1"/>
    </xf>
    <xf numFmtId="0" fontId="10" fillId="4" borderId="19" xfId="0" applyNumberFormat="1" applyFont="1" applyFill="1" applyBorder="1" applyAlignment="1" applyProtection="1">
      <alignment horizontal="left" vertical="top" wrapText="1" readingOrder="1"/>
      <protection locked="0"/>
    </xf>
    <xf numFmtId="0" fontId="10" fillId="4" borderId="19" xfId="0" applyNumberFormat="1" applyFont="1" applyFill="1" applyBorder="1" applyAlignment="1" applyProtection="1">
      <alignment horizontal="center" vertical="top" wrapText="1" readingOrder="1"/>
      <protection locked="0"/>
    </xf>
    <xf numFmtId="0" fontId="10" fillId="4" borderId="33" xfId="0" applyNumberFormat="1" applyFont="1" applyFill="1" applyBorder="1" applyAlignment="1" applyProtection="1">
      <alignment horizontal="left" vertical="top" wrapText="1" readingOrder="1"/>
      <protection locked="0"/>
    </xf>
    <xf numFmtId="0" fontId="10" fillId="4" borderId="26" xfId="0" applyNumberFormat="1" applyFont="1" applyFill="1" applyBorder="1" applyAlignment="1" applyProtection="1">
      <alignment horizontal="left" vertical="top" wrapText="1" readingOrder="1"/>
      <protection locked="0"/>
    </xf>
    <xf numFmtId="0" fontId="10" fillId="4" borderId="26" xfId="0" applyNumberFormat="1" applyFont="1" applyFill="1" applyBorder="1" applyAlignment="1" applyProtection="1">
      <alignment horizontal="center" vertical="top" wrapText="1" readingOrder="1"/>
      <protection locked="0"/>
    </xf>
    <xf numFmtId="0" fontId="10" fillId="4" borderId="19" xfId="0" applyNumberFormat="1" applyFont="1" applyFill="1" applyBorder="1" applyAlignment="1" applyProtection="1">
      <alignment vertical="top" wrapText="1" readingOrder="1"/>
      <protection locked="0"/>
    </xf>
    <xf numFmtId="0" fontId="10" fillId="4" borderId="18" xfId="0" applyNumberFormat="1" applyFont="1" applyFill="1" applyBorder="1" applyAlignment="1" applyProtection="1">
      <alignment vertical="top" wrapText="1" readingOrder="1"/>
      <protection locked="0"/>
    </xf>
    <xf numFmtId="0" fontId="10" fillId="13" borderId="19" xfId="0" applyNumberFormat="1" applyFont="1" applyFill="1" applyBorder="1" applyAlignment="1" applyProtection="1">
      <alignment horizontal="left" vertical="top" wrapText="1" readingOrder="1"/>
      <protection locked="0"/>
    </xf>
    <xf numFmtId="0" fontId="10" fillId="13" borderId="19" xfId="0" applyNumberFormat="1" applyFont="1" applyFill="1" applyBorder="1" applyAlignment="1" applyProtection="1">
      <alignment horizontal="center" vertical="top" wrapText="1" readingOrder="1"/>
      <protection locked="0"/>
    </xf>
    <xf numFmtId="0" fontId="10" fillId="13" borderId="33" xfId="0" applyNumberFormat="1" applyFont="1" applyFill="1" applyBorder="1" applyAlignment="1" applyProtection="1">
      <alignment horizontal="left" vertical="top" wrapText="1" readingOrder="1"/>
      <protection locked="0"/>
    </xf>
    <xf numFmtId="0" fontId="10" fillId="13" borderId="18" xfId="0" applyNumberFormat="1" applyFont="1" applyFill="1" applyBorder="1" applyAlignment="1" applyProtection="1">
      <alignment vertical="top" wrapText="1" readingOrder="1"/>
      <protection locked="0"/>
    </xf>
    <xf numFmtId="0" fontId="10" fillId="13" borderId="19" xfId="0" applyNumberFormat="1" applyFont="1" applyFill="1" applyBorder="1" applyAlignment="1" applyProtection="1">
      <alignment vertical="top" wrapText="1" readingOrder="1"/>
      <protection locked="0"/>
    </xf>
    <xf numFmtId="0" fontId="1" fillId="4" borderId="33" xfId="0" applyNumberFormat="1" applyFont="1" applyFill="1" applyBorder="1" applyAlignment="1" applyProtection="1">
      <alignment horizontal="left" vertical="top" wrapText="1" readingOrder="1"/>
      <protection locked="0"/>
    </xf>
    <xf numFmtId="2" fontId="10" fillId="0" borderId="26" xfId="0" applyNumberFormat="1" applyFont="1" applyFill="1" applyBorder="1" applyAlignment="1" applyProtection="1">
      <alignment horizontal="right" vertical="top" wrapText="1" readingOrder="1"/>
      <protection locked="0"/>
    </xf>
    <xf numFmtId="0" fontId="16" fillId="0" borderId="18" xfId="0" applyNumberFormat="1" applyFont="1" applyFill="1" applyBorder="1" applyAlignment="1" applyProtection="1">
      <alignment vertical="top" wrapText="1" readingOrder="1"/>
      <protection locked="0"/>
    </xf>
    <xf numFmtId="0" fontId="16" fillId="0" borderId="19" xfId="0" applyNumberFormat="1" applyFont="1" applyFill="1" applyBorder="1" applyAlignment="1" applyProtection="1">
      <alignment vertical="top" wrapText="1" readingOrder="1"/>
      <protection locked="0"/>
    </xf>
    <xf numFmtId="0" fontId="16" fillId="0" borderId="19" xfId="0" applyNumberFormat="1" applyFont="1" applyFill="1" applyBorder="1" applyAlignment="1" applyProtection="1">
      <alignment horizontal="left" vertical="top" wrapText="1" readingOrder="1"/>
      <protection locked="0"/>
    </xf>
    <xf numFmtId="0" fontId="16" fillId="0" borderId="19" xfId="0" applyNumberFormat="1" applyFont="1" applyFill="1" applyBorder="1" applyAlignment="1" applyProtection="1">
      <alignment horizontal="center" vertical="top" wrapText="1" readingOrder="1"/>
      <protection locked="0"/>
    </xf>
    <xf numFmtId="0" fontId="16" fillId="0" borderId="19" xfId="0" applyNumberFormat="1" applyFont="1" applyFill="1" applyBorder="1" applyAlignment="1" applyProtection="1">
      <alignment horizontal="right" vertical="top" wrapText="1" readingOrder="1"/>
      <protection locked="0"/>
    </xf>
    <xf numFmtId="0" fontId="16" fillId="0" borderId="33" xfId="0" applyNumberFormat="1" applyFont="1" applyFill="1" applyBorder="1" applyAlignment="1" applyProtection="1">
      <alignment horizontal="left" vertical="top" wrapText="1" readingOrder="1"/>
      <protection locked="0"/>
    </xf>
    <xf numFmtId="0" fontId="16" fillId="0" borderId="25" xfId="0" applyNumberFormat="1" applyFont="1" applyFill="1" applyBorder="1" applyAlignment="1" applyProtection="1">
      <alignment vertical="top" wrapText="1" readingOrder="1"/>
      <protection locked="0"/>
    </xf>
    <xf numFmtId="0" fontId="16" fillId="0" borderId="26" xfId="0" applyNumberFormat="1" applyFont="1" applyFill="1" applyBorder="1" applyAlignment="1" applyProtection="1">
      <alignment vertical="top" wrapText="1" readingOrder="1"/>
      <protection locked="0"/>
    </xf>
    <xf numFmtId="0" fontId="16" fillId="0" borderId="26" xfId="0" applyNumberFormat="1" applyFont="1" applyFill="1" applyBorder="1" applyAlignment="1" applyProtection="1">
      <alignment horizontal="left" vertical="top" wrapText="1" readingOrder="1"/>
      <protection locked="0"/>
    </xf>
    <xf numFmtId="0" fontId="16" fillId="0" borderId="26" xfId="0" applyNumberFormat="1" applyFont="1" applyFill="1" applyBorder="1" applyAlignment="1" applyProtection="1">
      <alignment horizontal="center" vertical="top" wrapText="1" readingOrder="1"/>
      <protection locked="0"/>
    </xf>
    <xf numFmtId="0" fontId="16" fillId="0" borderId="26" xfId="0" applyNumberFormat="1" applyFont="1" applyFill="1" applyBorder="1" applyAlignment="1" applyProtection="1">
      <alignment horizontal="right" vertical="top" wrapText="1" readingOrder="1"/>
      <protection locked="0"/>
    </xf>
    <xf numFmtId="0" fontId="16" fillId="0" borderId="37" xfId="0" applyNumberFormat="1" applyFont="1" applyFill="1" applyBorder="1" applyAlignment="1" applyProtection="1">
      <alignment horizontal="left" vertical="top" wrapText="1" readingOrder="1"/>
      <protection locked="0"/>
    </xf>
    <xf numFmtId="164" fontId="16" fillId="0" borderId="19" xfId="0" applyNumberFormat="1" applyFont="1" applyFill="1" applyBorder="1" applyAlignment="1" applyProtection="1">
      <alignment horizontal="right" vertical="top" wrapText="1" readingOrder="1"/>
      <protection locked="0"/>
    </xf>
    <xf numFmtId="0" fontId="10" fillId="4" borderId="26" xfId="0" applyNumberFormat="1" applyFont="1" applyFill="1" applyBorder="1" applyAlignment="1" applyProtection="1">
      <alignment horizontal="right" vertical="top" wrapText="1" readingOrder="1"/>
      <protection locked="0"/>
    </xf>
    <xf numFmtId="0" fontId="10" fillId="4" borderId="19" xfId="0" applyNumberFormat="1" applyFont="1" applyFill="1" applyBorder="1" applyAlignment="1" applyProtection="1">
      <alignment horizontal="right" vertical="top" wrapText="1" readingOrder="1"/>
      <protection locked="0"/>
    </xf>
    <xf numFmtId="0" fontId="10" fillId="13" borderId="19" xfId="0" applyNumberFormat="1" applyFont="1" applyFill="1" applyBorder="1" applyAlignment="1" applyProtection="1">
      <alignment horizontal="right" vertical="top" wrapText="1" readingOrder="1"/>
      <protection locked="0"/>
    </xf>
    <xf numFmtId="0" fontId="10" fillId="0" borderId="36" xfId="0" applyNumberFormat="1" applyFont="1" applyFill="1" applyBorder="1" applyAlignment="1" applyProtection="1">
      <alignment horizontal="left" vertical="top" wrapText="1" readingOrder="1"/>
      <protection locked="0"/>
    </xf>
    <xf numFmtId="0" fontId="10" fillId="0" borderId="41" xfId="0" applyNumberFormat="1" applyFont="1" applyFill="1" applyBorder="1" applyAlignment="1" applyProtection="1">
      <alignment horizontal="left" vertical="top" wrapText="1" readingOrder="1"/>
      <protection locked="0"/>
    </xf>
    <xf numFmtId="0" fontId="10" fillId="0" borderId="42" xfId="0" applyNumberFormat="1" applyFont="1" applyFill="1" applyBorder="1" applyAlignment="1" applyProtection="1">
      <alignment horizontal="left" vertical="top" wrapText="1" readingOrder="1"/>
      <protection locked="0"/>
    </xf>
    <xf numFmtId="0" fontId="10" fillId="0" borderId="49" xfId="0" applyNumberFormat="1" applyFont="1" applyFill="1" applyBorder="1" applyAlignment="1" applyProtection="1">
      <alignment vertical="top" wrapText="1" readingOrder="1"/>
      <protection locked="0"/>
    </xf>
    <xf numFmtId="0" fontId="10" fillId="0" borderId="40" xfId="0" applyNumberFormat="1" applyFont="1" applyFill="1" applyBorder="1" applyAlignment="1" applyProtection="1">
      <alignment vertical="top" wrapText="1" readingOrder="1"/>
      <protection locked="0"/>
    </xf>
    <xf numFmtId="0" fontId="10" fillId="0" borderId="40" xfId="0" applyNumberFormat="1" applyFont="1" applyFill="1" applyBorder="1" applyAlignment="1" applyProtection="1">
      <alignment horizontal="left" vertical="top" wrapText="1" readingOrder="1"/>
      <protection locked="0"/>
    </xf>
    <xf numFmtId="164" fontId="10" fillId="0" borderId="40" xfId="0" applyNumberFormat="1" applyFont="1" applyFill="1" applyBorder="1" applyAlignment="1" applyProtection="1">
      <alignment horizontal="right" vertical="top" wrapText="1" readingOrder="1"/>
      <protection locked="0"/>
    </xf>
    <xf numFmtId="0" fontId="10" fillId="0" borderId="40" xfId="0" applyNumberFormat="1" applyFont="1" applyFill="1" applyBorder="1" applyAlignment="1" applyProtection="1">
      <alignment horizontal="right" vertical="top" wrapText="1" readingOrder="1"/>
      <protection locked="0"/>
    </xf>
    <xf numFmtId="0" fontId="10" fillId="0" borderId="39" xfId="0" applyNumberFormat="1" applyFont="1" applyFill="1" applyBorder="1" applyAlignment="1" applyProtection="1">
      <alignment vertical="top" wrapText="1" readingOrder="1"/>
      <protection locked="0"/>
    </xf>
    <xf numFmtId="0" fontId="10" fillId="0" borderId="36" xfId="0" applyNumberFormat="1" applyFont="1" applyFill="1" applyBorder="1" applyAlignment="1" applyProtection="1">
      <alignment vertical="top" wrapText="1" readingOrder="1"/>
      <protection locked="0"/>
    </xf>
    <xf numFmtId="0" fontId="10" fillId="0" borderId="36" xfId="0" applyNumberFormat="1" applyFont="1" applyFill="1" applyBorder="1" applyAlignment="1" applyProtection="1">
      <alignment horizontal="right" vertical="top" wrapText="1" readingOrder="1"/>
      <protection locked="0"/>
    </xf>
    <xf numFmtId="0" fontId="10" fillId="0" borderId="46" xfId="0" applyNumberFormat="1" applyFont="1" applyFill="1" applyBorder="1" applyAlignment="1" applyProtection="1">
      <alignment horizontal="left" vertical="top" wrapText="1" readingOrder="1"/>
      <protection locked="0"/>
    </xf>
    <xf numFmtId="164" fontId="10" fillId="0" borderId="46" xfId="0" applyNumberFormat="1" applyFont="1" applyFill="1" applyBorder="1" applyAlignment="1" applyProtection="1">
      <alignment horizontal="right" vertical="top" wrapText="1" readingOrder="1"/>
    </xf>
    <xf numFmtId="0" fontId="10" fillId="0" borderId="46" xfId="0" applyNumberFormat="1" applyFont="1" applyFill="1" applyBorder="1" applyAlignment="1" applyProtection="1">
      <alignment horizontal="center" vertical="top" wrapText="1" readingOrder="1"/>
      <protection locked="0"/>
    </xf>
    <xf numFmtId="0" fontId="10" fillId="0" borderId="46" xfId="0" applyNumberFormat="1" applyFont="1" applyFill="1" applyBorder="1" applyAlignment="1" applyProtection="1">
      <alignment horizontal="right" vertical="top" wrapText="1" readingOrder="1"/>
      <protection locked="0"/>
    </xf>
    <xf numFmtId="0" fontId="10" fillId="0" borderId="83" xfId="0" applyNumberFormat="1" applyFont="1" applyFill="1" applyBorder="1" applyAlignment="1" applyProtection="1">
      <alignment vertical="top" wrapText="1" readingOrder="1"/>
      <protection locked="0"/>
    </xf>
    <xf numFmtId="0" fontId="10" fillId="0" borderId="48" xfId="0" applyNumberFormat="1" applyFont="1" applyFill="1" applyBorder="1" applyAlignment="1" applyProtection="1">
      <alignmen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0" fillId="0" borderId="37" xfId="1" applyNumberFormat="1" applyFont="1" applyFill="1" applyBorder="1" applyAlignment="1" applyProtection="1">
      <alignment horizontal="left" vertical="top" wrapText="1" readingOrder="1"/>
      <protection locked="0"/>
    </xf>
    <xf numFmtId="0" fontId="1" fillId="4" borderId="33" xfId="1" applyNumberFormat="1" applyFont="1" applyFill="1" applyBorder="1" applyAlignment="1" applyProtection="1">
      <alignment horizontal="left" vertical="top" wrapText="1" readingOrder="1"/>
      <protection locked="0"/>
    </xf>
    <xf numFmtId="0" fontId="10" fillId="0" borderId="80" xfId="1" applyNumberFormat="1" applyFont="1" applyFill="1" applyBorder="1" applyAlignment="1" applyProtection="1">
      <alignment horizontal="left" vertical="top" wrapText="1" readingOrder="1"/>
      <protection locked="0"/>
    </xf>
    <xf numFmtId="0" fontId="10" fillId="0" borderId="82" xfId="1" applyNumberFormat="1" applyFont="1" applyFill="1" applyBorder="1" applyAlignment="1" applyProtection="1">
      <alignment horizontal="left" vertical="top" wrapText="1" readingOrder="1"/>
      <protection locked="0"/>
    </xf>
    <xf numFmtId="164" fontId="10" fillId="0" borderId="36" xfId="0" applyNumberFormat="1" applyFont="1" applyFill="1" applyBorder="1" applyAlignment="1" applyProtection="1">
      <alignment horizontal="right" vertical="top" wrapText="1" readingOrder="1"/>
    </xf>
    <xf numFmtId="164" fontId="16" fillId="0" borderId="48" xfId="0" applyNumberFormat="1" applyFont="1" applyFill="1" applyBorder="1" applyAlignment="1" applyProtection="1">
      <alignment horizontal="right" vertical="top" wrapText="1" readingOrder="1"/>
      <protection locked="0"/>
    </xf>
    <xf numFmtId="0" fontId="10" fillId="4" borderId="48" xfId="0" applyNumberFormat="1" applyFont="1" applyFill="1" applyBorder="1" applyAlignment="1" applyProtection="1">
      <alignment horizontal="left" vertical="top" wrapText="1" readingOrder="1"/>
      <protection locked="0"/>
    </xf>
    <xf numFmtId="0" fontId="10" fillId="4" borderId="48" xfId="0" applyNumberFormat="1" applyFont="1" applyFill="1" applyBorder="1" applyAlignment="1" applyProtection="1">
      <alignment horizontal="center" vertical="top" wrapText="1" readingOrder="1"/>
      <protection locked="0"/>
    </xf>
    <xf numFmtId="0" fontId="10" fillId="4" borderId="48" xfId="0" applyNumberFormat="1" applyFont="1" applyFill="1" applyBorder="1" applyAlignment="1" applyProtection="1">
      <alignment horizontal="right" vertical="top" wrapText="1" readingOrder="1"/>
      <protection locked="0"/>
    </xf>
    <xf numFmtId="0" fontId="10" fillId="4" borderId="84" xfId="1" applyNumberFormat="1" applyFont="1" applyFill="1" applyBorder="1" applyAlignment="1" applyProtection="1">
      <alignment horizontal="left" vertical="top" wrapText="1" readingOrder="1"/>
      <protection locked="0"/>
    </xf>
    <xf numFmtId="0" fontId="10" fillId="13" borderId="26" xfId="0" applyNumberFormat="1" applyFont="1" applyFill="1" applyBorder="1" applyAlignment="1" applyProtection="1">
      <alignment horizontal="right" vertical="top" wrapText="1" readingOrder="1"/>
      <protection locked="0"/>
    </xf>
    <xf numFmtId="0" fontId="10" fillId="13" borderId="37" xfId="0" applyNumberFormat="1" applyFont="1" applyFill="1" applyBorder="1" applyAlignment="1" applyProtection="1">
      <alignment horizontal="left" vertical="top" wrapText="1" readingOrder="1"/>
      <protection locked="0"/>
    </xf>
    <xf numFmtId="0" fontId="1" fillId="4" borderId="26" xfId="0" applyNumberFormat="1" applyFont="1" applyFill="1" applyBorder="1" applyAlignment="1" applyProtection="1">
      <alignment horizontal="left" vertical="top" wrapText="1" readingOrder="1"/>
      <protection locked="0"/>
    </xf>
    <xf numFmtId="0" fontId="1" fillId="4" borderId="26" xfId="0" applyNumberFormat="1" applyFont="1" applyFill="1" applyBorder="1" applyAlignment="1" applyProtection="1">
      <alignment horizontal="center" vertical="top" wrapText="1" readingOrder="1"/>
      <protection locked="0"/>
    </xf>
    <xf numFmtId="0" fontId="1" fillId="4" borderId="26" xfId="0" applyNumberFormat="1" applyFont="1" applyFill="1" applyBorder="1" applyAlignment="1" applyProtection="1">
      <alignment horizontal="right" vertical="top" wrapText="1" readingOrder="1"/>
      <protection locked="0"/>
    </xf>
    <xf numFmtId="0" fontId="1" fillId="4" borderId="37" xfId="1" applyNumberFormat="1" applyFont="1" applyFill="1" applyBorder="1" applyAlignment="1" applyProtection="1">
      <alignment horizontal="left" vertical="top" wrapText="1" readingOrder="1"/>
      <protection locked="0"/>
    </xf>
    <xf numFmtId="0" fontId="1" fillId="4" borderId="19" xfId="0" applyNumberFormat="1" applyFont="1" applyFill="1" applyBorder="1" applyAlignment="1" applyProtection="1">
      <alignment horizontal="left" vertical="top" wrapText="1" readingOrder="1"/>
      <protection locked="0"/>
    </xf>
    <xf numFmtId="0" fontId="1" fillId="4" borderId="19" xfId="0" applyNumberFormat="1" applyFont="1" applyFill="1" applyBorder="1" applyAlignment="1" applyProtection="1">
      <alignment horizontal="center" vertical="top" wrapText="1" readingOrder="1"/>
      <protection locked="0"/>
    </xf>
    <xf numFmtId="0" fontId="1" fillId="4" borderId="19" xfId="0" applyNumberFormat="1" applyFont="1" applyFill="1" applyBorder="1" applyAlignment="1" applyProtection="1">
      <alignment horizontal="right" vertical="top" wrapText="1" readingOrder="1"/>
      <protection locked="0"/>
    </xf>
    <xf numFmtId="0" fontId="10" fillId="4" borderId="85" xfId="1" applyNumberFormat="1" applyFont="1" applyFill="1" applyBorder="1" applyAlignment="1" applyProtection="1">
      <alignment horizontal="left" vertical="top" wrapText="1" readingOrder="1"/>
      <protection locked="0"/>
    </xf>
    <xf numFmtId="0" fontId="10" fillId="4" borderId="87" xfId="1" applyNumberFormat="1" applyFont="1" applyFill="1" applyBorder="1" applyAlignment="1" applyProtection="1">
      <alignment horizontal="left" vertical="top" wrapText="1" readingOrder="1"/>
      <protection locked="0"/>
    </xf>
    <xf numFmtId="0" fontId="10" fillId="4" borderId="42" xfId="1" applyNumberFormat="1" applyFont="1" applyFill="1" applyBorder="1" applyAlignment="1" applyProtection="1">
      <alignment horizontal="left" vertical="top" wrapText="1" readingOrder="1"/>
      <protection locked="0"/>
    </xf>
    <xf numFmtId="0" fontId="10" fillId="4" borderId="81" xfId="0" applyNumberFormat="1" applyFont="1" applyFill="1" applyBorder="1" applyAlignment="1" applyProtection="1">
      <alignment vertical="top" wrapText="1" readingOrder="1"/>
      <protection locked="0"/>
    </xf>
    <xf numFmtId="0" fontId="10" fillId="4" borderId="46" xfId="0" applyNumberFormat="1" applyFont="1" applyFill="1" applyBorder="1" applyAlignment="1" applyProtection="1">
      <alignment vertical="top" wrapText="1" readingOrder="1"/>
      <protection locked="0"/>
    </xf>
    <xf numFmtId="0" fontId="14" fillId="0" borderId="30" xfId="0" applyNumberFormat="1" applyFont="1" applyFill="1" applyBorder="1" applyAlignment="1" applyProtection="1">
      <alignment horizontal="center" vertical="center" wrapText="1" readingOrder="1"/>
    </xf>
    <xf numFmtId="0" fontId="10" fillId="0" borderId="48" xfId="0" applyNumberFormat="1" applyFont="1" applyFill="1" applyBorder="1" applyAlignment="1" applyProtection="1">
      <alignment horizontal="center" vertical="top" wrapText="1" readingOrder="1"/>
      <protection locked="0"/>
    </xf>
    <xf numFmtId="0" fontId="14" fillId="0" borderId="26" xfId="0" applyNumberFormat="1" applyFont="1" applyFill="1" applyBorder="1" applyAlignment="1" applyProtection="1">
      <alignment horizontal="center" vertical="center" wrapText="1" readingOrder="1"/>
    </xf>
    <xf numFmtId="0" fontId="3" fillId="0" borderId="0" xfId="0" applyFont="1" applyAlignment="1">
      <alignment horizontal="left" wrapText="1"/>
    </xf>
    <xf numFmtId="0" fontId="1" fillId="0" borderId="33" xfId="0" applyNumberFormat="1" applyFont="1" applyFill="1" applyBorder="1" applyAlignment="1" applyProtection="1">
      <alignment horizontal="left" vertical="top" wrapText="1" readingOrder="1"/>
      <protection locked="0"/>
    </xf>
    <xf numFmtId="0" fontId="4"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88" xfId="0" applyNumberFormat="1" applyFont="1" applyFill="1" applyBorder="1" applyAlignment="1" applyProtection="1">
      <alignment wrapText="1" readingOrder="1"/>
    </xf>
    <xf numFmtId="0" fontId="4" fillId="0" borderId="4" xfId="0" applyFont="1" applyBorder="1" applyAlignment="1">
      <alignment horizontal="center" vertical="center"/>
    </xf>
    <xf numFmtId="0" fontId="1" fillId="0" borderId="0" xfId="0" applyFont="1" applyFill="1" applyBorder="1" applyAlignment="1">
      <alignment horizontal="left" vertical="top" wrapText="1"/>
    </xf>
    <xf numFmtId="0" fontId="4" fillId="0" borderId="0" xfId="0" applyFont="1" applyAlignment="1">
      <alignment horizontal="left" vertical="top" wrapText="1"/>
    </xf>
    <xf numFmtId="0" fontId="4" fillId="0" borderId="0" xfId="1" applyFont="1" applyAlignment="1">
      <alignment horizontal="justify" vertical="justify" wrapText="1"/>
    </xf>
    <xf numFmtId="0" fontId="4" fillId="0" borderId="0" xfId="0" applyFont="1" applyFill="1" applyBorder="1" applyAlignment="1">
      <alignment horizontal="right" vertical="top"/>
    </xf>
    <xf numFmtId="0" fontId="5" fillId="0" borderId="0" xfId="0" applyFont="1" applyFill="1" applyBorder="1" applyAlignment="1">
      <alignment vertical="top" wrapText="1"/>
    </xf>
    <xf numFmtId="0" fontId="3" fillId="0" borderId="0" xfId="0" applyFont="1" applyFill="1" applyAlignment="1">
      <alignment vertical="top" wrapText="1"/>
    </xf>
    <xf numFmtId="0" fontId="4" fillId="0" borderId="0" xfId="1" applyFont="1" applyBorder="1" applyAlignment="1">
      <alignment horizontal="justify" vertical="justify" wrapText="1"/>
    </xf>
    <xf numFmtId="0" fontId="5" fillId="0" borderId="0" xfId="0" applyFont="1" applyFill="1" applyBorder="1" applyAlignment="1">
      <alignment horizontal="left" vertical="top" wrapText="1"/>
    </xf>
    <xf numFmtId="0" fontId="4" fillId="0" borderId="0" xfId="0" applyFont="1" applyAlignment="1">
      <alignment horizontal="center" vertical="top" wrapText="1"/>
    </xf>
    <xf numFmtId="0" fontId="6" fillId="2" borderId="0" xfId="0" applyFont="1" applyFill="1" applyBorder="1" applyAlignment="1">
      <alignment horizontal="center" vertical="top" wrapText="1"/>
    </xf>
    <xf numFmtId="0" fontId="7" fillId="2" borderId="0" xfId="0" applyFont="1" applyFill="1" applyBorder="1" applyAlignment="1">
      <alignment vertical="top" wrapText="1"/>
    </xf>
    <xf numFmtId="0" fontId="3" fillId="2" borderId="0" xfId="0" applyFont="1" applyFill="1" applyAlignment="1">
      <alignment vertical="top" wrapText="1"/>
    </xf>
    <xf numFmtId="0" fontId="7" fillId="2" borderId="0" xfId="0" applyFont="1" applyFill="1" applyBorder="1" applyAlignment="1">
      <alignment horizontal="justify" vertical="justify" wrapText="1"/>
    </xf>
    <xf numFmtId="0" fontId="3" fillId="2" borderId="0" xfId="0" applyFont="1" applyFill="1" applyAlignment="1">
      <alignment horizontal="justify" vertical="justify" wrapText="1"/>
    </xf>
    <xf numFmtId="0" fontId="7" fillId="2" borderId="0" xfId="0" applyFont="1" applyFill="1" applyBorder="1" applyAlignment="1">
      <alignment horizontal="left" wrapText="1"/>
    </xf>
    <xf numFmtId="0" fontId="3" fillId="0" borderId="0" xfId="0" applyFont="1" applyAlignment="1">
      <alignment horizontal="left" wrapText="1"/>
    </xf>
    <xf numFmtId="0" fontId="10" fillId="13" borderId="22" xfId="0" applyNumberFormat="1" applyFont="1" applyFill="1" applyBorder="1" applyAlignment="1" applyProtection="1">
      <alignment horizontal="left" vertical="top" wrapText="1" readingOrder="1"/>
      <protection locked="0"/>
    </xf>
    <xf numFmtId="0" fontId="10" fillId="13" borderId="31" xfId="0" applyNumberFormat="1" applyFont="1" applyFill="1" applyBorder="1" applyAlignment="1" applyProtection="1">
      <alignment horizontal="left" vertical="top" wrapText="1" readingOrder="1"/>
      <protection locked="0"/>
    </xf>
    <xf numFmtId="0" fontId="10" fillId="3" borderId="34" xfId="0" applyNumberFormat="1" applyFont="1" applyFill="1" applyBorder="1" applyAlignment="1" applyProtection="1">
      <alignment horizontal="left" vertical="top" wrapText="1" readingOrder="1"/>
      <protection locked="0"/>
    </xf>
    <xf numFmtId="0" fontId="10" fillId="3" borderId="39" xfId="0" applyNumberFormat="1" applyFont="1" applyFill="1" applyBorder="1" applyAlignment="1" applyProtection="1">
      <alignment horizontal="left" vertical="top" wrapText="1" readingOrder="1"/>
      <protection locked="0"/>
    </xf>
    <xf numFmtId="0" fontId="10" fillId="3" borderId="23" xfId="0" applyNumberFormat="1" applyFont="1" applyFill="1" applyBorder="1" applyAlignment="1" applyProtection="1">
      <alignment horizontal="left" vertical="top" wrapText="1" readingOrder="1"/>
      <protection locked="0"/>
    </xf>
    <xf numFmtId="0" fontId="10" fillId="3" borderId="28" xfId="0" applyNumberFormat="1" applyFont="1" applyFill="1" applyBorder="1" applyAlignment="1" applyProtection="1">
      <alignment horizontal="left" vertical="top" wrapText="1" readingOrder="1"/>
      <protection locked="0"/>
    </xf>
    <xf numFmtId="0" fontId="10" fillId="3" borderId="32" xfId="0" applyNumberFormat="1" applyFont="1" applyFill="1" applyBorder="1" applyAlignment="1" applyProtection="1">
      <alignment horizontal="left" vertical="top" wrapText="1" readingOrder="1"/>
      <protection locked="0"/>
    </xf>
    <xf numFmtId="0" fontId="10" fillId="0" borderId="22" xfId="0" applyNumberFormat="1" applyFont="1" applyFill="1" applyBorder="1" applyAlignment="1" applyProtection="1">
      <alignment horizontal="left" vertical="top" wrapText="1" readingOrder="1"/>
      <protection locked="0"/>
    </xf>
    <xf numFmtId="0" fontId="10" fillId="0" borderId="27" xfId="0" applyNumberFormat="1" applyFont="1" applyFill="1" applyBorder="1" applyAlignment="1" applyProtection="1">
      <alignment horizontal="left" vertical="top" wrapText="1" readingOrder="1"/>
      <protection locked="0"/>
    </xf>
    <xf numFmtId="0" fontId="10" fillId="0" borderId="31" xfId="0" applyNumberFormat="1" applyFont="1" applyFill="1" applyBorder="1" applyAlignment="1" applyProtection="1">
      <alignment horizontal="left" vertical="top" wrapText="1" readingOrder="1"/>
      <protection locked="0"/>
    </xf>
    <xf numFmtId="0" fontId="10" fillId="0" borderId="34" xfId="0" applyNumberFormat="1" applyFont="1" applyFill="1" applyBorder="1" applyAlignment="1" applyProtection="1">
      <alignment horizontal="left" vertical="top" wrapText="1" readingOrder="1"/>
      <protection locked="0"/>
    </xf>
    <xf numFmtId="0" fontId="10" fillId="0" borderId="38" xfId="0" applyNumberFormat="1" applyFont="1" applyFill="1" applyBorder="1" applyAlignment="1" applyProtection="1">
      <alignment horizontal="left" vertical="top" wrapText="1" readingOrder="1"/>
      <protection locked="0"/>
    </xf>
    <xf numFmtId="0" fontId="10" fillId="0" borderId="35" xfId="0" applyNumberFormat="1" applyFont="1" applyFill="1" applyBorder="1" applyAlignment="1" applyProtection="1">
      <alignment horizontal="left" vertical="top" wrapText="1" readingOrder="1"/>
      <protection locked="0"/>
    </xf>
    <xf numFmtId="0" fontId="10" fillId="3" borderId="22" xfId="0" applyNumberFormat="1" applyFont="1" applyFill="1" applyBorder="1" applyAlignment="1" applyProtection="1">
      <alignment horizontal="left" vertical="top" wrapText="1" readingOrder="1"/>
      <protection locked="0"/>
    </xf>
    <xf numFmtId="0" fontId="10" fillId="3" borderId="31" xfId="0" applyNumberFormat="1" applyFont="1" applyFill="1" applyBorder="1" applyAlignment="1" applyProtection="1">
      <alignment horizontal="left" vertical="top" wrapText="1" readingOrder="1"/>
      <protection locked="0"/>
    </xf>
    <xf numFmtId="0" fontId="4" fillId="0" borderId="0" xfId="0" applyFont="1" applyBorder="1" applyAlignment="1">
      <alignment horizontal="center" vertical="top" wrapText="1"/>
    </xf>
    <xf numFmtId="0" fontId="7" fillId="0" borderId="0" xfId="0" applyFont="1" applyBorder="1" applyAlignment="1">
      <alignment horizontal="center" vertical="center" wrapText="1"/>
    </xf>
    <xf numFmtId="0" fontId="10" fillId="0" borderId="36" xfId="0" applyNumberFormat="1" applyFont="1" applyFill="1" applyBorder="1" applyAlignment="1" applyProtection="1">
      <alignment horizontal="left" vertical="top" wrapText="1" readingOrder="1"/>
      <protection locked="0"/>
    </xf>
    <xf numFmtId="0" fontId="10" fillId="0" borderId="39" xfId="0" applyNumberFormat="1" applyFont="1" applyFill="1" applyBorder="1" applyAlignment="1" applyProtection="1">
      <alignment horizontal="left" vertical="top" wrapText="1" readingOrder="1"/>
      <protection locked="0"/>
    </xf>
    <xf numFmtId="0" fontId="10" fillId="0" borderId="23" xfId="0" applyNumberFormat="1" applyFont="1" applyFill="1" applyBorder="1" applyAlignment="1" applyProtection="1">
      <alignment horizontal="left" vertical="top" wrapText="1" readingOrder="1"/>
      <protection locked="0"/>
    </xf>
    <xf numFmtId="0" fontId="10" fillId="0" borderId="28" xfId="0" applyNumberFormat="1" applyFont="1" applyFill="1" applyBorder="1" applyAlignment="1" applyProtection="1">
      <alignment horizontal="left" vertical="top" wrapText="1" readingOrder="1"/>
      <protection locked="0"/>
    </xf>
    <xf numFmtId="0" fontId="10" fillId="0" borderId="32" xfId="0" applyNumberFormat="1" applyFont="1" applyFill="1" applyBorder="1" applyAlignment="1" applyProtection="1">
      <alignment horizontal="left" vertical="top" wrapText="1" readingOrder="1"/>
      <protection locked="0"/>
    </xf>
    <xf numFmtId="0" fontId="10" fillId="4" borderId="22" xfId="0" applyNumberFormat="1" applyFont="1" applyFill="1" applyBorder="1" applyAlignment="1" applyProtection="1">
      <alignment horizontal="left" vertical="top" wrapText="1" readingOrder="1"/>
      <protection locked="0"/>
    </xf>
    <xf numFmtId="0" fontId="10" fillId="4" borderId="31" xfId="0" applyNumberFormat="1" applyFont="1" applyFill="1" applyBorder="1" applyAlignment="1" applyProtection="1">
      <alignment horizontal="left" vertical="top" wrapText="1" readingOrder="1"/>
      <protection locked="0"/>
    </xf>
    <xf numFmtId="0" fontId="10" fillId="4" borderId="34" xfId="0" applyNumberFormat="1" applyFont="1" applyFill="1" applyBorder="1" applyAlignment="1" applyProtection="1">
      <alignment horizontal="left" vertical="top" wrapText="1" readingOrder="1"/>
      <protection locked="0"/>
    </xf>
    <xf numFmtId="0" fontId="10" fillId="4" borderId="35" xfId="0" applyNumberFormat="1" applyFont="1" applyFill="1" applyBorder="1" applyAlignment="1" applyProtection="1">
      <alignment horizontal="left" vertical="top" wrapText="1" readingOrder="1"/>
      <protection locked="0"/>
    </xf>
    <xf numFmtId="0" fontId="10" fillId="3" borderId="35" xfId="0" applyNumberFormat="1" applyFont="1" applyFill="1" applyBorder="1" applyAlignment="1" applyProtection="1">
      <alignment horizontal="left" vertical="top" wrapText="1" readingOrder="1"/>
      <protection locked="0"/>
    </xf>
    <xf numFmtId="0" fontId="10" fillId="0" borderId="41" xfId="0" applyNumberFormat="1" applyFont="1" applyFill="1" applyBorder="1" applyAlignment="1" applyProtection="1">
      <alignment horizontal="left" vertical="top" wrapText="1" readingOrder="1"/>
      <protection locked="0"/>
    </xf>
    <xf numFmtId="0" fontId="10" fillId="4" borderId="23" xfId="0" applyNumberFormat="1" applyFont="1" applyFill="1" applyBorder="1" applyAlignment="1" applyProtection="1">
      <alignment horizontal="left" vertical="top" wrapText="1" readingOrder="1"/>
      <protection locked="0"/>
    </xf>
    <xf numFmtId="0" fontId="10" fillId="4" borderId="28" xfId="0" applyNumberFormat="1" applyFont="1" applyFill="1" applyBorder="1" applyAlignment="1" applyProtection="1">
      <alignment horizontal="left" vertical="top" wrapText="1" readingOrder="1"/>
      <protection locked="0"/>
    </xf>
    <xf numFmtId="0" fontId="10" fillId="4" borderId="32" xfId="0" applyNumberFormat="1" applyFont="1" applyFill="1" applyBorder="1" applyAlignment="1" applyProtection="1">
      <alignment horizontal="left" vertical="top" wrapText="1" readingOrder="1"/>
      <protection locked="0"/>
    </xf>
    <xf numFmtId="0" fontId="10" fillId="3" borderId="36" xfId="0" applyNumberFormat="1" applyFont="1" applyFill="1" applyBorder="1" applyAlignment="1" applyProtection="1">
      <alignment horizontal="left" vertical="top" wrapText="1" readingOrder="1"/>
      <protection locked="0"/>
    </xf>
    <xf numFmtId="0" fontId="10" fillId="13" borderId="34" xfId="0" applyNumberFormat="1" applyFont="1" applyFill="1" applyBorder="1" applyAlignment="1" applyProtection="1">
      <alignment horizontal="left" vertical="top" wrapText="1" readingOrder="1"/>
      <protection locked="0"/>
    </xf>
    <xf numFmtId="0" fontId="10" fillId="13" borderId="35" xfId="0" applyNumberFormat="1" applyFont="1" applyFill="1" applyBorder="1" applyAlignment="1" applyProtection="1">
      <alignment horizontal="left" vertical="top" wrapText="1" readingOrder="1"/>
      <protection locked="0"/>
    </xf>
    <xf numFmtId="0" fontId="10" fillId="3" borderId="41" xfId="0" applyNumberFormat="1" applyFont="1" applyFill="1" applyBorder="1" applyAlignment="1" applyProtection="1">
      <alignment horizontal="left" vertical="top" wrapText="1" readingOrder="1"/>
      <protection locked="0"/>
    </xf>
    <xf numFmtId="0" fontId="10" fillId="13" borderId="23" xfId="0" applyNumberFormat="1" applyFont="1" applyFill="1" applyBorder="1" applyAlignment="1" applyProtection="1">
      <alignment horizontal="left" vertical="top" wrapText="1" readingOrder="1"/>
      <protection locked="0"/>
    </xf>
    <xf numFmtId="0" fontId="10" fillId="13" borderId="32" xfId="0" applyNumberFormat="1" applyFont="1" applyFill="1" applyBorder="1" applyAlignment="1" applyProtection="1">
      <alignment horizontal="left" vertical="top" wrapText="1" readingOrder="1"/>
      <protection locked="0"/>
    </xf>
    <xf numFmtId="0" fontId="14" fillId="0" borderId="77" xfId="0" applyNumberFormat="1" applyFont="1" applyFill="1" applyBorder="1" applyAlignment="1" applyProtection="1">
      <alignment horizontal="center" vertical="top" wrapText="1" readingOrder="1"/>
      <protection locked="0"/>
    </xf>
    <xf numFmtId="0" fontId="10" fillId="0" borderId="42" xfId="0" applyNumberFormat="1" applyFont="1" applyFill="1" applyBorder="1" applyAlignment="1" applyProtection="1">
      <alignment horizontal="left" vertical="top" wrapText="1" readingOrder="1"/>
      <protection locked="0"/>
    </xf>
    <xf numFmtId="0" fontId="15" fillId="3" borderId="24" xfId="0" applyNumberFormat="1" applyFont="1" applyFill="1" applyBorder="1" applyAlignment="1" applyProtection="1">
      <alignment horizontal="center" wrapText="1" readingOrder="1"/>
    </xf>
    <xf numFmtId="0" fontId="15" fillId="3" borderId="0" xfId="0" applyNumberFormat="1" applyFont="1" applyFill="1" applyAlignment="1" applyProtection="1">
      <alignment horizontal="center" wrapText="1" readingOrder="1"/>
    </xf>
    <xf numFmtId="0" fontId="14" fillId="0" borderId="18" xfId="0" applyNumberFormat="1" applyFont="1" applyFill="1" applyBorder="1" applyAlignment="1" applyProtection="1">
      <alignment horizontal="center" wrapText="1" readingOrder="1"/>
    </xf>
    <xf numFmtId="0" fontId="14" fillId="0" borderId="25" xfId="0" applyNumberFormat="1" applyFont="1" applyFill="1" applyBorder="1" applyAlignment="1" applyProtection="1">
      <alignment horizontal="center" wrapText="1" readingOrder="1"/>
    </xf>
    <xf numFmtId="0" fontId="14" fillId="0" borderId="29" xfId="0" applyNumberFormat="1" applyFont="1" applyFill="1" applyBorder="1" applyAlignment="1" applyProtection="1">
      <alignment horizontal="center" wrapText="1" readingOrder="1"/>
    </xf>
    <xf numFmtId="0" fontId="14" fillId="0" borderId="19" xfId="0" applyNumberFormat="1" applyFont="1" applyFill="1" applyBorder="1" applyAlignment="1" applyProtection="1">
      <alignment horizontal="center" wrapText="1" readingOrder="1"/>
    </xf>
    <xf numFmtId="0" fontId="14" fillId="0" borderId="26" xfId="0" applyNumberFormat="1" applyFont="1" applyFill="1" applyBorder="1" applyAlignment="1" applyProtection="1">
      <alignment horizontal="center" wrapText="1" readingOrder="1"/>
    </xf>
    <xf numFmtId="0" fontId="14" fillId="0" borderId="30" xfId="0" applyNumberFormat="1" applyFont="1" applyFill="1" applyBorder="1" applyAlignment="1" applyProtection="1">
      <alignment horizontal="center" wrapText="1" readingOrder="1"/>
    </xf>
    <xf numFmtId="0" fontId="14" fillId="0" borderId="33" xfId="0" applyNumberFormat="1" applyFont="1" applyFill="1" applyBorder="1" applyAlignment="1" applyProtection="1">
      <alignment horizontal="center" wrapText="1" readingOrder="1"/>
    </xf>
    <xf numFmtId="2" fontId="14" fillId="0" borderId="26" xfId="0" applyNumberFormat="1" applyFont="1" applyFill="1" applyBorder="1" applyAlignment="1" applyProtection="1">
      <alignment horizontal="center" wrapText="1" readingOrder="1"/>
    </xf>
    <xf numFmtId="0" fontId="14" fillId="0" borderId="37" xfId="0" applyNumberFormat="1" applyFont="1" applyFill="1" applyBorder="1" applyAlignment="1" applyProtection="1">
      <alignment horizontal="center" wrapText="1" readingOrder="1"/>
    </xf>
    <xf numFmtId="0" fontId="14" fillId="0" borderId="76" xfId="0" applyNumberFormat="1" applyFont="1" applyFill="1" applyBorder="1" applyAlignment="1" applyProtection="1">
      <alignment horizontal="center" wrapText="1" readingOrder="1"/>
    </xf>
    <xf numFmtId="0" fontId="14" fillId="0" borderId="19" xfId="0" applyNumberFormat="1" applyFont="1" applyFill="1" applyBorder="1" applyAlignment="1" applyProtection="1">
      <alignment horizontal="center" vertical="center" wrapText="1" readingOrder="1"/>
    </xf>
    <xf numFmtId="0" fontId="14" fillId="0" borderId="26" xfId="0" applyNumberFormat="1" applyFont="1" applyFill="1" applyBorder="1" applyAlignment="1" applyProtection="1">
      <alignment horizontal="center" vertical="center" wrapText="1" readingOrder="1"/>
    </xf>
    <xf numFmtId="0" fontId="14" fillId="0" borderId="30" xfId="0" applyNumberFormat="1" applyFont="1" applyFill="1" applyBorder="1" applyAlignment="1" applyProtection="1">
      <alignment horizontal="center" vertical="center" wrapText="1" readingOrder="1"/>
    </xf>
    <xf numFmtId="0" fontId="4" fillId="0" borderId="0" xfId="0" applyNumberFormat="1" applyFont="1" applyFill="1" applyAlignment="1" applyProtection="1">
      <alignment horizontal="center" wrapText="1" readingOrder="1"/>
    </xf>
    <xf numFmtId="0" fontId="7" fillId="0" borderId="0" xfId="0" applyNumberFormat="1" applyFont="1" applyFill="1" applyAlignment="1" applyProtection="1">
      <alignment horizontal="center" wrapText="1" readingOrder="1"/>
    </xf>
    <xf numFmtId="0" fontId="14" fillId="0" borderId="18" xfId="0" applyNumberFormat="1" applyFont="1" applyFill="1" applyBorder="1" applyAlignment="1" applyProtection="1">
      <alignment horizontal="center" vertical="center" wrapText="1" readingOrder="1"/>
    </xf>
    <xf numFmtId="0" fontId="14" fillId="0" borderId="25" xfId="0" applyNumberFormat="1" applyFont="1" applyFill="1" applyBorder="1" applyAlignment="1" applyProtection="1">
      <alignment horizontal="center" vertical="center" wrapText="1" readingOrder="1"/>
    </xf>
    <xf numFmtId="0" fontId="14" fillId="0" borderId="29" xfId="0" applyNumberFormat="1" applyFont="1" applyFill="1" applyBorder="1" applyAlignment="1" applyProtection="1">
      <alignment horizontal="center" vertical="center" wrapText="1" readingOrder="1"/>
    </xf>
    <xf numFmtId="0" fontId="14" fillId="0" borderId="33" xfId="0" applyNumberFormat="1" applyFont="1" applyFill="1" applyBorder="1" applyAlignment="1" applyProtection="1">
      <alignment horizontal="center" vertical="center" wrapText="1" readingOrder="1"/>
    </xf>
    <xf numFmtId="0" fontId="14" fillId="0" borderId="37" xfId="0" applyNumberFormat="1" applyFont="1" applyFill="1" applyBorder="1" applyAlignment="1" applyProtection="1">
      <alignment horizontal="center" vertical="center" wrapText="1" readingOrder="1"/>
    </xf>
    <xf numFmtId="0" fontId="14" fillId="0" borderId="76" xfId="0" applyNumberFormat="1" applyFont="1" applyFill="1" applyBorder="1" applyAlignment="1" applyProtection="1">
      <alignment horizontal="center" vertical="center" wrapText="1" readingOrder="1"/>
    </xf>
    <xf numFmtId="0" fontId="5" fillId="0" borderId="0" xfId="0" applyFont="1" applyAlignment="1">
      <alignment horizontal="center" vertical="top"/>
    </xf>
    <xf numFmtId="0" fontId="6" fillId="0" borderId="0" xfId="0" applyFont="1" applyAlignment="1">
      <alignment horizontal="center" vertical="top" wrapText="1"/>
    </xf>
    <xf numFmtId="0" fontId="10" fillId="0" borderId="18" xfId="0" applyNumberFormat="1" applyFont="1" applyFill="1" applyBorder="1" applyAlignment="1" applyProtection="1">
      <alignment horizontal="left" vertical="center" wrapText="1" readingOrder="1"/>
    </xf>
    <xf numFmtId="0" fontId="10" fillId="0" borderId="25" xfId="0" applyNumberFormat="1" applyFont="1" applyFill="1" applyBorder="1" applyAlignment="1" applyProtection="1">
      <alignment horizontal="left" vertical="center" wrapText="1" readingOrder="1"/>
    </xf>
    <xf numFmtId="0" fontId="10" fillId="0" borderId="29" xfId="0" applyNumberFormat="1" applyFont="1" applyFill="1" applyBorder="1" applyAlignment="1" applyProtection="1">
      <alignment horizontal="left" vertical="center" wrapText="1" readingOrder="1"/>
    </xf>
    <xf numFmtId="0" fontId="11" fillId="0" borderId="19" xfId="0" applyNumberFormat="1" applyFont="1" applyFill="1" applyBorder="1" applyAlignment="1" applyProtection="1">
      <alignment horizontal="center" vertical="center" wrapText="1" readingOrder="1"/>
    </xf>
    <xf numFmtId="0" fontId="11" fillId="0" borderId="26" xfId="0" applyNumberFormat="1" applyFont="1" applyFill="1" applyBorder="1" applyAlignment="1" applyProtection="1">
      <alignment horizontal="center" vertical="center" wrapText="1" readingOrder="1"/>
    </xf>
    <xf numFmtId="0" fontId="11" fillId="0" borderId="30" xfId="0" applyNumberFormat="1" applyFont="1" applyFill="1" applyBorder="1" applyAlignment="1" applyProtection="1">
      <alignment horizontal="center" vertical="center" wrapText="1" readingOrder="1"/>
    </xf>
    <xf numFmtId="0" fontId="11" fillId="0" borderId="19" xfId="0" applyNumberFormat="1" applyFont="1" applyFill="1" applyBorder="1" applyAlignment="1" applyProtection="1">
      <alignment horizontal="center" vertical="center" textRotation="90" wrapText="1" readingOrder="1"/>
    </xf>
    <xf numFmtId="0" fontId="11" fillId="0" borderId="26" xfId="0" applyNumberFormat="1" applyFont="1" applyFill="1" applyBorder="1" applyAlignment="1" applyProtection="1">
      <alignment horizontal="center" vertical="center" textRotation="90" wrapText="1" readingOrder="1"/>
    </xf>
    <xf numFmtId="0" fontId="11" fillId="0" borderId="30" xfId="0" applyNumberFormat="1" applyFont="1" applyFill="1" applyBorder="1" applyAlignment="1" applyProtection="1">
      <alignment horizontal="center" vertical="center" textRotation="90" wrapText="1" readingOrder="1"/>
    </xf>
    <xf numFmtId="165" fontId="11" fillId="0" borderId="19" xfId="0" applyNumberFormat="1" applyFont="1" applyFill="1" applyBorder="1" applyAlignment="1" applyProtection="1">
      <alignment horizontal="center" vertical="center" textRotation="90" wrapText="1" readingOrder="1"/>
    </xf>
    <xf numFmtId="165" fontId="11" fillId="0" borderId="26" xfId="0" applyNumberFormat="1" applyFont="1" applyFill="1" applyBorder="1" applyAlignment="1" applyProtection="1">
      <alignment horizontal="center" vertical="center" textRotation="90" wrapText="1" readingOrder="1"/>
    </xf>
    <xf numFmtId="165" fontId="11" fillId="0" borderId="30" xfId="0" applyNumberFormat="1" applyFont="1" applyFill="1" applyBorder="1" applyAlignment="1" applyProtection="1">
      <alignment horizontal="center" vertical="center" textRotation="90" wrapText="1" readingOrder="1"/>
    </xf>
    <xf numFmtId="0" fontId="11" fillId="0" borderId="19" xfId="0" applyNumberFormat="1" applyFont="1" applyFill="1" applyBorder="1" applyAlignment="1" applyProtection="1">
      <alignment horizontal="center" vertical="top" wrapText="1" readingOrder="1"/>
    </xf>
    <xf numFmtId="0" fontId="11" fillId="0" borderId="26" xfId="0" applyNumberFormat="1" applyFont="1" applyFill="1" applyBorder="1" applyAlignment="1" applyProtection="1">
      <alignment horizontal="center" vertical="top" wrapText="1" readingOrder="1"/>
    </xf>
    <xf numFmtId="0" fontId="11" fillId="0" borderId="30" xfId="0" applyNumberFormat="1" applyFont="1" applyFill="1" applyBorder="1" applyAlignment="1" applyProtection="1">
      <alignment horizontal="center" vertical="top" wrapText="1" readingOrder="1"/>
    </xf>
    <xf numFmtId="0" fontId="11" fillId="0" borderId="14" xfId="0" applyNumberFormat="1" applyFont="1" applyFill="1" applyBorder="1" applyAlignment="1" applyProtection="1">
      <alignment horizontal="center" vertical="top" wrapText="1" readingOrder="1"/>
    </xf>
    <xf numFmtId="0" fontId="11" fillId="0" borderId="20" xfId="0" applyNumberFormat="1" applyFont="1" applyFill="1" applyBorder="1" applyAlignment="1" applyProtection="1">
      <alignment horizontal="center" vertical="top" wrapText="1" readingOrder="1"/>
    </xf>
    <xf numFmtId="0" fontId="11" fillId="0" borderId="21" xfId="0" applyNumberFormat="1" applyFont="1" applyFill="1" applyBorder="1" applyAlignment="1" applyProtection="1">
      <alignment horizontal="center" vertical="top" wrapText="1" readingOrder="1"/>
    </xf>
    <xf numFmtId="0" fontId="11" fillId="0" borderId="22" xfId="0" applyNumberFormat="1" applyFont="1" applyFill="1" applyBorder="1" applyAlignment="1" applyProtection="1">
      <alignment horizontal="center" vertical="center" wrapText="1" readingOrder="1"/>
    </xf>
    <xf numFmtId="0" fontId="11" fillId="0" borderId="27" xfId="0" applyNumberFormat="1" applyFont="1" applyFill="1" applyBorder="1" applyAlignment="1" applyProtection="1">
      <alignment horizontal="center" vertical="center" wrapText="1" readingOrder="1"/>
    </xf>
    <xf numFmtId="0" fontId="11" fillId="0" borderId="31" xfId="0" applyNumberFormat="1" applyFont="1" applyFill="1" applyBorder="1" applyAlignment="1" applyProtection="1">
      <alignment horizontal="center" vertical="center" wrapText="1" readingOrder="1"/>
    </xf>
    <xf numFmtId="0" fontId="11" fillId="0" borderId="23" xfId="0" applyNumberFormat="1" applyFont="1" applyFill="1" applyBorder="1" applyAlignment="1" applyProtection="1">
      <alignment horizontal="center" vertical="center" wrapText="1" readingOrder="1"/>
    </xf>
    <xf numFmtId="0" fontId="11" fillId="0" borderId="28" xfId="0" applyNumberFormat="1" applyFont="1" applyFill="1" applyBorder="1" applyAlignment="1" applyProtection="1">
      <alignment horizontal="center" vertical="center" wrapText="1" readingOrder="1"/>
    </xf>
    <xf numFmtId="0" fontId="11" fillId="0" borderId="32" xfId="0" applyNumberFormat="1" applyFont="1" applyFill="1" applyBorder="1" applyAlignment="1" applyProtection="1">
      <alignment horizontal="center" vertical="center" wrapText="1" readingOrder="1"/>
    </xf>
    <xf numFmtId="0" fontId="10" fillId="0" borderId="26" xfId="0" applyNumberFormat="1" applyFont="1" applyFill="1" applyBorder="1" applyAlignment="1" applyProtection="1">
      <alignment horizontal="center" vertical="center" wrapText="1" readingOrder="1"/>
    </xf>
    <xf numFmtId="0" fontId="10" fillId="0" borderId="30" xfId="0" applyNumberFormat="1" applyFont="1" applyFill="1" applyBorder="1" applyAlignment="1" applyProtection="1">
      <alignment horizontal="center" vertical="center" wrapText="1" readingOrder="1"/>
    </xf>
    <xf numFmtId="0" fontId="11" fillId="0" borderId="26" xfId="0" applyNumberFormat="1" applyFont="1" applyFill="1" applyBorder="1" applyAlignment="1" applyProtection="1">
      <alignment horizontal="center" vertical="center" wrapText="1"/>
    </xf>
    <xf numFmtId="0" fontId="13" fillId="7" borderId="22" xfId="0" applyNumberFormat="1" applyFont="1" applyFill="1" applyBorder="1" applyAlignment="1" applyProtection="1">
      <alignment vertical="top" wrapText="1" readingOrder="1"/>
      <protection locked="0"/>
    </xf>
    <xf numFmtId="0" fontId="13" fillId="7" borderId="31" xfId="0" applyNumberFormat="1" applyFont="1" applyFill="1" applyBorder="1" applyAlignment="1" applyProtection="1">
      <alignment vertical="top" wrapText="1" readingOrder="1"/>
      <protection locked="0"/>
    </xf>
    <xf numFmtId="0" fontId="11" fillId="0" borderId="22" xfId="0" applyNumberFormat="1" applyFont="1" applyFill="1" applyBorder="1" applyAlignment="1" applyProtection="1">
      <alignment vertical="top" wrapText="1" readingOrder="1"/>
      <protection locked="0"/>
    </xf>
    <xf numFmtId="0" fontId="11" fillId="0" borderId="27" xfId="0" applyNumberFormat="1" applyFont="1" applyFill="1" applyBorder="1" applyAlignment="1" applyProtection="1">
      <alignment vertical="top" wrapText="1" readingOrder="1"/>
      <protection locked="0"/>
    </xf>
    <xf numFmtId="0" fontId="11" fillId="0" borderId="31" xfId="0" applyNumberFormat="1" applyFont="1" applyFill="1" applyBorder="1" applyAlignment="1" applyProtection="1">
      <alignment vertical="top" wrapText="1" readingOrder="1"/>
      <protection locked="0"/>
    </xf>
    <xf numFmtId="0" fontId="11" fillId="0" borderId="22" xfId="0" applyNumberFormat="1" applyFont="1" applyFill="1" applyBorder="1" applyAlignment="1" applyProtection="1">
      <alignment horizontal="left" vertical="top" wrapText="1" readingOrder="1"/>
      <protection locked="0"/>
    </xf>
    <xf numFmtId="0" fontId="11" fillId="0" borderId="27" xfId="0" applyNumberFormat="1" applyFont="1" applyFill="1" applyBorder="1" applyAlignment="1" applyProtection="1">
      <alignment horizontal="left" vertical="top" wrapText="1" readingOrder="1"/>
      <protection locked="0"/>
    </xf>
    <xf numFmtId="0" fontId="11" fillId="0" borderId="31" xfId="0" applyNumberFormat="1" applyFont="1" applyFill="1" applyBorder="1" applyAlignment="1" applyProtection="1">
      <alignment horizontal="left" vertical="top" wrapText="1" readingOrder="1"/>
      <protection locked="0"/>
    </xf>
    <xf numFmtId="0" fontId="13" fillId="0" borderId="22" xfId="0" applyNumberFormat="1" applyFont="1" applyFill="1" applyBorder="1" applyAlignment="1" applyProtection="1">
      <alignment horizontal="center" vertical="top" wrapText="1" readingOrder="1"/>
      <protection locked="0"/>
    </xf>
    <xf numFmtId="0" fontId="13" fillId="0" borderId="31" xfId="0" applyNumberFormat="1" applyFont="1" applyFill="1" applyBorder="1" applyAlignment="1" applyProtection="1">
      <alignment horizontal="center" vertical="top" wrapText="1" readingOrder="1"/>
      <protection locked="0"/>
    </xf>
    <xf numFmtId="0" fontId="10" fillId="0" borderId="34" xfId="0" applyNumberFormat="1" applyFont="1" applyFill="1" applyBorder="1" applyAlignment="1" applyProtection="1">
      <alignment horizontal="center" vertical="top" wrapText="1" readingOrder="1"/>
      <protection locked="0"/>
    </xf>
    <xf numFmtId="0" fontId="10" fillId="0" borderId="35" xfId="0" applyNumberFormat="1" applyFont="1" applyFill="1" applyBorder="1" applyAlignment="1" applyProtection="1">
      <alignment horizontal="center" vertical="top" wrapText="1" readingOrder="1"/>
      <protection locked="0"/>
    </xf>
    <xf numFmtId="0" fontId="13" fillId="0" borderId="27" xfId="0" applyNumberFormat="1" applyFont="1" applyFill="1" applyBorder="1" applyAlignment="1" applyProtection="1">
      <alignment horizontal="center" vertical="top" wrapText="1" readingOrder="1"/>
      <protection locked="0"/>
    </xf>
    <xf numFmtId="0" fontId="10" fillId="0" borderId="38" xfId="0" applyNumberFormat="1" applyFont="1" applyFill="1" applyBorder="1" applyAlignment="1" applyProtection="1">
      <alignment horizontal="center" vertical="top" wrapText="1" readingOrder="1"/>
      <protection locked="0"/>
    </xf>
    <xf numFmtId="0" fontId="11" fillId="0" borderId="45" xfId="0" applyNumberFormat="1" applyFont="1" applyFill="1" applyBorder="1" applyAlignment="1" applyProtection="1">
      <alignment horizontal="left" vertical="top" wrapText="1" readingOrder="1"/>
      <protection locked="0"/>
    </xf>
    <xf numFmtId="0" fontId="11" fillId="5" borderId="22" xfId="0" applyNumberFormat="1" applyFont="1" applyFill="1" applyBorder="1" applyAlignment="1" applyProtection="1">
      <alignment vertical="top" wrapText="1" readingOrder="1"/>
      <protection locked="0"/>
    </xf>
    <xf numFmtId="0" fontId="11" fillId="5" borderId="27" xfId="0" applyNumberFormat="1" applyFont="1" applyFill="1" applyBorder="1" applyAlignment="1" applyProtection="1">
      <alignment vertical="top" wrapText="1" readingOrder="1"/>
      <protection locked="0"/>
    </xf>
    <xf numFmtId="0" fontId="11" fillId="0" borderId="43" xfId="0" applyNumberFormat="1" applyFont="1" applyFill="1" applyBorder="1" applyAlignment="1" applyProtection="1">
      <alignment horizontal="left" vertical="top" wrapText="1" readingOrder="1"/>
      <protection locked="0"/>
    </xf>
    <xf numFmtId="0" fontId="11" fillId="0" borderId="45" xfId="0" applyNumberFormat="1" applyFont="1" applyFill="1" applyBorder="1" applyAlignment="1" applyProtection="1">
      <alignment vertical="top" wrapText="1" readingOrder="1"/>
      <protection locked="0"/>
    </xf>
    <xf numFmtId="0" fontId="10" fillId="0" borderId="44" xfId="0" applyNumberFormat="1" applyFont="1" applyFill="1" applyBorder="1" applyAlignment="1" applyProtection="1">
      <alignment horizontal="left" vertical="top" wrapText="1" readingOrder="1"/>
      <protection locked="0"/>
    </xf>
    <xf numFmtId="0" fontId="10" fillId="0" borderId="16" xfId="0" applyNumberFormat="1" applyFont="1" applyFill="1" applyBorder="1" applyAlignment="1" applyProtection="1">
      <alignment horizontal="left" vertical="top" wrapText="1" readingOrder="1"/>
      <protection locked="0"/>
    </xf>
    <xf numFmtId="0" fontId="11" fillId="10" borderId="27" xfId="0" applyNumberFormat="1" applyFont="1" applyFill="1" applyBorder="1" applyAlignment="1" applyProtection="1">
      <alignment vertical="top" wrapText="1" readingOrder="1"/>
      <protection locked="0"/>
    </xf>
    <xf numFmtId="0" fontId="11" fillId="10" borderId="22" xfId="0" applyNumberFormat="1" applyFont="1" applyFill="1" applyBorder="1" applyAlignment="1" applyProtection="1">
      <alignment vertical="top" wrapText="1" readingOrder="1"/>
      <protection locked="0"/>
    </xf>
    <xf numFmtId="0" fontId="10" fillId="0" borderId="44" xfId="0" applyNumberFormat="1" applyFont="1" applyFill="1" applyBorder="1" applyAlignment="1" applyProtection="1">
      <alignment horizontal="center" vertical="top" wrapText="1" readingOrder="1"/>
      <protection locked="0"/>
    </xf>
    <xf numFmtId="0" fontId="10" fillId="0" borderId="16" xfId="0" applyNumberFormat="1" applyFont="1" applyFill="1" applyBorder="1" applyAlignment="1" applyProtection="1">
      <alignment horizontal="center" vertical="top" wrapText="1" readingOrder="1"/>
      <protection locked="0"/>
    </xf>
    <xf numFmtId="0" fontId="10" fillId="0" borderId="12" xfId="0" applyNumberFormat="1" applyFont="1" applyFill="1" applyBorder="1" applyAlignment="1" applyProtection="1">
      <alignment horizontal="center" vertical="top" wrapText="1" readingOrder="1"/>
      <protection locked="0"/>
    </xf>
    <xf numFmtId="0" fontId="11" fillId="10" borderId="45" xfId="0" applyNumberFormat="1" applyFont="1" applyFill="1" applyBorder="1" applyAlignment="1" applyProtection="1">
      <alignment vertical="top" wrapText="1" readingOrder="1"/>
      <protection locked="0"/>
    </xf>
    <xf numFmtId="0" fontId="11" fillId="10" borderId="61" xfId="0" applyNumberFormat="1" applyFont="1" applyFill="1" applyBorder="1" applyAlignment="1" applyProtection="1">
      <alignment horizontal="left" vertical="top" wrapText="1" readingOrder="1"/>
      <protection locked="0"/>
    </xf>
    <xf numFmtId="0" fontId="11" fillId="10" borderId="63" xfId="0" applyNumberFormat="1" applyFont="1" applyFill="1" applyBorder="1" applyAlignment="1" applyProtection="1">
      <alignment horizontal="left" vertical="top" wrapText="1" readingOrder="1"/>
      <protection locked="0"/>
    </xf>
    <xf numFmtId="0" fontId="11" fillId="10" borderId="62" xfId="0" applyNumberFormat="1" applyFont="1" applyFill="1" applyBorder="1" applyAlignment="1" applyProtection="1">
      <alignment horizontal="left" vertical="top" wrapText="1" readingOrder="1"/>
      <protection locked="0"/>
    </xf>
    <xf numFmtId="0" fontId="11" fillId="10" borderId="64" xfId="0" applyNumberFormat="1" applyFont="1" applyFill="1" applyBorder="1" applyAlignment="1" applyProtection="1">
      <alignment horizontal="left" vertical="top" wrapText="1" readingOrder="1"/>
      <protection locked="0"/>
    </xf>
    <xf numFmtId="0" fontId="11" fillId="10" borderId="45" xfId="0" applyNumberFormat="1" applyFont="1" applyFill="1" applyBorder="1" applyAlignment="1" applyProtection="1">
      <alignment horizontal="left" vertical="top" wrapText="1" readingOrder="1"/>
      <protection locked="0"/>
    </xf>
    <xf numFmtId="0" fontId="11" fillId="10" borderId="27" xfId="0" applyNumberFormat="1" applyFont="1" applyFill="1" applyBorder="1" applyAlignment="1" applyProtection="1">
      <alignment horizontal="left" vertical="top" wrapText="1" readingOrder="1"/>
      <protection locked="0"/>
    </xf>
    <xf numFmtId="0" fontId="11" fillId="10" borderId="43" xfId="0" applyNumberFormat="1" applyFont="1" applyFill="1" applyBorder="1" applyAlignment="1" applyProtection="1">
      <alignment horizontal="left" vertical="top" wrapText="1" readingOrder="1"/>
      <protection locked="0"/>
    </xf>
    <xf numFmtId="0" fontId="11" fillId="10" borderId="31" xfId="0" applyNumberFormat="1" applyFont="1" applyFill="1" applyBorder="1" applyAlignment="1" applyProtection="1">
      <alignment vertical="top" wrapText="1" readingOrder="1"/>
      <protection locked="0"/>
    </xf>
    <xf numFmtId="0" fontId="11" fillId="10" borderId="43" xfId="0" applyNumberFormat="1" applyFont="1" applyFill="1" applyBorder="1" applyAlignment="1" applyProtection="1">
      <alignment vertical="top" wrapText="1" readingOrder="1"/>
      <protection locked="0"/>
    </xf>
    <xf numFmtId="0" fontId="11" fillId="10" borderId="17" xfId="0" applyNumberFormat="1" applyFont="1" applyFill="1" applyBorder="1" applyAlignment="1" applyProtection="1">
      <alignment horizontal="left" vertical="top" wrapText="1" readingOrder="1"/>
      <protection locked="0"/>
    </xf>
    <xf numFmtId="0" fontId="11" fillId="10" borderId="13" xfId="0" applyNumberFormat="1" applyFont="1" applyFill="1" applyBorder="1" applyAlignment="1" applyProtection="1">
      <alignment horizontal="left" vertical="top" wrapText="1" readingOrder="1"/>
      <protection locked="0"/>
    </xf>
    <xf numFmtId="0" fontId="11" fillId="0" borderId="28" xfId="0" applyNumberFormat="1" applyFont="1" applyFill="1" applyBorder="1" applyAlignment="1" applyProtection="1">
      <alignment horizontal="left" vertical="top" wrapText="1" readingOrder="1"/>
      <protection locked="0"/>
    </xf>
    <xf numFmtId="0" fontId="11" fillId="5" borderId="23" xfId="0" applyNumberFormat="1" applyFont="1" applyFill="1" applyBorder="1" applyAlignment="1" applyProtection="1">
      <alignment horizontal="left" vertical="top" wrapText="1" readingOrder="1"/>
      <protection locked="0"/>
    </xf>
    <xf numFmtId="0" fontId="11" fillId="5" borderId="32" xfId="0" applyNumberFormat="1" applyFont="1" applyFill="1" applyBorder="1" applyAlignment="1" applyProtection="1">
      <alignment horizontal="left" vertical="top" wrapText="1" readingOrder="1"/>
      <protection locked="0"/>
    </xf>
    <xf numFmtId="0" fontId="11" fillId="0" borderId="55" xfId="0" applyNumberFormat="1" applyFont="1" applyFill="1" applyBorder="1" applyAlignment="1" applyProtection="1">
      <alignment horizontal="left" vertical="top" wrapText="1" readingOrder="1"/>
      <protection locked="0"/>
    </xf>
    <xf numFmtId="0" fontId="13" fillId="0" borderId="4" xfId="0" applyNumberFormat="1" applyFont="1" applyFill="1" applyBorder="1" applyAlignment="1" applyProtection="1">
      <alignment horizontal="center" vertical="center" wrapText="1" readingOrder="1"/>
    </xf>
    <xf numFmtId="0" fontId="11" fillId="0" borderId="40" xfId="0" applyNumberFormat="1" applyFont="1" applyFill="1" applyBorder="1" applyAlignment="1" applyProtection="1">
      <alignment horizontal="left" vertical="top" wrapText="1" readingOrder="1"/>
      <protection locked="0"/>
    </xf>
    <xf numFmtId="49" fontId="1" fillId="3" borderId="1" xfId="0" applyNumberFormat="1" applyFont="1" applyFill="1" applyBorder="1" applyAlignment="1">
      <alignment horizontal="left" vertical="top"/>
    </xf>
    <xf numFmtId="49" fontId="1" fillId="3" borderId="3" xfId="0" applyNumberFormat="1" applyFont="1" applyFill="1" applyBorder="1" applyAlignment="1">
      <alignment horizontal="left" vertical="top"/>
    </xf>
    <xf numFmtId="49" fontId="1" fillId="3" borderId="0" xfId="0" applyNumberFormat="1" applyFont="1" applyFill="1" applyBorder="1" applyAlignment="1">
      <alignment horizontal="left" vertical="top"/>
    </xf>
    <xf numFmtId="49" fontId="1" fillId="3" borderId="2" xfId="0" applyNumberFormat="1" applyFont="1" applyFill="1" applyBorder="1" applyAlignment="1">
      <alignment horizontal="left" vertical="top"/>
    </xf>
    <xf numFmtId="3" fontId="2" fillId="0" borderId="0" xfId="0" applyNumberFormat="1" applyFont="1" applyFill="1" applyBorder="1" applyAlignment="1">
      <alignment horizontal="center" wrapText="1"/>
    </xf>
    <xf numFmtId="0" fontId="11" fillId="0" borderId="4" xfId="0" applyNumberFormat="1" applyFont="1" applyFill="1" applyBorder="1" applyAlignment="1" applyProtection="1">
      <alignment horizontal="left" vertical="top" wrapText="1" readingOrder="1"/>
      <protection locked="0"/>
    </xf>
    <xf numFmtId="0" fontId="13" fillId="12" borderId="6" xfId="0" applyNumberFormat="1" applyFont="1" applyFill="1" applyBorder="1" applyAlignment="1" applyProtection="1">
      <alignment horizontal="right" vertical="top" wrapText="1" readingOrder="1"/>
      <protection locked="0"/>
    </xf>
    <xf numFmtId="0" fontId="13" fillId="12" borderId="5" xfId="0" applyNumberFormat="1" applyFont="1" applyFill="1" applyBorder="1" applyAlignment="1" applyProtection="1">
      <alignment horizontal="right" vertical="top" wrapText="1" readingOrder="1"/>
      <protection locked="0"/>
    </xf>
    <xf numFmtId="0" fontId="13" fillId="12" borderId="72" xfId="0" applyNumberFormat="1" applyFont="1" applyFill="1" applyBorder="1" applyAlignment="1" applyProtection="1">
      <alignment horizontal="right" vertical="top" wrapText="1" readingOrder="1"/>
      <protection locked="0"/>
    </xf>
  </cellXfs>
  <cellStyles count="5">
    <cellStyle name="Excel Built-in Normal" xfId="3"/>
    <cellStyle name="Įprastas" xfId="0" builtinId="0"/>
    <cellStyle name="Įprastas 2" xfId="1"/>
    <cellStyle name="Įprastas 3" xfId="2"/>
    <cellStyle name="Įprastas 4" xfId="4"/>
  </cellStyles>
  <dxfs count="0"/>
  <tableStyles count="0" defaultTableStyle="TableStyleMedium2" defaultPivotStyle="PivotStyleLight16"/>
  <colors>
    <mruColors>
      <color rgb="FFFFCCFF"/>
      <color rgb="FFCCFFCC"/>
      <color rgb="FFCCFF99"/>
      <color rgb="FFCC99FF"/>
      <color rgb="FF99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t>20</a:t>
            </a:r>
            <a:r>
              <a:rPr lang="lt-LT" b="1"/>
              <a:t>21</a:t>
            </a:r>
            <a:r>
              <a:rPr lang="en-US" b="1"/>
              <a:t> </a:t>
            </a:r>
            <a:r>
              <a:rPr lang="lt-LT" b="1"/>
              <a:t>m. SVP programos Nr. 0</a:t>
            </a:r>
            <a:r>
              <a:rPr lang="en-US" b="1"/>
              <a:t>8</a:t>
            </a:r>
            <a:r>
              <a:rPr lang="lt-LT" b="1"/>
              <a:t> įvykdymas</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400984009840098E-2"/>
          <c:y val="0.24320987654320989"/>
          <c:w val="0.7859778597785978"/>
          <c:h val="0.67037037037037039"/>
        </c:manualLayout>
      </c:layout>
      <c:pie3DChart>
        <c:varyColors val="1"/>
        <c:ser>
          <c:idx val="0"/>
          <c:order val="0"/>
          <c:spPr>
            <a:solidFill>
              <a:sysClr val="window" lastClr="FFFFFF"/>
            </a:solidFill>
            <a:ln>
              <a:solidFill>
                <a:schemeClr val="tx2">
                  <a:lumMod val="20000"/>
                  <a:lumOff val="80000"/>
                </a:schemeClr>
              </a:solidFill>
            </a:ln>
          </c:spPr>
          <c:dPt>
            <c:idx val="0"/>
            <c:bubble3D val="0"/>
            <c:spPr>
              <a:solidFill>
                <a:sysClr val="window" lastClr="FFFFFF"/>
              </a:solidFill>
              <a:ln>
                <a:solidFill>
                  <a:sysClr val="windowText" lastClr="000000"/>
                </a:solidFill>
              </a:ln>
              <a:effectLst>
                <a:outerShdw blurRad="40000" dist="20000" dir="5400000" rotWithShape="0">
                  <a:srgbClr val="000000">
                    <a:alpha val="38000"/>
                  </a:srgbClr>
                </a:outerShdw>
              </a:effectLst>
              <a:sp3d>
                <a:contourClr>
                  <a:sysClr val="windowText" lastClr="000000"/>
                </a:contourClr>
              </a:sp3d>
            </c:spPr>
            <c:extLst>
              <c:ext xmlns:c16="http://schemas.microsoft.com/office/drawing/2014/chart" uri="{C3380CC4-5D6E-409C-BE32-E72D297353CC}">
                <c16:uniqueId val="{00000009-0E5F-443F-BA0F-616651B52B4D}"/>
              </c:ext>
            </c:extLst>
          </c:dPt>
          <c:dPt>
            <c:idx val="1"/>
            <c:bubble3D val="0"/>
            <c:spPr>
              <a:solidFill>
                <a:schemeClr val="accent5">
                  <a:lumMod val="20000"/>
                  <a:lumOff val="80000"/>
                </a:schemeClr>
              </a:solidFill>
              <a:ln>
                <a:solidFill>
                  <a:sysClr val="windowText" lastClr="000000"/>
                </a:solidFill>
              </a:ln>
              <a:effectLst>
                <a:outerShdw blurRad="40000" dist="20000" dir="5400000" rotWithShape="0">
                  <a:srgbClr val="000000">
                    <a:alpha val="38000"/>
                  </a:srgbClr>
                </a:outerShdw>
              </a:effectLst>
              <a:sp3d>
                <a:contourClr>
                  <a:sysClr val="windowText" lastClr="000000"/>
                </a:contourClr>
              </a:sp3d>
            </c:spPr>
            <c:extLst>
              <c:ext xmlns:c16="http://schemas.microsoft.com/office/drawing/2014/chart" uri="{C3380CC4-5D6E-409C-BE32-E72D297353CC}">
                <c16:uniqueId val="{00000013-0E5F-443F-BA0F-616651B52B4D}"/>
              </c:ext>
            </c:extLst>
          </c:dPt>
          <c:dPt>
            <c:idx val="2"/>
            <c:bubble3D val="0"/>
            <c:spPr>
              <a:solidFill>
                <a:srgbClr val="FFCCFF"/>
              </a:solidFill>
              <a:ln>
                <a:solidFill>
                  <a:sysClr val="windowText" lastClr="000000"/>
                </a:solidFill>
              </a:ln>
              <a:effectLst>
                <a:outerShdw blurRad="40000" dist="20000" dir="5400000" rotWithShape="0">
                  <a:srgbClr val="000000">
                    <a:alpha val="38000"/>
                  </a:srgbClr>
                </a:outerShdw>
              </a:effectLst>
              <a:sp3d>
                <a:contourClr>
                  <a:sysClr val="windowText" lastClr="000000"/>
                </a:contourClr>
              </a:sp3d>
            </c:spPr>
            <c:extLst>
              <c:ext xmlns:c16="http://schemas.microsoft.com/office/drawing/2014/chart" uri="{C3380CC4-5D6E-409C-BE32-E72D297353CC}">
                <c16:uniqueId val="{00000006-E421-4D6C-BE6A-3FAE7245D360}"/>
              </c:ext>
            </c:extLst>
          </c:dPt>
          <c:dLbls>
            <c:dLbl>
              <c:idx val="0"/>
              <c:layout>
                <c:manualLayout>
                  <c:x val="0.1932947864911719"/>
                  <c:y val="-8.130779948802696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E5F-443F-BA0F-616651B52B4D}"/>
                </c:ext>
              </c:extLst>
            </c:dLbl>
            <c:dLbl>
              <c:idx val="1"/>
              <c:layout>
                <c:manualLayout>
                  <c:x val="-0.22347793241711944"/>
                  <c:y val="7.9184731538187336E-2"/>
                </c:manualLayout>
              </c:layout>
              <c:tx>
                <c:rich>
                  <a:bodyPr/>
                  <a:lstStyle/>
                  <a:p>
                    <a:r>
                      <a:rPr lang="en-US"/>
                      <a:t>iš dalies įvykdyta </a:t>
                    </a:r>
                  </a:p>
                  <a:p>
                    <a:fld id="{DC443530-B08B-467D-9AF8-8856AF29A509}" type="PERCENTAGE">
                      <a:rPr lang="en-US" baseline="0"/>
                      <a:pPr/>
                      <a:t>[PROCENTAI]</a:t>
                    </a:fld>
                    <a:endParaRPr lang="lt-LT"/>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0E5F-443F-BA0F-616651B52B4D}"/>
                </c:ext>
              </c:extLst>
            </c:dLbl>
            <c:dLbl>
              <c:idx val="2"/>
              <c:layout>
                <c:manualLayout>
                  <c:x val="-0.10589100333835726"/>
                  <c:y val="1.617257217847767E-2"/>
                </c:manualLayout>
              </c:layout>
              <c:tx>
                <c:rich>
                  <a:bodyPr/>
                  <a:lstStyle/>
                  <a:p>
                    <a:r>
                      <a:rPr lang="en-US"/>
                      <a:t>neįvykdyta </a:t>
                    </a:r>
                    <a:fld id="{9AE4460E-F9F8-4F9F-8948-D898D8A1A8A3}" type="PERCENTAGE">
                      <a:rPr lang="en-US" baseline="0"/>
                      <a:pPr/>
                      <a:t>[PROCENTAI]</a:t>
                    </a:fld>
                    <a:endParaRPr lang="en-US"/>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E421-4D6C-BE6A-3FAE7245D360}"/>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ct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multiLvlStrRef>
              <c:f>Ataskaita!$A$9:$B$11</c:f>
              <c:multiLvlStrCache>
                <c:ptCount val="3"/>
                <c:lvl>
                  <c:pt idx="1">
                    <c:v>iš dalies įvykdyta </c:v>
                  </c:pt>
                  <c:pt idx="2">
                    <c:v>neįvykdyta </c:v>
                  </c:pt>
                </c:lvl>
                <c:lvl>
                  <c:pt idx="0">
                    <c:v>faktiškai įvykdyta </c:v>
                  </c:pt>
                </c:lvl>
              </c:multiLvlStrCache>
            </c:multiLvlStrRef>
          </c:cat>
          <c:val>
            <c:numRef>
              <c:f>Ataskaita!$D$9:$D$11</c:f>
              <c:numCache>
                <c:formatCode>General</c:formatCode>
                <c:ptCount val="3"/>
                <c:pt idx="0">
                  <c:v>22</c:v>
                </c:pt>
                <c:pt idx="1">
                  <c:v>5</c:v>
                </c:pt>
                <c:pt idx="2">
                  <c:v>2</c:v>
                </c:pt>
              </c:numCache>
            </c:numRef>
          </c:val>
          <c:extLst>
            <c:ext xmlns:c16="http://schemas.microsoft.com/office/drawing/2014/chart" uri="{C3380CC4-5D6E-409C-BE32-E72D297353CC}">
              <c16:uniqueId val="{00000000-0E5F-443F-BA0F-616651B52B4D}"/>
            </c:ext>
          </c:extLst>
        </c:ser>
        <c:dLbls>
          <c:dLblPos val="ctr"/>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133350</xdr:rowOff>
    </xdr:from>
    <xdr:to>
      <xdr:col>8</xdr:col>
      <xdr:colOff>409575</xdr:colOff>
      <xdr:row>19</xdr:row>
      <xdr:rowOff>361950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ColWidth="9.28515625" defaultRowHeight="15.75" x14ac:dyDescent="0.25"/>
  <cols>
    <col min="1" max="1" width="22.7109375" style="1" customWidth="1"/>
    <col min="2" max="2" width="60.7109375" style="1" customWidth="1"/>
    <col min="3" max="16384" width="9.28515625" style="1"/>
  </cols>
  <sheetData>
    <row r="1" spans="1:2" x14ac:dyDescent="0.25">
      <c r="A1" s="538" t="s">
        <v>9</v>
      </c>
      <c r="B1" s="538"/>
    </row>
    <row r="2" spans="1:2" ht="31.5" x14ac:dyDescent="0.25">
      <c r="A2" s="2" t="s">
        <v>0</v>
      </c>
      <c r="B2" s="3" t="s">
        <v>10</v>
      </c>
    </row>
    <row r="3" spans="1:2" x14ac:dyDescent="0.25">
      <c r="A3" s="2">
        <v>1</v>
      </c>
      <c r="B3" s="3" t="s">
        <v>11</v>
      </c>
    </row>
    <row r="4" spans="1:2" x14ac:dyDescent="0.25">
      <c r="A4" s="2">
        <v>2</v>
      </c>
      <c r="B4" s="3" t="s">
        <v>12</v>
      </c>
    </row>
    <row r="5" spans="1:2" x14ac:dyDescent="0.25">
      <c r="A5" s="2">
        <v>3</v>
      </c>
      <c r="B5" s="3" t="s">
        <v>13</v>
      </c>
    </row>
    <row r="6" spans="1:2" x14ac:dyDescent="0.25">
      <c r="A6" s="2">
        <v>4</v>
      </c>
      <c r="B6" s="3" t="s">
        <v>14</v>
      </c>
    </row>
    <row r="7" spans="1:2" x14ac:dyDescent="0.25">
      <c r="A7" s="2">
        <v>5</v>
      </c>
      <c r="B7" s="3" t="s">
        <v>15</v>
      </c>
    </row>
    <row r="8" spans="1:2" x14ac:dyDescent="0.25">
      <c r="A8" s="2">
        <v>6</v>
      </c>
      <c r="B8" s="3" t="s">
        <v>16</v>
      </c>
    </row>
    <row r="9" spans="1:2" ht="15.75" customHeight="1" x14ac:dyDescent="0.25"/>
    <row r="10" spans="1:2" ht="15.75" customHeight="1" x14ac:dyDescent="0.25">
      <c r="A10" s="539" t="s">
        <v>17</v>
      </c>
      <c r="B10" s="539"/>
    </row>
  </sheetData>
  <mergeCells count="2">
    <mergeCell ref="A1:B1"/>
    <mergeCell ref="A10:B10"/>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zoomScaleNormal="100" zoomScaleSheetLayoutView="100" workbookViewId="0">
      <selection activeCell="A6" sqref="A6:I6"/>
    </sheetView>
  </sheetViews>
  <sheetFormatPr defaultRowHeight="12.75" x14ac:dyDescent="0.2"/>
  <cols>
    <col min="1" max="1" width="7.5703125" customWidth="1"/>
    <col min="2" max="2" width="17.28515625" customWidth="1"/>
    <col min="3" max="4" width="6.5703125" customWidth="1"/>
    <col min="5" max="5" width="12.5703125" customWidth="1"/>
    <col min="7" max="7" width="10.28515625" customWidth="1"/>
    <col min="9" max="9" width="16.42578125" customWidth="1"/>
    <col min="260" max="260" width="9.7109375" customWidth="1"/>
    <col min="261" max="261" width="11.5703125" customWidth="1"/>
    <col min="263" max="263" width="10.28515625" customWidth="1"/>
    <col min="265" max="265" width="17.7109375" customWidth="1"/>
    <col min="516" max="516" width="9.7109375" customWidth="1"/>
    <col min="517" max="517" width="11.5703125" customWidth="1"/>
    <col min="519" max="519" width="10.28515625" customWidth="1"/>
    <col min="521" max="521" width="17.7109375" customWidth="1"/>
    <col min="772" max="772" width="9.7109375" customWidth="1"/>
    <col min="773" max="773" width="11.5703125" customWidth="1"/>
    <col min="775" max="775" width="10.28515625" customWidth="1"/>
    <col min="777" max="777" width="17.7109375" customWidth="1"/>
    <col min="1028" max="1028" width="9.7109375" customWidth="1"/>
    <col min="1029" max="1029" width="11.5703125" customWidth="1"/>
    <col min="1031" max="1031" width="10.28515625" customWidth="1"/>
    <col min="1033" max="1033" width="17.7109375" customWidth="1"/>
    <col min="1284" max="1284" width="9.7109375" customWidth="1"/>
    <col min="1285" max="1285" width="11.5703125" customWidth="1"/>
    <col min="1287" max="1287" width="10.28515625" customWidth="1"/>
    <col min="1289" max="1289" width="17.7109375" customWidth="1"/>
    <col min="1540" max="1540" width="9.7109375" customWidth="1"/>
    <col min="1541" max="1541" width="11.5703125" customWidth="1"/>
    <col min="1543" max="1543" width="10.28515625" customWidth="1"/>
    <col min="1545" max="1545" width="17.7109375" customWidth="1"/>
    <col min="1796" max="1796" width="9.7109375" customWidth="1"/>
    <col min="1797" max="1797" width="11.5703125" customWidth="1"/>
    <col min="1799" max="1799" width="10.28515625" customWidth="1"/>
    <col min="1801" max="1801" width="17.7109375" customWidth="1"/>
    <col min="2052" max="2052" width="9.7109375" customWidth="1"/>
    <col min="2053" max="2053" width="11.5703125" customWidth="1"/>
    <col min="2055" max="2055" width="10.28515625" customWidth="1"/>
    <col min="2057" max="2057" width="17.7109375" customWidth="1"/>
    <col min="2308" max="2308" width="9.7109375" customWidth="1"/>
    <col min="2309" max="2309" width="11.5703125" customWidth="1"/>
    <col min="2311" max="2311" width="10.28515625" customWidth="1"/>
    <col min="2313" max="2313" width="17.7109375" customWidth="1"/>
    <col min="2564" max="2564" width="9.7109375" customWidth="1"/>
    <col min="2565" max="2565" width="11.5703125" customWidth="1"/>
    <col min="2567" max="2567" width="10.28515625" customWidth="1"/>
    <col min="2569" max="2569" width="17.7109375" customWidth="1"/>
    <col min="2820" max="2820" width="9.7109375" customWidth="1"/>
    <col min="2821" max="2821" width="11.5703125" customWidth="1"/>
    <col min="2823" max="2823" width="10.28515625" customWidth="1"/>
    <col min="2825" max="2825" width="17.7109375" customWidth="1"/>
    <col min="3076" max="3076" width="9.7109375" customWidth="1"/>
    <col min="3077" max="3077" width="11.5703125" customWidth="1"/>
    <col min="3079" max="3079" width="10.28515625" customWidth="1"/>
    <col min="3081" max="3081" width="17.7109375" customWidth="1"/>
    <col min="3332" max="3332" width="9.7109375" customWidth="1"/>
    <col min="3333" max="3333" width="11.5703125" customWidth="1"/>
    <col min="3335" max="3335" width="10.28515625" customWidth="1"/>
    <col min="3337" max="3337" width="17.7109375" customWidth="1"/>
    <col min="3588" max="3588" width="9.7109375" customWidth="1"/>
    <col min="3589" max="3589" width="11.5703125" customWidth="1"/>
    <col min="3591" max="3591" width="10.28515625" customWidth="1"/>
    <col min="3593" max="3593" width="17.7109375" customWidth="1"/>
    <col min="3844" max="3844" width="9.7109375" customWidth="1"/>
    <col min="3845" max="3845" width="11.5703125" customWidth="1"/>
    <col min="3847" max="3847" width="10.28515625" customWidth="1"/>
    <col min="3849" max="3849" width="17.7109375" customWidth="1"/>
    <col min="4100" max="4100" width="9.7109375" customWidth="1"/>
    <col min="4101" max="4101" width="11.5703125" customWidth="1"/>
    <col min="4103" max="4103" width="10.28515625" customWidth="1"/>
    <col min="4105" max="4105" width="17.7109375" customWidth="1"/>
    <col min="4356" max="4356" width="9.7109375" customWidth="1"/>
    <col min="4357" max="4357" width="11.5703125" customWidth="1"/>
    <col min="4359" max="4359" width="10.28515625" customWidth="1"/>
    <col min="4361" max="4361" width="17.7109375" customWidth="1"/>
    <col min="4612" max="4612" width="9.7109375" customWidth="1"/>
    <col min="4613" max="4613" width="11.5703125" customWidth="1"/>
    <col min="4615" max="4615" width="10.28515625" customWidth="1"/>
    <col min="4617" max="4617" width="17.7109375" customWidth="1"/>
    <col min="4868" max="4868" width="9.7109375" customWidth="1"/>
    <col min="4869" max="4869" width="11.5703125" customWidth="1"/>
    <col min="4871" max="4871" width="10.28515625" customWidth="1"/>
    <col min="4873" max="4873" width="17.7109375" customWidth="1"/>
    <col min="5124" max="5124" width="9.7109375" customWidth="1"/>
    <col min="5125" max="5125" width="11.5703125" customWidth="1"/>
    <col min="5127" max="5127" width="10.28515625" customWidth="1"/>
    <col min="5129" max="5129" width="17.7109375" customWidth="1"/>
    <col min="5380" max="5380" width="9.7109375" customWidth="1"/>
    <col min="5381" max="5381" width="11.5703125" customWidth="1"/>
    <col min="5383" max="5383" width="10.28515625" customWidth="1"/>
    <col min="5385" max="5385" width="17.7109375" customWidth="1"/>
    <col min="5636" max="5636" width="9.7109375" customWidth="1"/>
    <col min="5637" max="5637" width="11.5703125" customWidth="1"/>
    <col min="5639" max="5639" width="10.28515625" customWidth="1"/>
    <col min="5641" max="5641" width="17.7109375" customWidth="1"/>
    <col min="5892" max="5892" width="9.7109375" customWidth="1"/>
    <col min="5893" max="5893" width="11.5703125" customWidth="1"/>
    <col min="5895" max="5895" width="10.28515625" customWidth="1"/>
    <col min="5897" max="5897" width="17.7109375" customWidth="1"/>
    <col min="6148" max="6148" width="9.7109375" customWidth="1"/>
    <col min="6149" max="6149" width="11.5703125" customWidth="1"/>
    <col min="6151" max="6151" width="10.28515625" customWidth="1"/>
    <col min="6153" max="6153" width="17.7109375" customWidth="1"/>
    <col min="6404" max="6404" width="9.7109375" customWidth="1"/>
    <col min="6405" max="6405" width="11.5703125" customWidth="1"/>
    <col min="6407" max="6407" width="10.28515625" customWidth="1"/>
    <col min="6409" max="6409" width="17.7109375" customWidth="1"/>
    <col min="6660" max="6660" width="9.7109375" customWidth="1"/>
    <col min="6661" max="6661" width="11.5703125" customWidth="1"/>
    <col min="6663" max="6663" width="10.28515625" customWidth="1"/>
    <col min="6665" max="6665" width="17.7109375" customWidth="1"/>
    <col min="6916" max="6916" width="9.7109375" customWidth="1"/>
    <col min="6917" max="6917" width="11.5703125" customWidth="1"/>
    <col min="6919" max="6919" width="10.28515625" customWidth="1"/>
    <col min="6921" max="6921" width="17.7109375" customWidth="1"/>
    <col min="7172" max="7172" width="9.7109375" customWidth="1"/>
    <col min="7173" max="7173" width="11.5703125" customWidth="1"/>
    <col min="7175" max="7175" width="10.28515625" customWidth="1"/>
    <col min="7177" max="7177" width="17.7109375" customWidth="1"/>
    <col min="7428" max="7428" width="9.7109375" customWidth="1"/>
    <col min="7429" max="7429" width="11.5703125" customWidth="1"/>
    <col min="7431" max="7431" width="10.28515625" customWidth="1"/>
    <col min="7433" max="7433" width="17.7109375" customWidth="1"/>
    <col min="7684" max="7684" width="9.7109375" customWidth="1"/>
    <col min="7685" max="7685" width="11.5703125" customWidth="1"/>
    <col min="7687" max="7687" width="10.28515625" customWidth="1"/>
    <col min="7689" max="7689" width="17.7109375" customWidth="1"/>
    <col min="7940" max="7940" width="9.7109375" customWidth="1"/>
    <col min="7941" max="7941" width="11.5703125" customWidth="1"/>
    <col min="7943" max="7943" width="10.28515625" customWidth="1"/>
    <col min="7945" max="7945" width="17.7109375" customWidth="1"/>
    <col min="8196" max="8196" width="9.7109375" customWidth="1"/>
    <col min="8197" max="8197" width="11.5703125" customWidth="1"/>
    <col min="8199" max="8199" width="10.28515625" customWidth="1"/>
    <col min="8201" max="8201" width="17.7109375" customWidth="1"/>
    <col min="8452" max="8452" width="9.7109375" customWidth="1"/>
    <col min="8453" max="8453" width="11.5703125" customWidth="1"/>
    <col min="8455" max="8455" width="10.28515625" customWidth="1"/>
    <col min="8457" max="8457" width="17.7109375" customWidth="1"/>
    <col min="8708" max="8708" width="9.7109375" customWidth="1"/>
    <col min="8709" max="8709" width="11.5703125" customWidth="1"/>
    <col min="8711" max="8711" width="10.28515625" customWidth="1"/>
    <col min="8713" max="8713" width="17.7109375" customWidth="1"/>
    <col min="8964" max="8964" width="9.7109375" customWidth="1"/>
    <col min="8965" max="8965" width="11.5703125" customWidth="1"/>
    <col min="8967" max="8967" width="10.28515625" customWidth="1"/>
    <col min="8969" max="8969" width="17.7109375" customWidth="1"/>
    <col min="9220" max="9220" width="9.7109375" customWidth="1"/>
    <col min="9221" max="9221" width="11.5703125" customWidth="1"/>
    <col min="9223" max="9223" width="10.28515625" customWidth="1"/>
    <col min="9225" max="9225" width="17.7109375" customWidth="1"/>
    <col min="9476" max="9476" width="9.7109375" customWidth="1"/>
    <col min="9477" max="9477" width="11.5703125" customWidth="1"/>
    <col min="9479" max="9479" width="10.28515625" customWidth="1"/>
    <col min="9481" max="9481" width="17.7109375" customWidth="1"/>
    <col min="9732" max="9732" width="9.7109375" customWidth="1"/>
    <col min="9733" max="9733" width="11.5703125" customWidth="1"/>
    <col min="9735" max="9735" width="10.28515625" customWidth="1"/>
    <col min="9737" max="9737" width="17.7109375" customWidth="1"/>
    <col min="9988" max="9988" width="9.7109375" customWidth="1"/>
    <col min="9989" max="9989" width="11.5703125" customWidth="1"/>
    <col min="9991" max="9991" width="10.28515625" customWidth="1"/>
    <col min="9993" max="9993" width="17.7109375" customWidth="1"/>
    <col min="10244" max="10244" width="9.7109375" customWidth="1"/>
    <col min="10245" max="10245" width="11.5703125" customWidth="1"/>
    <col min="10247" max="10247" width="10.28515625" customWidth="1"/>
    <col min="10249" max="10249" width="17.7109375" customWidth="1"/>
    <col min="10500" max="10500" width="9.7109375" customWidth="1"/>
    <col min="10501" max="10501" width="11.5703125" customWidth="1"/>
    <col min="10503" max="10503" width="10.28515625" customWidth="1"/>
    <col min="10505" max="10505" width="17.7109375" customWidth="1"/>
    <col min="10756" max="10756" width="9.7109375" customWidth="1"/>
    <col min="10757" max="10757" width="11.5703125" customWidth="1"/>
    <col min="10759" max="10759" width="10.28515625" customWidth="1"/>
    <col min="10761" max="10761" width="17.7109375" customWidth="1"/>
    <col min="11012" max="11012" width="9.7109375" customWidth="1"/>
    <col min="11013" max="11013" width="11.5703125" customWidth="1"/>
    <col min="11015" max="11015" width="10.28515625" customWidth="1"/>
    <col min="11017" max="11017" width="17.7109375" customWidth="1"/>
    <col min="11268" max="11268" width="9.7109375" customWidth="1"/>
    <col min="11269" max="11269" width="11.5703125" customWidth="1"/>
    <col min="11271" max="11271" width="10.28515625" customWidth="1"/>
    <col min="11273" max="11273" width="17.7109375" customWidth="1"/>
    <col min="11524" max="11524" width="9.7109375" customWidth="1"/>
    <col min="11525" max="11525" width="11.5703125" customWidth="1"/>
    <col min="11527" max="11527" width="10.28515625" customWidth="1"/>
    <col min="11529" max="11529" width="17.7109375" customWidth="1"/>
    <col min="11780" max="11780" width="9.7109375" customWidth="1"/>
    <col min="11781" max="11781" width="11.5703125" customWidth="1"/>
    <col min="11783" max="11783" width="10.28515625" customWidth="1"/>
    <col min="11785" max="11785" width="17.7109375" customWidth="1"/>
    <col min="12036" max="12036" width="9.7109375" customWidth="1"/>
    <col min="12037" max="12037" width="11.5703125" customWidth="1"/>
    <col min="12039" max="12039" width="10.28515625" customWidth="1"/>
    <col min="12041" max="12041" width="17.7109375" customWidth="1"/>
    <col min="12292" max="12292" width="9.7109375" customWidth="1"/>
    <col min="12293" max="12293" width="11.5703125" customWidth="1"/>
    <col min="12295" max="12295" width="10.28515625" customWidth="1"/>
    <col min="12297" max="12297" width="17.7109375" customWidth="1"/>
    <col min="12548" max="12548" width="9.7109375" customWidth="1"/>
    <col min="12549" max="12549" width="11.5703125" customWidth="1"/>
    <col min="12551" max="12551" width="10.28515625" customWidth="1"/>
    <col min="12553" max="12553" width="17.7109375" customWidth="1"/>
    <col min="12804" max="12804" width="9.7109375" customWidth="1"/>
    <col min="12805" max="12805" width="11.5703125" customWidth="1"/>
    <col min="12807" max="12807" width="10.28515625" customWidth="1"/>
    <col min="12809" max="12809" width="17.7109375" customWidth="1"/>
    <col min="13060" max="13060" width="9.7109375" customWidth="1"/>
    <col min="13061" max="13061" width="11.5703125" customWidth="1"/>
    <col min="13063" max="13063" width="10.28515625" customWidth="1"/>
    <col min="13065" max="13065" width="17.7109375" customWidth="1"/>
    <col min="13316" max="13316" width="9.7109375" customWidth="1"/>
    <col min="13317" max="13317" width="11.5703125" customWidth="1"/>
    <col min="13319" max="13319" width="10.28515625" customWidth="1"/>
    <col min="13321" max="13321" width="17.7109375" customWidth="1"/>
    <col min="13572" max="13572" width="9.7109375" customWidth="1"/>
    <col min="13573" max="13573" width="11.5703125" customWidth="1"/>
    <col min="13575" max="13575" width="10.28515625" customWidth="1"/>
    <col min="13577" max="13577" width="17.7109375" customWidth="1"/>
    <col min="13828" max="13828" width="9.7109375" customWidth="1"/>
    <col min="13829" max="13829" width="11.5703125" customWidth="1"/>
    <col min="13831" max="13831" width="10.28515625" customWidth="1"/>
    <col min="13833" max="13833" width="17.7109375" customWidth="1"/>
    <col min="14084" max="14084" width="9.7109375" customWidth="1"/>
    <col min="14085" max="14085" width="11.5703125" customWidth="1"/>
    <col min="14087" max="14087" width="10.28515625" customWidth="1"/>
    <col min="14089" max="14089" width="17.7109375" customWidth="1"/>
    <col min="14340" max="14340" width="9.7109375" customWidth="1"/>
    <col min="14341" max="14341" width="11.5703125" customWidth="1"/>
    <col min="14343" max="14343" width="10.28515625" customWidth="1"/>
    <col min="14345" max="14345" width="17.7109375" customWidth="1"/>
    <col min="14596" max="14596" width="9.7109375" customWidth="1"/>
    <col min="14597" max="14597" width="11.5703125" customWidth="1"/>
    <col min="14599" max="14599" width="10.28515625" customWidth="1"/>
    <col min="14601" max="14601" width="17.7109375" customWidth="1"/>
    <col min="14852" max="14852" width="9.7109375" customWidth="1"/>
    <col min="14853" max="14853" width="11.5703125" customWidth="1"/>
    <col min="14855" max="14855" width="10.28515625" customWidth="1"/>
    <col min="14857" max="14857" width="17.7109375" customWidth="1"/>
    <col min="15108" max="15108" width="9.7109375" customWidth="1"/>
    <col min="15109" max="15109" width="11.5703125" customWidth="1"/>
    <col min="15111" max="15111" width="10.28515625" customWidth="1"/>
    <col min="15113" max="15113" width="17.7109375" customWidth="1"/>
    <col min="15364" max="15364" width="9.7109375" customWidth="1"/>
    <col min="15365" max="15365" width="11.5703125" customWidth="1"/>
    <col min="15367" max="15367" width="10.28515625" customWidth="1"/>
    <col min="15369" max="15369" width="17.7109375" customWidth="1"/>
    <col min="15620" max="15620" width="9.7109375" customWidth="1"/>
    <col min="15621" max="15621" width="11.5703125" customWidth="1"/>
    <col min="15623" max="15623" width="10.28515625" customWidth="1"/>
    <col min="15625" max="15625" width="17.7109375" customWidth="1"/>
    <col min="15876" max="15876" width="9.7109375" customWidth="1"/>
    <col min="15877" max="15877" width="11.5703125" customWidth="1"/>
    <col min="15879" max="15879" width="10.28515625" customWidth="1"/>
    <col min="15881" max="15881" width="17.7109375" customWidth="1"/>
    <col min="16132" max="16132" width="9.7109375" customWidth="1"/>
    <col min="16133" max="16133" width="11.5703125" customWidth="1"/>
    <col min="16135" max="16135" width="10.28515625" customWidth="1"/>
    <col min="16137" max="16137" width="17.7109375" customWidth="1"/>
  </cols>
  <sheetData>
    <row r="1" spans="1:14" ht="57" customHeight="1" x14ac:dyDescent="0.2">
      <c r="F1" s="540" t="s">
        <v>641</v>
      </c>
      <c r="G1" s="540"/>
      <c r="H1" s="540"/>
      <c r="I1" s="540"/>
      <c r="K1" s="292"/>
    </row>
    <row r="2" spans="1:14" s="5" customFormat="1" ht="15" customHeight="1" x14ac:dyDescent="0.2">
      <c r="A2" s="548" t="s">
        <v>635</v>
      </c>
      <c r="B2" s="548"/>
      <c r="C2" s="548"/>
      <c r="D2" s="548"/>
      <c r="E2" s="548"/>
      <c r="F2" s="548"/>
      <c r="G2" s="548"/>
      <c r="H2" s="548"/>
      <c r="I2" s="548"/>
    </row>
    <row r="3" spans="1:14" s="16" customFormat="1" ht="15" customHeight="1" x14ac:dyDescent="0.2">
      <c r="A3" s="548" t="s">
        <v>47</v>
      </c>
      <c r="B3" s="548"/>
      <c r="C3" s="548"/>
      <c r="D3" s="548"/>
      <c r="E3" s="548"/>
      <c r="F3" s="548"/>
      <c r="G3" s="548"/>
      <c r="H3" s="548"/>
      <c r="I3" s="548"/>
    </row>
    <row r="4" spans="1:14" s="5" customFormat="1" ht="21.75" customHeight="1" x14ac:dyDescent="0.2">
      <c r="A4" s="548" t="s">
        <v>30</v>
      </c>
      <c r="B4" s="548"/>
      <c r="C4" s="548"/>
      <c r="D4" s="548"/>
      <c r="E4" s="548"/>
      <c r="F4" s="548"/>
      <c r="G4" s="548"/>
      <c r="H4" s="548"/>
      <c r="I4" s="548"/>
    </row>
    <row r="5" spans="1:14" s="5" customFormat="1" ht="22.5" customHeight="1" x14ac:dyDescent="0.2">
      <c r="A5" s="549" t="s">
        <v>648</v>
      </c>
      <c r="B5" s="550"/>
      <c r="C5" s="550"/>
      <c r="D5" s="550"/>
      <c r="E5" s="550"/>
      <c r="F5" s="550"/>
      <c r="G5" s="550"/>
      <c r="H5" s="550"/>
      <c r="I5" s="550"/>
    </row>
    <row r="6" spans="1:14" s="5" customFormat="1" ht="47.25" customHeight="1" x14ac:dyDescent="0.2">
      <c r="A6" s="551" t="s">
        <v>636</v>
      </c>
      <c r="B6" s="552"/>
      <c r="C6" s="552"/>
      <c r="D6" s="552"/>
      <c r="E6" s="552"/>
      <c r="F6" s="552"/>
      <c r="G6" s="552"/>
      <c r="H6" s="552"/>
      <c r="I6" s="552"/>
    </row>
    <row r="7" spans="1:14" s="5" customFormat="1" ht="42" customHeight="1" x14ac:dyDescent="0.25">
      <c r="A7" s="553" t="s">
        <v>643</v>
      </c>
      <c r="B7" s="554"/>
      <c r="C7" s="554"/>
      <c r="D7" s="554"/>
      <c r="E7" s="554"/>
      <c r="F7" s="554"/>
      <c r="G7" s="554"/>
      <c r="H7" s="554"/>
      <c r="I7" s="554"/>
      <c r="J7" s="547"/>
      <c r="K7" s="547"/>
      <c r="L7" s="547"/>
      <c r="M7" s="547"/>
      <c r="N7" s="547"/>
    </row>
    <row r="8" spans="1:14" s="5" customFormat="1" ht="15.75" x14ac:dyDescent="0.25">
      <c r="A8" s="6"/>
      <c r="B8" s="7"/>
      <c r="C8" s="533"/>
      <c r="D8" s="7"/>
      <c r="E8" s="7"/>
      <c r="F8" s="7"/>
      <c r="G8" s="7"/>
      <c r="H8" s="7"/>
      <c r="I8" s="7"/>
      <c r="J8" s="8"/>
      <c r="K8" s="8"/>
      <c r="L8" s="8"/>
      <c r="M8" s="8"/>
      <c r="N8" s="8"/>
    </row>
    <row r="9" spans="1:14" s="5" customFormat="1" ht="15.75" x14ac:dyDescent="0.2">
      <c r="A9" s="542" t="s">
        <v>638</v>
      </c>
      <c r="B9" s="542"/>
      <c r="C9" s="535" t="s">
        <v>644</v>
      </c>
      <c r="D9" s="9">
        <v>22</v>
      </c>
      <c r="E9" s="10" t="s">
        <v>645</v>
      </c>
      <c r="F9" s="10"/>
      <c r="G9" s="10"/>
      <c r="H9" s="10"/>
      <c r="I9" s="11"/>
    </row>
    <row r="10" spans="1:14" s="5" customFormat="1" ht="15.75" x14ac:dyDescent="0.2">
      <c r="B10" s="10" t="s">
        <v>639</v>
      </c>
      <c r="C10" s="536" t="s">
        <v>644</v>
      </c>
      <c r="D10" s="9">
        <v>5</v>
      </c>
      <c r="E10" s="12" t="s">
        <v>646</v>
      </c>
      <c r="F10" s="12"/>
      <c r="G10" s="12"/>
      <c r="H10" s="12"/>
      <c r="I10" s="13"/>
    </row>
    <row r="11" spans="1:14" s="5" customFormat="1" ht="15.75" customHeight="1" x14ac:dyDescent="0.2">
      <c r="B11" s="10" t="s">
        <v>640</v>
      </c>
      <c r="C11" s="536" t="s">
        <v>644</v>
      </c>
      <c r="D11" s="9">
        <v>2</v>
      </c>
      <c r="E11" s="546" t="s">
        <v>647</v>
      </c>
      <c r="F11" s="546"/>
      <c r="G11" s="546"/>
      <c r="H11" s="11"/>
      <c r="I11" s="11"/>
    </row>
    <row r="12" spans="1:14" s="5" customFormat="1" ht="15.75" x14ac:dyDescent="0.2">
      <c r="A12" s="543"/>
      <c r="B12" s="544"/>
      <c r="C12" s="544"/>
      <c r="D12" s="544"/>
      <c r="E12" s="544"/>
      <c r="F12" s="544"/>
      <c r="G12" s="544"/>
      <c r="H12" s="544"/>
      <c r="I12" s="544"/>
    </row>
    <row r="13" spans="1:14" s="5" customFormat="1" ht="15.75" x14ac:dyDescent="0.2">
      <c r="A13" s="543"/>
      <c r="B13" s="544"/>
      <c r="C13" s="544"/>
      <c r="D13" s="544"/>
      <c r="E13" s="544"/>
      <c r="F13" s="544"/>
      <c r="G13" s="544"/>
      <c r="H13" s="544"/>
      <c r="I13" s="544"/>
    </row>
    <row r="14" spans="1:14" ht="32.25" customHeight="1" x14ac:dyDescent="0.2">
      <c r="B14" s="5"/>
      <c r="C14" s="16"/>
    </row>
    <row r="15" spans="1:14" ht="32.25" customHeight="1" x14ac:dyDescent="0.2">
      <c r="B15" s="5"/>
      <c r="C15" s="16"/>
    </row>
    <row r="16" spans="1:14" ht="32.25" customHeight="1" x14ac:dyDescent="0.2"/>
    <row r="17" spans="1:14" ht="32.25" customHeight="1" x14ac:dyDescent="0.2"/>
    <row r="18" spans="1:14" ht="32.25" customHeight="1" x14ac:dyDescent="0.2"/>
    <row r="19" spans="1:14" ht="32.25" customHeight="1" x14ac:dyDescent="0.2"/>
    <row r="20" spans="1:14" ht="32.25" customHeight="1" x14ac:dyDescent="0.2"/>
    <row r="21" spans="1:14" ht="32.25" customHeight="1" x14ac:dyDescent="0.2"/>
    <row r="22" spans="1:14" ht="33" customHeight="1" x14ac:dyDescent="0.2">
      <c r="A22" s="545" t="s">
        <v>637</v>
      </c>
      <c r="B22" s="545"/>
      <c r="C22" s="545"/>
      <c r="D22" s="545"/>
      <c r="E22" s="545"/>
      <c r="F22" s="545"/>
      <c r="G22" s="545"/>
      <c r="H22" s="545"/>
      <c r="I22" s="545"/>
      <c r="J22" s="14"/>
      <c r="K22" s="14"/>
      <c r="L22" s="14"/>
      <c r="M22" s="14"/>
      <c r="N22" s="14"/>
    </row>
    <row r="23" spans="1:14" ht="30.75" customHeight="1" x14ac:dyDescent="0.2">
      <c r="A23" s="541" t="s">
        <v>31</v>
      </c>
      <c r="B23" s="541"/>
      <c r="C23" s="541"/>
      <c r="D23" s="541"/>
      <c r="E23" s="541"/>
      <c r="F23" s="541"/>
      <c r="G23" s="541"/>
      <c r="H23" s="541"/>
      <c r="I23" s="541"/>
      <c r="J23" s="15"/>
      <c r="K23" s="15"/>
      <c r="L23" s="15"/>
      <c r="M23" s="15"/>
      <c r="N23" s="15"/>
    </row>
    <row r="24" spans="1:14" ht="30.75" customHeight="1" x14ac:dyDescent="0.2">
      <c r="A24" s="541" t="s">
        <v>32</v>
      </c>
      <c r="B24" s="541"/>
      <c r="C24" s="541"/>
      <c r="D24" s="541"/>
      <c r="E24" s="541"/>
      <c r="F24" s="541"/>
      <c r="G24" s="541"/>
      <c r="H24" s="541"/>
      <c r="I24" s="541"/>
      <c r="J24" s="15"/>
      <c r="K24" s="15"/>
      <c r="L24" s="15"/>
      <c r="M24" s="15"/>
      <c r="N24" s="15"/>
    </row>
    <row r="25" spans="1:14" ht="32.25" customHeight="1" x14ac:dyDescent="0.2">
      <c r="A25" s="541" t="s">
        <v>33</v>
      </c>
      <c r="B25" s="541"/>
      <c r="C25" s="541"/>
      <c r="D25" s="541"/>
      <c r="E25" s="541"/>
      <c r="F25" s="541"/>
      <c r="G25" s="541"/>
      <c r="H25" s="541"/>
      <c r="I25" s="541"/>
      <c r="J25" s="15"/>
      <c r="K25" s="15"/>
      <c r="L25" s="15"/>
      <c r="M25" s="15"/>
      <c r="N25" s="15"/>
    </row>
  </sheetData>
  <mergeCells count="16">
    <mergeCell ref="J7:N7"/>
    <mergeCell ref="A2:I2"/>
    <mergeCell ref="A4:I4"/>
    <mergeCell ref="A5:I5"/>
    <mergeCell ref="A6:I6"/>
    <mergeCell ref="A7:I7"/>
    <mergeCell ref="A3:I3"/>
    <mergeCell ref="F1:I1"/>
    <mergeCell ref="A25:I25"/>
    <mergeCell ref="A9:B9"/>
    <mergeCell ref="A12:I12"/>
    <mergeCell ref="A13:I13"/>
    <mergeCell ref="A22:I22"/>
    <mergeCell ref="A23:I23"/>
    <mergeCell ref="A24:I24"/>
    <mergeCell ref="E11:G11"/>
  </mergeCells>
  <printOptions horizontalCentered="1"/>
  <pageMargins left="1.1811023622047245" right="0.19685039370078741" top="0.78740157480314965" bottom="0.78740157480314965"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topLeftCell="A36" zoomScaleNormal="100" workbookViewId="0">
      <selection activeCell="E10" sqref="E10"/>
    </sheetView>
  </sheetViews>
  <sheetFormatPr defaultColWidth="8.7109375" defaultRowHeight="12.75" x14ac:dyDescent="0.2"/>
  <cols>
    <col min="1" max="1" width="8.28515625" style="293" customWidth="1"/>
    <col min="2" max="2" width="28.7109375" style="293" customWidth="1"/>
    <col min="3" max="3" width="11.28515625" style="293" customWidth="1"/>
    <col min="4" max="4" width="11.7109375" style="293" customWidth="1"/>
    <col min="5" max="5" width="13.28515625" style="293" customWidth="1"/>
    <col min="6" max="6" width="12.28515625" style="293" customWidth="1"/>
    <col min="7" max="7" width="10.7109375" style="293" customWidth="1"/>
    <col min="8" max="8" width="7.5703125" style="293" customWidth="1"/>
    <col min="9" max="9" width="25.7109375" style="293" customWidth="1"/>
    <col min="10" max="10" width="8.42578125" style="293" customWidth="1"/>
    <col min="11" max="11" width="9" style="370" customWidth="1"/>
    <col min="12" max="12" width="8.7109375" style="370" customWidth="1"/>
    <col min="13" max="13" width="50.28515625" style="293" customWidth="1"/>
    <col min="14" max="16384" width="8.7109375" style="293"/>
  </cols>
  <sheetData>
    <row r="1" spans="1:24" ht="15.6" customHeight="1" x14ac:dyDescent="0.2">
      <c r="A1" s="570" t="s">
        <v>27</v>
      </c>
      <c r="B1" s="570"/>
      <c r="C1" s="570"/>
      <c r="D1" s="570"/>
      <c r="E1" s="570"/>
      <c r="F1" s="570"/>
      <c r="G1" s="570"/>
      <c r="H1" s="570"/>
      <c r="I1" s="570"/>
      <c r="J1" s="570"/>
      <c r="K1" s="570"/>
      <c r="L1" s="570"/>
      <c r="M1" s="570"/>
      <c r="N1" s="366"/>
      <c r="O1" s="366"/>
      <c r="P1" s="366"/>
      <c r="Q1" s="366"/>
      <c r="R1" s="366"/>
      <c r="S1" s="366"/>
      <c r="T1" s="366"/>
      <c r="U1" s="366"/>
      <c r="V1" s="366"/>
      <c r="W1" s="366"/>
      <c r="X1" s="366"/>
    </row>
    <row r="2" spans="1:24" ht="15.6" customHeight="1" x14ac:dyDescent="0.2">
      <c r="A2" s="571" t="s">
        <v>445</v>
      </c>
      <c r="B2" s="571"/>
      <c r="C2" s="571"/>
      <c r="D2" s="571"/>
      <c r="E2" s="571"/>
      <c r="F2" s="571"/>
      <c r="G2" s="571"/>
      <c r="H2" s="571"/>
      <c r="I2" s="571"/>
      <c r="J2" s="571"/>
      <c r="K2" s="571"/>
      <c r="L2" s="571"/>
      <c r="M2" s="571"/>
      <c r="N2" s="367"/>
      <c r="O2" s="367"/>
      <c r="P2" s="367"/>
      <c r="Q2" s="367"/>
      <c r="R2" s="367"/>
      <c r="S2" s="367"/>
      <c r="T2" s="367"/>
      <c r="U2" s="367"/>
      <c r="V2" s="367"/>
      <c r="W2" s="367"/>
      <c r="X2" s="367"/>
    </row>
    <row r="3" spans="1:24" ht="13.5" thickBot="1" x14ac:dyDescent="0.25">
      <c r="M3" s="368" t="s">
        <v>34</v>
      </c>
    </row>
    <row r="4" spans="1:24" x14ac:dyDescent="0.2">
      <c r="A4" s="596" t="s">
        <v>63</v>
      </c>
      <c r="B4" s="599" t="s">
        <v>64</v>
      </c>
      <c r="C4" s="599" t="s">
        <v>290</v>
      </c>
      <c r="D4" s="599" t="s">
        <v>291</v>
      </c>
      <c r="E4" s="599" t="s">
        <v>66</v>
      </c>
      <c r="F4" s="599" t="s">
        <v>67</v>
      </c>
      <c r="G4" s="599" t="s">
        <v>68</v>
      </c>
      <c r="H4" s="599" t="s">
        <v>69</v>
      </c>
      <c r="I4" s="599" t="s">
        <v>448</v>
      </c>
      <c r="J4" s="599"/>
      <c r="K4" s="599"/>
      <c r="L4" s="599"/>
      <c r="M4" s="602"/>
    </row>
    <row r="5" spans="1:24" x14ac:dyDescent="0.2">
      <c r="A5" s="597"/>
      <c r="B5" s="600"/>
      <c r="C5" s="600"/>
      <c r="D5" s="600"/>
      <c r="E5" s="600"/>
      <c r="F5" s="600"/>
      <c r="G5" s="600"/>
      <c r="H5" s="600"/>
      <c r="I5" s="600" t="s">
        <v>71</v>
      </c>
      <c r="J5" s="600" t="s">
        <v>72</v>
      </c>
      <c r="K5" s="603" t="s">
        <v>292</v>
      </c>
      <c r="L5" s="603"/>
      <c r="M5" s="604" t="s">
        <v>293</v>
      </c>
    </row>
    <row r="6" spans="1:24" ht="13.5" thickBot="1" x14ac:dyDescent="0.25">
      <c r="A6" s="598"/>
      <c r="B6" s="601"/>
      <c r="C6" s="601"/>
      <c r="D6" s="601"/>
      <c r="E6" s="601"/>
      <c r="F6" s="601"/>
      <c r="G6" s="601"/>
      <c r="H6" s="601"/>
      <c r="I6" s="601"/>
      <c r="J6" s="601"/>
      <c r="K6" s="371" t="s">
        <v>49</v>
      </c>
      <c r="L6" s="371" t="s">
        <v>74</v>
      </c>
      <c r="M6" s="605"/>
    </row>
    <row r="7" spans="1:24" ht="13.5" thickBot="1" x14ac:dyDescent="0.25">
      <c r="A7" s="294" t="s">
        <v>3</v>
      </c>
      <c r="B7" s="295" t="s">
        <v>75</v>
      </c>
      <c r="C7" s="296"/>
      <c r="D7" s="296"/>
      <c r="E7" s="297">
        <f>SUM(E8:E8)</f>
        <v>9526</v>
      </c>
      <c r="F7" s="297">
        <f>SUM(F8:F8)</f>
        <v>8870.3000000000011</v>
      </c>
      <c r="G7" s="297">
        <f>SUM(G8:G8)</f>
        <v>7857.5000000000009</v>
      </c>
      <c r="H7" s="297">
        <f>SUM(H8:H8)</f>
        <v>1012.8000000000002</v>
      </c>
      <c r="I7" s="296"/>
      <c r="J7" s="37"/>
      <c r="K7" s="372"/>
      <c r="L7" s="372"/>
      <c r="M7" s="298"/>
    </row>
    <row r="8" spans="1:24" ht="124.9" customHeight="1" x14ac:dyDescent="0.2">
      <c r="A8" s="299" t="s">
        <v>76</v>
      </c>
      <c r="B8" s="300" t="s">
        <v>77</v>
      </c>
      <c r="C8" s="301"/>
      <c r="D8" s="301"/>
      <c r="E8" s="302">
        <f>E11+E10+E12+E33+E121</f>
        <v>9526</v>
      </c>
      <c r="F8" s="302">
        <f>F11+F10+F12+F33+F121</f>
        <v>8870.3000000000011</v>
      </c>
      <c r="G8" s="302">
        <f>G11+G10+G12+G33+G121</f>
        <v>7857.5000000000009</v>
      </c>
      <c r="H8" s="302">
        <f>H11+H10+H12+H33+H121-0.1</f>
        <v>1012.8000000000002</v>
      </c>
      <c r="I8" s="391" t="s">
        <v>81</v>
      </c>
      <c r="J8" s="392" t="s">
        <v>456</v>
      </c>
      <c r="K8" s="393" t="s">
        <v>297</v>
      </c>
      <c r="L8" s="393" t="s">
        <v>298</v>
      </c>
      <c r="M8" s="394" t="s">
        <v>431</v>
      </c>
    </row>
    <row r="9" spans="1:24" ht="38.25" x14ac:dyDescent="0.2">
      <c r="A9" s="387"/>
      <c r="B9" s="388"/>
      <c r="C9" s="389"/>
      <c r="D9" s="389"/>
      <c r="E9" s="390"/>
      <c r="F9" s="390"/>
      <c r="G9" s="390"/>
      <c r="H9" s="390"/>
      <c r="I9" s="395" t="s">
        <v>447</v>
      </c>
      <c r="J9" s="396" t="s">
        <v>79</v>
      </c>
      <c r="K9" s="397">
        <v>46</v>
      </c>
      <c r="L9" s="397">
        <v>46</v>
      </c>
      <c r="M9" s="398"/>
    </row>
    <row r="10" spans="1:24" ht="114.75" x14ac:dyDescent="0.2">
      <c r="A10" s="303"/>
      <c r="B10" s="304"/>
      <c r="C10" s="305"/>
      <c r="D10" s="305"/>
      <c r="E10" s="332">
        <v>0</v>
      </c>
      <c r="F10" s="332">
        <v>0</v>
      </c>
      <c r="G10" s="332">
        <v>0</v>
      </c>
      <c r="H10" s="332">
        <v>0</v>
      </c>
      <c r="I10" s="305" t="s">
        <v>294</v>
      </c>
      <c r="J10" s="88" t="s">
        <v>90</v>
      </c>
      <c r="K10" s="373" t="s">
        <v>295</v>
      </c>
      <c r="L10" s="373" t="s">
        <v>296</v>
      </c>
      <c r="M10" s="307" t="s">
        <v>425</v>
      </c>
    </row>
    <row r="11" spans="1:24" ht="26.25" thickBot="1" x14ac:dyDescent="0.25">
      <c r="A11" s="303"/>
      <c r="B11" s="304"/>
      <c r="C11" s="305"/>
      <c r="D11" s="305"/>
      <c r="E11" s="332">
        <v>0</v>
      </c>
      <c r="F11" s="332">
        <v>0</v>
      </c>
      <c r="G11" s="332">
        <v>0</v>
      </c>
      <c r="H11" s="332">
        <v>0</v>
      </c>
      <c r="I11" s="305" t="s">
        <v>423</v>
      </c>
      <c r="J11" s="88" t="s">
        <v>79</v>
      </c>
      <c r="K11" s="373" t="s">
        <v>299</v>
      </c>
      <c r="L11" s="373" t="s">
        <v>424</v>
      </c>
      <c r="M11" s="307"/>
    </row>
    <row r="12" spans="1:24" ht="39" thickBot="1" x14ac:dyDescent="0.25">
      <c r="A12" s="308" t="s">
        <v>85</v>
      </c>
      <c r="B12" s="309" t="s">
        <v>86</v>
      </c>
      <c r="C12" s="310"/>
      <c r="D12" s="310"/>
      <c r="E12" s="311">
        <f>E13+E19+E21+E23+E28</f>
        <v>1748</v>
      </c>
      <c r="F12" s="311">
        <f>F13+F19+F21+F23+F28</f>
        <v>1746.4</v>
      </c>
      <c r="G12" s="311">
        <f>G13+G19+G21+G23+G28-0.1</f>
        <v>1459.6000000000001</v>
      </c>
      <c r="H12" s="311">
        <f>H13+H19+H21+H23+H28+0.1</f>
        <v>286.8</v>
      </c>
      <c r="I12" s="310"/>
      <c r="J12" s="63"/>
      <c r="K12" s="374"/>
      <c r="L12" s="374"/>
      <c r="M12" s="312"/>
    </row>
    <row r="13" spans="1:24" ht="26.25" hidden="1" thickBot="1" x14ac:dyDescent="0.25">
      <c r="A13" s="313" t="s">
        <v>87</v>
      </c>
      <c r="B13" s="314" t="s">
        <v>88</v>
      </c>
      <c r="C13" s="315"/>
      <c r="D13" s="315"/>
      <c r="E13" s="316">
        <f>SUM(E14:E14)</f>
        <v>1339.3999999999999</v>
      </c>
      <c r="F13" s="316">
        <f>SUM(F14:F14)</f>
        <v>1347.1</v>
      </c>
      <c r="G13" s="316">
        <f>SUM(G14:G14)</f>
        <v>1203.1999999999998</v>
      </c>
      <c r="H13" s="316">
        <f>SUM(H14:H14)</f>
        <v>143.9</v>
      </c>
      <c r="I13" s="315"/>
      <c r="J13" s="72"/>
      <c r="K13" s="375"/>
      <c r="L13" s="375"/>
      <c r="M13" s="317"/>
    </row>
    <row r="14" spans="1:24" ht="112.15" customHeight="1" x14ac:dyDescent="0.2">
      <c r="A14" s="343" t="s">
        <v>300</v>
      </c>
      <c r="B14" s="342" t="s">
        <v>50</v>
      </c>
      <c r="C14" s="315"/>
      <c r="D14" s="315"/>
      <c r="E14" s="316">
        <f>SUM(E15:E18)</f>
        <v>1339.3999999999999</v>
      </c>
      <c r="F14" s="316">
        <f>SUM(F15:F18)</f>
        <v>1347.1</v>
      </c>
      <c r="G14" s="316">
        <f>SUM(G15:G18)</f>
        <v>1203.1999999999998</v>
      </c>
      <c r="H14" s="316">
        <f>SUM(H15:H18)</f>
        <v>143.9</v>
      </c>
      <c r="I14" s="315" t="s">
        <v>106</v>
      </c>
      <c r="J14" s="72" t="s">
        <v>90</v>
      </c>
      <c r="K14" s="375" t="s">
        <v>307</v>
      </c>
      <c r="L14" s="375" t="s">
        <v>308</v>
      </c>
      <c r="M14" s="317" t="s">
        <v>457</v>
      </c>
    </row>
    <row r="15" spans="1:24" ht="51" x14ac:dyDescent="0.2">
      <c r="A15" s="303"/>
      <c r="B15" s="304"/>
      <c r="C15" s="305" t="s">
        <v>2</v>
      </c>
      <c r="D15" s="305" t="s">
        <v>303</v>
      </c>
      <c r="E15" s="306">
        <v>1067.0999999999999</v>
      </c>
      <c r="F15" s="306">
        <v>1074.8</v>
      </c>
      <c r="G15" s="306">
        <v>1038.5999999999999</v>
      </c>
      <c r="H15" s="306">
        <v>36.200000000000003</v>
      </c>
      <c r="I15" s="305" t="s">
        <v>89</v>
      </c>
      <c r="J15" s="88" t="s">
        <v>90</v>
      </c>
      <c r="K15" s="373" t="s">
        <v>310</v>
      </c>
      <c r="L15" s="373" t="s">
        <v>310</v>
      </c>
      <c r="M15" s="307" t="s">
        <v>458</v>
      </c>
    </row>
    <row r="16" spans="1:24" ht="153" x14ac:dyDescent="0.2">
      <c r="A16" s="303"/>
      <c r="B16" s="304"/>
      <c r="C16" s="305" t="s">
        <v>41</v>
      </c>
      <c r="D16" s="305" t="s">
        <v>306</v>
      </c>
      <c r="E16" s="306">
        <v>22.3</v>
      </c>
      <c r="F16" s="306">
        <v>22.3</v>
      </c>
      <c r="G16" s="306">
        <v>22.3</v>
      </c>
      <c r="H16" s="306">
        <v>0</v>
      </c>
      <c r="I16" s="339" t="s">
        <v>92</v>
      </c>
      <c r="J16" s="340" t="s">
        <v>90</v>
      </c>
      <c r="K16" s="376" t="s">
        <v>301</v>
      </c>
      <c r="L16" s="376" t="s">
        <v>302</v>
      </c>
      <c r="M16" s="341" t="s">
        <v>459</v>
      </c>
    </row>
    <row r="17" spans="1:13" ht="89.25" x14ac:dyDescent="0.2">
      <c r="A17" s="303"/>
      <c r="B17" s="304"/>
      <c r="C17" s="305" t="s">
        <v>20</v>
      </c>
      <c r="D17" s="305" t="s">
        <v>309</v>
      </c>
      <c r="E17" s="306">
        <v>250</v>
      </c>
      <c r="F17" s="306">
        <v>250</v>
      </c>
      <c r="G17" s="306">
        <v>142.30000000000001</v>
      </c>
      <c r="H17" s="306">
        <v>107.7</v>
      </c>
      <c r="I17" s="339" t="s">
        <v>40</v>
      </c>
      <c r="J17" s="340" t="s">
        <v>95</v>
      </c>
      <c r="K17" s="376" t="s">
        <v>304</v>
      </c>
      <c r="L17" s="376" t="s">
        <v>305</v>
      </c>
      <c r="M17" s="341" t="s">
        <v>460</v>
      </c>
    </row>
    <row r="18" spans="1:13" ht="39" thickBot="1" x14ac:dyDescent="0.25">
      <c r="A18" s="303"/>
      <c r="B18" s="304"/>
      <c r="C18" s="305"/>
      <c r="D18" s="305"/>
      <c r="E18" s="306">
        <v>0</v>
      </c>
      <c r="F18" s="306">
        <v>0</v>
      </c>
      <c r="G18" s="306">
        <v>0</v>
      </c>
      <c r="H18" s="306">
        <v>0</v>
      </c>
      <c r="I18" s="339" t="s">
        <v>94</v>
      </c>
      <c r="J18" s="340" t="s">
        <v>90</v>
      </c>
      <c r="K18" s="376" t="s">
        <v>311</v>
      </c>
      <c r="L18" s="376" t="s">
        <v>312</v>
      </c>
      <c r="M18" s="341" t="s">
        <v>432</v>
      </c>
    </row>
    <row r="19" spans="1:13" ht="39" hidden="1" thickBot="1" x14ac:dyDescent="0.25">
      <c r="A19" s="313" t="s">
        <v>98</v>
      </c>
      <c r="B19" s="314" t="s">
        <v>99</v>
      </c>
      <c r="C19" s="315"/>
      <c r="D19" s="315"/>
      <c r="E19" s="316">
        <f>SUM(E20:E20)</f>
        <v>71.2</v>
      </c>
      <c r="F19" s="316">
        <f>SUM(F20:F20)</f>
        <v>71.2</v>
      </c>
      <c r="G19" s="316">
        <f>SUM(G20:G20)</f>
        <v>58.9</v>
      </c>
      <c r="H19" s="316">
        <f>SUM(H20:H20)</f>
        <v>12.3</v>
      </c>
      <c r="I19" s="315"/>
      <c r="J19" s="72"/>
      <c r="K19" s="375"/>
      <c r="L19" s="375"/>
      <c r="M19" s="317"/>
    </row>
    <row r="20" spans="1:13" ht="26.25" thickBot="1" x14ac:dyDescent="0.25">
      <c r="A20" s="313" t="s">
        <v>313</v>
      </c>
      <c r="B20" s="314" t="s">
        <v>51</v>
      </c>
      <c r="C20" s="315" t="s">
        <v>2</v>
      </c>
      <c r="D20" s="315" t="s">
        <v>303</v>
      </c>
      <c r="E20" s="318">
        <v>71.2</v>
      </c>
      <c r="F20" s="318">
        <v>71.2</v>
      </c>
      <c r="G20" s="318">
        <v>58.9</v>
      </c>
      <c r="H20" s="318">
        <v>12.3</v>
      </c>
      <c r="I20" s="315" t="s">
        <v>100</v>
      </c>
      <c r="J20" s="72" t="s">
        <v>79</v>
      </c>
      <c r="K20" s="375" t="s">
        <v>314</v>
      </c>
      <c r="L20" s="375" t="s">
        <v>314</v>
      </c>
      <c r="M20" s="317" t="s">
        <v>461</v>
      </c>
    </row>
    <row r="21" spans="1:13" ht="39" hidden="1" thickBot="1" x14ac:dyDescent="0.25">
      <c r="A21" s="313" t="s">
        <v>108</v>
      </c>
      <c r="B21" s="314" t="s">
        <v>109</v>
      </c>
      <c r="C21" s="315"/>
      <c r="D21" s="315"/>
      <c r="E21" s="316">
        <f>SUM(E22:E22)</f>
        <v>75.400000000000006</v>
      </c>
      <c r="F21" s="316">
        <f>SUM(F22:F22)</f>
        <v>75.400000000000006</v>
      </c>
      <c r="G21" s="316">
        <f>SUM(G22:G22)</f>
        <v>75.400000000000006</v>
      </c>
      <c r="H21" s="316">
        <f>SUM(H22:H22)</f>
        <v>0</v>
      </c>
      <c r="I21" s="315"/>
      <c r="J21" s="72"/>
      <c r="K21" s="375"/>
      <c r="L21" s="375"/>
      <c r="M21" s="317"/>
    </row>
    <row r="22" spans="1:13" ht="39" thickBot="1" x14ac:dyDescent="0.25">
      <c r="A22" s="313" t="s">
        <v>315</v>
      </c>
      <c r="B22" s="314" t="s">
        <v>110</v>
      </c>
      <c r="C22" s="315" t="s">
        <v>2</v>
      </c>
      <c r="D22" s="315" t="s">
        <v>303</v>
      </c>
      <c r="E22" s="318">
        <v>75.400000000000006</v>
      </c>
      <c r="F22" s="318">
        <v>75.400000000000006</v>
      </c>
      <c r="G22" s="318">
        <v>75.400000000000006</v>
      </c>
      <c r="H22" s="318">
        <v>0</v>
      </c>
      <c r="I22" s="315" t="s">
        <v>111</v>
      </c>
      <c r="J22" s="72" t="s">
        <v>90</v>
      </c>
      <c r="K22" s="375" t="s">
        <v>316</v>
      </c>
      <c r="L22" s="375" t="s">
        <v>316</v>
      </c>
      <c r="M22" s="317" t="s">
        <v>317</v>
      </c>
    </row>
    <row r="23" spans="1:13" ht="26.25" hidden="1" thickBot="1" x14ac:dyDescent="0.25">
      <c r="A23" s="313" t="s">
        <v>113</v>
      </c>
      <c r="B23" s="314" t="s">
        <v>52</v>
      </c>
      <c r="C23" s="315"/>
      <c r="D23" s="315"/>
      <c r="E23" s="316">
        <f>SUM(E24:E24)</f>
        <v>207</v>
      </c>
      <c r="F23" s="316">
        <f>SUM(F24:F24)</f>
        <v>197.7</v>
      </c>
      <c r="G23" s="316">
        <f>SUM(G24:G24)</f>
        <v>109.4</v>
      </c>
      <c r="H23" s="316">
        <f>SUM(H24:H24)</f>
        <v>88.3</v>
      </c>
      <c r="I23" s="315"/>
      <c r="J23" s="72"/>
      <c r="K23" s="375"/>
      <c r="L23" s="375"/>
      <c r="M23" s="317"/>
    </row>
    <row r="24" spans="1:13" ht="51" x14ac:dyDescent="0.2">
      <c r="A24" s="343" t="s">
        <v>318</v>
      </c>
      <c r="B24" s="342" t="s">
        <v>52</v>
      </c>
      <c r="C24" s="315"/>
      <c r="D24" s="315"/>
      <c r="E24" s="316">
        <f>SUM(E25:E27)</f>
        <v>207</v>
      </c>
      <c r="F24" s="316">
        <f>SUM(F25:F27)</f>
        <v>197.7</v>
      </c>
      <c r="G24" s="316">
        <f>SUM(G25:G27)</f>
        <v>109.4</v>
      </c>
      <c r="H24" s="316">
        <f>SUM(H25:H27)</f>
        <v>88.3</v>
      </c>
      <c r="I24" s="336" t="s">
        <v>118</v>
      </c>
      <c r="J24" s="337" t="s">
        <v>95</v>
      </c>
      <c r="K24" s="377" t="s">
        <v>319</v>
      </c>
      <c r="L24" s="377" t="s">
        <v>320</v>
      </c>
      <c r="M24" s="338" t="s">
        <v>462</v>
      </c>
    </row>
    <row r="25" spans="1:13" ht="76.5" x14ac:dyDescent="0.2">
      <c r="A25" s="303"/>
      <c r="B25" s="304"/>
      <c r="C25" s="305" t="s">
        <v>2</v>
      </c>
      <c r="D25" s="305" t="s">
        <v>303</v>
      </c>
      <c r="E25" s="306">
        <v>198</v>
      </c>
      <c r="F25" s="306">
        <v>179</v>
      </c>
      <c r="G25" s="306">
        <v>100.4</v>
      </c>
      <c r="H25" s="306">
        <v>78.599999999999994</v>
      </c>
      <c r="I25" s="339" t="s">
        <v>322</v>
      </c>
      <c r="J25" s="340" t="s">
        <v>90</v>
      </c>
      <c r="K25" s="376" t="s">
        <v>308</v>
      </c>
      <c r="L25" s="376" t="s">
        <v>307</v>
      </c>
      <c r="M25" s="341" t="s">
        <v>463</v>
      </c>
    </row>
    <row r="26" spans="1:13" ht="51" x14ac:dyDescent="0.2">
      <c r="A26" s="303"/>
      <c r="B26" s="304"/>
      <c r="C26" s="305" t="s">
        <v>37</v>
      </c>
      <c r="D26" s="305" t="s">
        <v>321</v>
      </c>
      <c r="E26" s="306">
        <v>9</v>
      </c>
      <c r="F26" s="306">
        <v>18.7</v>
      </c>
      <c r="G26" s="306">
        <v>9</v>
      </c>
      <c r="H26" s="306">
        <v>9.6999999999999993</v>
      </c>
      <c r="I26" s="339" t="s">
        <v>120</v>
      </c>
      <c r="J26" s="340" t="s">
        <v>95</v>
      </c>
      <c r="K26" s="376" t="s">
        <v>323</v>
      </c>
      <c r="L26" s="376" t="s">
        <v>324</v>
      </c>
      <c r="M26" s="341" t="s">
        <v>464</v>
      </c>
    </row>
    <row r="27" spans="1:13" ht="26.25" thickBot="1" x14ac:dyDescent="0.25">
      <c r="A27" s="303"/>
      <c r="B27" s="304"/>
      <c r="C27" s="305"/>
      <c r="D27" s="305"/>
      <c r="E27" s="332">
        <v>0</v>
      </c>
      <c r="F27" s="332">
        <v>0</v>
      </c>
      <c r="G27" s="332">
        <v>0</v>
      </c>
      <c r="H27" s="332">
        <v>0</v>
      </c>
      <c r="I27" s="339" t="s">
        <v>325</v>
      </c>
      <c r="J27" s="340" t="s">
        <v>90</v>
      </c>
      <c r="K27" s="376" t="s">
        <v>326</v>
      </c>
      <c r="L27" s="376" t="s">
        <v>146</v>
      </c>
      <c r="M27" s="341" t="s">
        <v>422</v>
      </c>
    </row>
    <row r="28" spans="1:13" ht="39" hidden="1" thickBot="1" x14ac:dyDescent="0.25">
      <c r="A28" s="313" t="s">
        <v>123</v>
      </c>
      <c r="B28" s="314" t="s">
        <v>124</v>
      </c>
      <c r="C28" s="315"/>
      <c r="D28" s="315"/>
      <c r="E28" s="316">
        <f>SUM(E29:E29)</f>
        <v>55</v>
      </c>
      <c r="F28" s="316">
        <f>SUM(F29:F29)</f>
        <v>55</v>
      </c>
      <c r="G28" s="316">
        <f>SUM(G29:G29)</f>
        <v>12.8</v>
      </c>
      <c r="H28" s="316">
        <f>SUM(H29:H29)</f>
        <v>42.2</v>
      </c>
      <c r="I28" s="315"/>
      <c r="J28" s="72"/>
      <c r="K28" s="375"/>
      <c r="L28" s="375"/>
      <c r="M28" s="317"/>
    </row>
    <row r="29" spans="1:13" ht="63.75" x14ac:dyDescent="0.2">
      <c r="A29" s="313" t="s">
        <v>327</v>
      </c>
      <c r="B29" s="342" t="s">
        <v>53</v>
      </c>
      <c r="C29" s="315"/>
      <c r="D29" s="315"/>
      <c r="E29" s="316">
        <f>SUM(E30:E32)</f>
        <v>55</v>
      </c>
      <c r="F29" s="316">
        <f>SUM(F30:F32)</f>
        <v>55</v>
      </c>
      <c r="G29" s="316">
        <f>SUM(G30:G32)</f>
        <v>12.8</v>
      </c>
      <c r="H29" s="316">
        <f>SUM(H30:H32)</f>
        <v>42.2</v>
      </c>
      <c r="I29" s="315" t="s">
        <v>127</v>
      </c>
      <c r="J29" s="72" t="s">
        <v>90</v>
      </c>
      <c r="K29" s="375" t="s">
        <v>326</v>
      </c>
      <c r="L29" s="375" t="s">
        <v>326</v>
      </c>
      <c r="M29" s="317" t="s">
        <v>465</v>
      </c>
    </row>
    <row r="30" spans="1:13" ht="89.25" x14ac:dyDescent="0.2">
      <c r="A30" s="303"/>
      <c r="B30" s="304"/>
      <c r="C30" s="305" t="s">
        <v>37</v>
      </c>
      <c r="D30" s="305" t="s">
        <v>321</v>
      </c>
      <c r="E30" s="306">
        <v>5</v>
      </c>
      <c r="F30" s="306">
        <v>5</v>
      </c>
      <c r="G30" s="306">
        <v>0.8</v>
      </c>
      <c r="H30" s="306">
        <v>4.2</v>
      </c>
      <c r="I30" s="339" t="s">
        <v>125</v>
      </c>
      <c r="J30" s="340" t="s">
        <v>90</v>
      </c>
      <c r="K30" s="376" t="s">
        <v>319</v>
      </c>
      <c r="L30" s="376" t="s">
        <v>320</v>
      </c>
      <c r="M30" s="341" t="s">
        <v>466</v>
      </c>
    </row>
    <row r="31" spans="1:13" ht="76.5" x14ac:dyDescent="0.2">
      <c r="A31" s="303"/>
      <c r="B31" s="304"/>
      <c r="C31" s="305" t="s">
        <v>2</v>
      </c>
      <c r="D31" s="305" t="s">
        <v>303</v>
      </c>
      <c r="E31" s="306">
        <v>50</v>
      </c>
      <c r="F31" s="306">
        <v>50</v>
      </c>
      <c r="G31" s="306">
        <v>12</v>
      </c>
      <c r="H31" s="306">
        <v>38</v>
      </c>
      <c r="I31" s="339" t="s">
        <v>131</v>
      </c>
      <c r="J31" s="340" t="s">
        <v>79</v>
      </c>
      <c r="K31" s="376" t="s">
        <v>328</v>
      </c>
      <c r="L31" s="376" t="s">
        <v>329</v>
      </c>
      <c r="M31" s="341" t="s">
        <v>467</v>
      </c>
    </row>
    <row r="32" spans="1:13" ht="64.5" thickBot="1" x14ac:dyDescent="0.25">
      <c r="A32" s="303"/>
      <c r="B32" s="304"/>
      <c r="C32" s="305"/>
      <c r="D32" s="305"/>
      <c r="E32" s="332">
        <v>0</v>
      </c>
      <c r="F32" s="332">
        <v>0</v>
      </c>
      <c r="G32" s="332">
        <v>0</v>
      </c>
      <c r="H32" s="332">
        <v>0</v>
      </c>
      <c r="I32" s="339" t="s">
        <v>134</v>
      </c>
      <c r="J32" s="340" t="s">
        <v>90</v>
      </c>
      <c r="K32" s="376" t="s">
        <v>326</v>
      </c>
      <c r="L32" s="376" t="s">
        <v>146</v>
      </c>
      <c r="M32" s="341" t="s">
        <v>433</v>
      </c>
    </row>
    <row r="33" spans="1:17" ht="39" thickBot="1" x14ac:dyDescent="0.25">
      <c r="A33" s="308" t="s">
        <v>136</v>
      </c>
      <c r="B33" s="309" t="s">
        <v>19</v>
      </c>
      <c r="C33" s="310"/>
      <c r="D33" s="310"/>
      <c r="E33" s="311">
        <f>E34+E87+E104+E116</f>
        <v>7213.9999999999991</v>
      </c>
      <c r="F33" s="311">
        <f>F34+F87+F104+F116</f>
        <v>6961.2</v>
      </c>
      <c r="G33" s="311">
        <f>G34+G87+G104+G116</f>
        <v>6272.8</v>
      </c>
      <c r="H33" s="311">
        <f>H34+H87+H104+H116</f>
        <v>688.50000000000011</v>
      </c>
      <c r="I33" s="310"/>
      <c r="J33" s="63"/>
      <c r="K33" s="374"/>
      <c r="L33" s="374"/>
      <c r="M33" s="312"/>
    </row>
    <row r="34" spans="1:17" ht="76.5" x14ac:dyDescent="0.2">
      <c r="A34" s="313" t="s">
        <v>137</v>
      </c>
      <c r="B34" s="314" t="s">
        <v>138</v>
      </c>
      <c r="C34" s="315"/>
      <c r="D34" s="315"/>
      <c r="E34" s="316">
        <f>E35+E36+E43+E53+E56+E61+E66+E68+E70+E76+E78+E85</f>
        <v>5755.9999999999991</v>
      </c>
      <c r="F34" s="316">
        <f>F35+F36+F43+F53+F56+F61+F66+F68+F70+F76+F78+F85</f>
        <v>5558.4</v>
      </c>
      <c r="G34" s="316">
        <f>G35+G36+G43+G53+G56+G61+G66+G68+G70+G76+G78+G85</f>
        <v>5202</v>
      </c>
      <c r="H34" s="316">
        <f>H35+H36+H43+H53+H56+H61+H66+H68+H70+H76+H78+H85+0.1</f>
        <v>356.40000000000009</v>
      </c>
      <c r="I34" s="315" t="s">
        <v>139</v>
      </c>
      <c r="J34" s="72" t="s">
        <v>90</v>
      </c>
      <c r="K34" s="375" t="s">
        <v>330</v>
      </c>
      <c r="L34" s="375" t="s">
        <v>331</v>
      </c>
      <c r="M34" s="317" t="s">
        <v>446</v>
      </c>
    </row>
    <row r="35" spans="1:17" ht="82.15" customHeight="1" thickBot="1" x14ac:dyDescent="0.25">
      <c r="A35" s="303"/>
      <c r="B35" s="304"/>
      <c r="C35" s="305"/>
      <c r="D35" s="305"/>
      <c r="E35" s="332">
        <v>0</v>
      </c>
      <c r="F35" s="332">
        <v>0</v>
      </c>
      <c r="G35" s="332">
        <v>0</v>
      </c>
      <c r="H35" s="332">
        <v>0</v>
      </c>
      <c r="I35" s="305" t="s">
        <v>142</v>
      </c>
      <c r="J35" s="88" t="s">
        <v>82</v>
      </c>
      <c r="K35" s="373" t="s">
        <v>332</v>
      </c>
      <c r="L35" s="373" t="s">
        <v>333</v>
      </c>
      <c r="M35" s="307" t="s">
        <v>468</v>
      </c>
    </row>
    <row r="36" spans="1:17" ht="31.9" customHeight="1" x14ac:dyDescent="0.2">
      <c r="A36" s="565" t="s">
        <v>147</v>
      </c>
      <c r="B36" s="562" t="s">
        <v>148</v>
      </c>
      <c r="C36" s="315"/>
      <c r="D36" s="315"/>
      <c r="E36" s="316">
        <f>SUM(E37:E42)</f>
        <v>904</v>
      </c>
      <c r="F36" s="316">
        <f>SUM(F37:F42)</f>
        <v>885.7</v>
      </c>
      <c r="G36" s="316">
        <f>SUM(G37:G42)</f>
        <v>839.3</v>
      </c>
      <c r="H36" s="316">
        <f>SUM(H37:H42)-0.1</f>
        <v>46.4</v>
      </c>
      <c r="I36" s="315" t="s">
        <v>142</v>
      </c>
      <c r="J36" s="72" t="s">
        <v>82</v>
      </c>
      <c r="K36" s="375" t="s">
        <v>328</v>
      </c>
      <c r="L36" s="375" t="s">
        <v>426</v>
      </c>
      <c r="M36" s="317" t="s">
        <v>427</v>
      </c>
    </row>
    <row r="37" spans="1:17" ht="16.149999999999999" customHeight="1" x14ac:dyDescent="0.2">
      <c r="A37" s="573"/>
      <c r="B37" s="572"/>
      <c r="C37" s="305" t="s">
        <v>5</v>
      </c>
      <c r="D37" s="305" t="s">
        <v>334</v>
      </c>
      <c r="E37" s="306">
        <v>46</v>
      </c>
      <c r="F37" s="306">
        <v>46</v>
      </c>
      <c r="G37" s="306">
        <v>31.4</v>
      </c>
      <c r="H37" s="306">
        <v>14.6</v>
      </c>
      <c r="I37" s="305" t="s">
        <v>139</v>
      </c>
      <c r="J37" s="88" t="s">
        <v>95</v>
      </c>
      <c r="K37" s="373" t="s">
        <v>335</v>
      </c>
      <c r="L37" s="373" t="s">
        <v>336</v>
      </c>
      <c r="M37" s="582" t="s">
        <v>428</v>
      </c>
    </row>
    <row r="38" spans="1:17" x14ac:dyDescent="0.2">
      <c r="A38" s="303"/>
      <c r="B38" s="304"/>
      <c r="C38" s="305" t="s">
        <v>24</v>
      </c>
      <c r="D38" s="305" t="s">
        <v>6</v>
      </c>
      <c r="E38" s="306"/>
      <c r="F38" s="306">
        <v>1.2</v>
      </c>
      <c r="G38" s="306">
        <v>0.9</v>
      </c>
      <c r="H38" s="306">
        <v>0.4</v>
      </c>
      <c r="I38" s="305"/>
      <c r="J38" s="88"/>
      <c r="K38" s="373"/>
      <c r="L38" s="373"/>
      <c r="M38" s="593"/>
    </row>
    <row r="39" spans="1:17" x14ac:dyDescent="0.2">
      <c r="A39" s="303"/>
      <c r="B39" s="304"/>
      <c r="C39" s="305" t="s">
        <v>2</v>
      </c>
      <c r="D39" s="305" t="s">
        <v>303</v>
      </c>
      <c r="E39" s="306">
        <v>762.8</v>
      </c>
      <c r="F39" s="306">
        <v>743.3</v>
      </c>
      <c r="G39" s="306">
        <v>740.5</v>
      </c>
      <c r="H39" s="306">
        <v>2.8</v>
      </c>
      <c r="I39" s="305"/>
      <c r="J39" s="88"/>
      <c r="K39" s="373"/>
      <c r="L39" s="373"/>
      <c r="M39" s="307"/>
    </row>
    <row r="40" spans="1:17" x14ac:dyDescent="0.2">
      <c r="A40" s="303"/>
      <c r="B40" s="304"/>
      <c r="C40" s="305" t="s">
        <v>25</v>
      </c>
      <c r="D40" s="305" t="s">
        <v>339</v>
      </c>
      <c r="E40" s="306">
        <v>26.1</v>
      </c>
      <c r="F40" s="306">
        <v>26.1</v>
      </c>
      <c r="G40" s="306">
        <v>26.1</v>
      </c>
      <c r="H40" s="306"/>
      <c r="I40" s="305"/>
      <c r="J40" s="88"/>
      <c r="K40" s="373"/>
      <c r="L40" s="373"/>
      <c r="M40" s="307"/>
    </row>
    <row r="41" spans="1:17" x14ac:dyDescent="0.2">
      <c r="A41" s="303"/>
      <c r="B41" s="304"/>
      <c r="C41" s="305" t="s">
        <v>25</v>
      </c>
      <c r="D41" s="305" t="s">
        <v>338</v>
      </c>
      <c r="E41" s="306">
        <v>1.1000000000000001</v>
      </c>
      <c r="F41" s="306">
        <v>1.1000000000000001</v>
      </c>
      <c r="G41" s="306">
        <v>1.1000000000000001</v>
      </c>
      <c r="H41" s="306"/>
      <c r="I41" s="305"/>
      <c r="J41" s="88"/>
      <c r="K41" s="373"/>
      <c r="L41" s="373"/>
      <c r="M41" s="307"/>
    </row>
    <row r="42" spans="1:17" ht="13.5" thickBot="1" x14ac:dyDescent="0.25">
      <c r="A42" s="303"/>
      <c r="B42" s="304"/>
      <c r="C42" s="305" t="s">
        <v>5</v>
      </c>
      <c r="D42" s="305" t="s">
        <v>337</v>
      </c>
      <c r="E42" s="306">
        <v>68</v>
      </c>
      <c r="F42" s="306">
        <v>68</v>
      </c>
      <c r="G42" s="306">
        <v>39.299999999999997</v>
      </c>
      <c r="H42" s="306">
        <v>28.7</v>
      </c>
      <c r="I42" s="305"/>
      <c r="J42" s="88"/>
      <c r="K42" s="373"/>
      <c r="L42" s="373"/>
      <c r="M42" s="307"/>
    </row>
    <row r="43" spans="1:17" ht="31.15" customHeight="1" x14ac:dyDescent="0.2">
      <c r="A43" s="565" t="s">
        <v>150</v>
      </c>
      <c r="B43" s="562" t="s">
        <v>151</v>
      </c>
      <c r="C43" s="315"/>
      <c r="D43" s="315"/>
      <c r="E43" s="316">
        <f>SUM(E44:E52)</f>
        <v>1655.1999999999998</v>
      </c>
      <c r="F43" s="316">
        <f>SUM(F44:F52)</f>
        <v>1650.1999999999998</v>
      </c>
      <c r="G43" s="316">
        <f>SUM(G44:G52)</f>
        <v>1440.8</v>
      </c>
      <c r="H43" s="316">
        <f>SUM(H44:H52)</f>
        <v>209.4</v>
      </c>
      <c r="I43" s="315" t="s">
        <v>139</v>
      </c>
      <c r="J43" s="72" t="s">
        <v>95</v>
      </c>
      <c r="K43" s="375" t="s">
        <v>342</v>
      </c>
      <c r="L43" s="375" t="s">
        <v>343</v>
      </c>
      <c r="M43" s="317" t="s">
        <v>434</v>
      </c>
    </row>
    <row r="44" spans="1:17" ht="18.600000000000001" customHeight="1" x14ac:dyDescent="0.2">
      <c r="A44" s="573"/>
      <c r="B44" s="572"/>
      <c r="C44" s="305" t="s">
        <v>25</v>
      </c>
      <c r="D44" s="305" t="s">
        <v>338</v>
      </c>
      <c r="E44" s="306">
        <v>1.2</v>
      </c>
      <c r="F44" s="306">
        <v>1.2</v>
      </c>
      <c r="G44" s="306">
        <v>1.2</v>
      </c>
      <c r="H44" s="306">
        <v>0</v>
      </c>
      <c r="I44" s="305" t="s">
        <v>142</v>
      </c>
      <c r="J44" s="88" t="s">
        <v>82</v>
      </c>
      <c r="K44" s="373" t="s">
        <v>340</v>
      </c>
      <c r="L44" s="373" t="s">
        <v>341</v>
      </c>
      <c r="M44" s="589" t="s">
        <v>470</v>
      </c>
      <c r="N44" s="594"/>
      <c r="O44" s="595"/>
      <c r="P44" s="595"/>
      <c r="Q44" s="595"/>
    </row>
    <row r="45" spans="1:17" x14ac:dyDescent="0.2">
      <c r="A45" s="303"/>
      <c r="B45" s="304"/>
      <c r="C45" s="305" t="s">
        <v>24</v>
      </c>
      <c r="D45" s="305" t="s">
        <v>6</v>
      </c>
      <c r="E45" s="306"/>
      <c r="F45" s="306">
        <v>10</v>
      </c>
      <c r="G45" s="306">
        <v>10</v>
      </c>
      <c r="H45" s="306"/>
      <c r="I45" s="305"/>
      <c r="J45" s="88"/>
      <c r="K45" s="373"/>
      <c r="L45" s="373"/>
      <c r="M45" s="560"/>
      <c r="N45" s="594"/>
      <c r="O45" s="595"/>
      <c r="P45" s="595"/>
      <c r="Q45" s="595"/>
    </row>
    <row r="46" spans="1:17" x14ac:dyDescent="0.2">
      <c r="A46" s="303"/>
      <c r="B46" s="304"/>
      <c r="C46" s="305" t="s">
        <v>25</v>
      </c>
      <c r="D46" s="305" t="s">
        <v>344</v>
      </c>
      <c r="E46" s="306">
        <v>6.8</v>
      </c>
      <c r="F46" s="306">
        <v>6.8</v>
      </c>
      <c r="G46" s="306">
        <v>0.6</v>
      </c>
      <c r="H46" s="306">
        <v>6.2</v>
      </c>
      <c r="I46" s="305"/>
      <c r="J46" s="88"/>
      <c r="K46" s="373"/>
      <c r="L46" s="373"/>
      <c r="M46" s="560"/>
    </row>
    <row r="47" spans="1:17" x14ac:dyDescent="0.2">
      <c r="A47" s="303"/>
      <c r="B47" s="304"/>
      <c r="C47" s="305" t="s">
        <v>5</v>
      </c>
      <c r="D47" s="305" t="s">
        <v>345</v>
      </c>
      <c r="E47" s="306">
        <v>3.6</v>
      </c>
      <c r="F47" s="306">
        <v>3.6</v>
      </c>
      <c r="G47" s="306"/>
      <c r="H47" s="306">
        <v>3.6</v>
      </c>
      <c r="I47" s="305"/>
      <c r="J47" s="88"/>
      <c r="K47" s="373"/>
      <c r="L47" s="373"/>
      <c r="M47" s="560"/>
    </row>
    <row r="48" spans="1:17" x14ac:dyDescent="0.2">
      <c r="A48" s="303"/>
      <c r="B48" s="304"/>
      <c r="C48" s="305" t="s">
        <v>2</v>
      </c>
      <c r="D48" s="305" t="s">
        <v>303</v>
      </c>
      <c r="E48" s="306">
        <v>1305.9000000000001</v>
      </c>
      <c r="F48" s="306">
        <v>1290.9000000000001</v>
      </c>
      <c r="G48" s="306">
        <v>1280.2</v>
      </c>
      <c r="H48" s="306">
        <v>10.7</v>
      </c>
      <c r="I48" s="305"/>
      <c r="J48" s="88"/>
      <c r="K48" s="373"/>
      <c r="L48" s="373"/>
      <c r="M48" s="560"/>
    </row>
    <row r="49" spans="1:13" x14ac:dyDescent="0.2">
      <c r="A49" s="303"/>
      <c r="B49" s="304"/>
      <c r="C49" s="305" t="s">
        <v>25</v>
      </c>
      <c r="D49" s="305" t="s">
        <v>346</v>
      </c>
      <c r="E49" s="306">
        <v>5.0999999999999996</v>
      </c>
      <c r="F49" s="306">
        <v>5.0999999999999996</v>
      </c>
      <c r="G49" s="306">
        <v>5.0999999999999996</v>
      </c>
      <c r="H49" s="306"/>
      <c r="I49" s="305"/>
      <c r="J49" s="88"/>
      <c r="K49" s="373"/>
      <c r="L49" s="373"/>
      <c r="M49" s="560"/>
    </row>
    <row r="50" spans="1:13" x14ac:dyDescent="0.2">
      <c r="A50" s="303"/>
      <c r="B50" s="304"/>
      <c r="C50" s="305" t="s">
        <v>5</v>
      </c>
      <c r="D50" s="305" t="s">
        <v>334</v>
      </c>
      <c r="E50" s="306">
        <v>7.6</v>
      </c>
      <c r="F50" s="306">
        <v>7.6</v>
      </c>
      <c r="G50" s="306"/>
      <c r="H50" s="306">
        <v>7.6</v>
      </c>
      <c r="I50" s="305"/>
      <c r="J50" s="88"/>
      <c r="K50" s="373"/>
      <c r="L50" s="373"/>
      <c r="M50" s="560"/>
    </row>
    <row r="51" spans="1:13" x14ac:dyDescent="0.2">
      <c r="A51" s="303"/>
      <c r="B51" s="304"/>
      <c r="C51" s="305" t="s">
        <v>5</v>
      </c>
      <c r="D51" s="305" t="s">
        <v>337</v>
      </c>
      <c r="E51" s="306">
        <v>265</v>
      </c>
      <c r="F51" s="306">
        <v>265</v>
      </c>
      <c r="G51" s="306">
        <v>84.5</v>
      </c>
      <c r="H51" s="306">
        <v>180.5</v>
      </c>
      <c r="I51" s="305"/>
      <c r="J51" s="88"/>
      <c r="K51" s="373"/>
      <c r="L51" s="373"/>
      <c r="M51" s="560"/>
    </row>
    <row r="52" spans="1:13" ht="13.5" thickBot="1" x14ac:dyDescent="0.25">
      <c r="A52" s="303"/>
      <c r="B52" s="304"/>
      <c r="C52" s="305" t="s">
        <v>25</v>
      </c>
      <c r="D52" s="305" t="s">
        <v>339</v>
      </c>
      <c r="E52" s="306">
        <v>60</v>
      </c>
      <c r="F52" s="306">
        <v>60</v>
      </c>
      <c r="G52" s="306">
        <v>59.2</v>
      </c>
      <c r="H52" s="306">
        <v>0.8</v>
      </c>
      <c r="I52" s="305"/>
      <c r="J52" s="88"/>
      <c r="K52" s="373"/>
      <c r="L52" s="373"/>
      <c r="M52" s="561"/>
    </row>
    <row r="53" spans="1:13" ht="16.899999999999999" customHeight="1" x14ac:dyDescent="0.2">
      <c r="A53" s="565" t="s">
        <v>153</v>
      </c>
      <c r="B53" s="562" t="s">
        <v>7</v>
      </c>
      <c r="C53" s="315"/>
      <c r="D53" s="315"/>
      <c r="E53" s="316">
        <f>SUM(E54:E55)</f>
        <v>138.69999999999999</v>
      </c>
      <c r="F53" s="316">
        <f>SUM(F54:F55)</f>
        <v>132.69999999999999</v>
      </c>
      <c r="G53" s="316">
        <f>SUM(G54:G55)-0.1</f>
        <v>130.6</v>
      </c>
      <c r="H53" s="316">
        <f>SUM(H54:H55)</f>
        <v>2</v>
      </c>
      <c r="I53" s="315" t="s">
        <v>139</v>
      </c>
      <c r="J53" s="72" t="s">
        <v>95</v>
      </c>
      <c r="K53" s="375" t="s">
        <v>347</v>
      </c>
      <c r="L53" s="375" t="s">
        <v>348</v>
      </c>
      <c r="M53" s="317" t="s">
        <v>469</v>
      </c>
    </row>
    <row r="54" spans="1:13" x14ac:dyDescent="0.2">
      <c r="A54" s="566"/>
      <c r="B54" s="563"/>
      <c r="C54" s="305" t="s">
        <v>24</v>
      </c>
      <c r="D54" s="305" t="s">
        <v>6</v>
      </c>
      <c r="E54" s="306">
        <v>0</v>
      </c>
      <c r="F54" s="306">
        <v>0.6</v>
      </c>
      <c r="G54" s="306">
        <v>0.6</v>
      </c>
      <c r="H54" s="306">
        <v>0</v>
      </c>
      <c r="I54" s="305" t="s">
        <v>154</v>
      </c>
      <c r="J54" s="88" t="s">
        <v>90</v>
      </c>
      <c r="K54" s="373" t="s">
        <v>316</v>
      </c>
      <c r="L54" s="373" t="s">
        <v>349</v>
      </c>
      <c r="M54" s="307" t="s">
        <v>469</v>
      </c>
    </row>
    <row r="55" spans="1:13" ht="13.5" thickBot="1" x14ac:dyDescent="0.25">
      <c r="A55" s="567"/>
      <c r="B55" s="564"/>
      <c r="C55" s="305" t="s">
        <v>2</v>
      </c>
      <c r="D55" s="305" t="s">
        <v>303</v>
      </c>
      <c r="E55" s="306">
        <v>138.69999999999999</v>
      </c>
      <c r="F55" s="306">
        <v>132.1</v>
      </c>
      <c r="G55" s="306">
        <v>130.1</v>
      </c>
      <c r="H55" s="306">
        <v>2</v>
      </c>
      <c r="I55" s="305"/>
      <c r="J55" s="88"/>
      <c r="K55" s="373"/>
      <c r="L55" s="373"/>
      <c r="M55" s="307"/>
    </row>
    <row r="56" spans="1:13" ht="16.149999999999999" customHeight="1" x14ac:dyDescent="0.2">
      <c r="A56" s="565" t="s">
        <v>155</v>
      </c>
      <c r="B56" s="562" t="s">
        <v>54</v>
      </c>
      <c r="C56" s="315"/>
      <c r="D56" s="315"/>
      <c r="E56" s="316">
        <f>SUM(E57:E60)</f>
        <v>1132.5</v>
      </c>
      <c r="F56" s="316">
        <f>SUM(F57:F60)</f>
        <v>1143.8</v>
      </c>
      <c r="G56" s="316">
        <f>SUM(G57:G60)-0.1</f>
        <v>1134.4000000000001</v>
      </c>
      <c r="H56" s="316">
        <f>SUM(H57:H60)</f>
        <v>9.3000000000000007</v>
      </c>
      <c r="I56" s="315" t="s">
        <v>157</v>
      </c>
      <c r="J56" s="72" t="s">
        <v>158</v>
      </c>
      <c r="K56" s="375" t="s">
        <v>352</v>
      </c>
      <c r="L56" s="375" t="s">
        <v>353</v>
      </c>
      <c r="M56" s="317" t="s">
        <v>469</v>
      </c>
    </row>
    <row r="57" spans="1:13" x14ac:dyDescent="0.2">
      <c r="A57" s="566"/>
      <c r="B57" s="563"/>
      <c r="C57" s="305" t="s">
        <v>2</v>
      </c>
      <c r="D57" s="305" t="s">
        <v>303</v>
      </c>
      <c r="E57" s="306">
        <v>1118</v>
      </c>
      <c r="F57" s="306">
        <v>1119</v>
      </c>
      <c r="G57" s="306">
        <v>1113</v>
      </c>
      <c r="H57" s="306">
        <v>6</v>
      </c>
      <c r="I57" s="305" t="s">
        <v>354</v>
      </c>
      <c r="J57" s="88" t="s">
        <v>82</v>
      </c>
      <c r="K57" s="373" t="s">
        <v>355</v>
      </c>
      <c r="L57" s="373" t="s">
        <v>356</v>
      </c>
      <c r="M57" s="307" t="s">
        <v>469</v>
      </c>
    </row>
    <row r="58" spans="1:13" x14ac:dyDescent="0.2">
      <c r="A58" s="573"/>
      <c r="B58" s="572"/>
      <c r="C58" s="305" t="s">
        <v>25</v>
      </c>
      <c r="D58" s="305" t="s">
        <v>339</v>
      </c>
      <c r="E58" s="306">
        <v>2.9</v>
      </c>
      <c r="F58" s="306">
        <v>2.9</v>
      </c>
      <c r="G58" s="306">
        <v>2.9</v>
      </c>
      <c r="H58" s="306">
        <v>0</v>
      </c>
      <c r="I58" s="305" t="s">
        <v>154</v>
      </c>
      <c r="J58" s="88" t="s">
        <v>90</v>
      </c>
      <c r="K58" s="373" t="s">
        <v>357</v>
      </c>
      <c r="L58" s="373" t="s">
        <v>358</v>
      </c>
      <c r="M58" s="307" t="s">
        <v>435</v>
      </c>
    </row>
    <row r="59" spans="1:13" ht="18.600000000000001" customHeight="1" x14ac:dyDescent="0.2">
      <c r="A59" s="303"/>
      <c r="B59" s="304"/>
      <c r="C59" s="305" t="s">
        <v>5</v>
      </c>
      <c r="D59" s="305" t="s">
        <v>337</v>
      </c>
      <c r="E59" s="306">
        <v>11.6</v>
      </c>
      <c r="F59" s="306">
        <v>11.6</v>
      </c>
      <c r="G59" s="306">
        <v>8.3000000000000007</v>
      </c>
      <c r="H59" s="306">
        <v>3.3</v>
      </c>
      <c r="I59" s="305" t="s">
        <v>142</v>
      </c>
      <c r="J59" s="88" t="s">
        <v>82</v>
      </c>
      <c r="K59" s="373" t="s">
        <v>350</v>
      </c>
      <c r="L59" s="373" t="s">
        <v>351</v>
      </c>
      <c r="M59" s="582" t="s">
        <v>429</v>
      </c>
    </row>
    <row r="60" spans="1:13" ht="13.5" thickBot="1" x14ac:dyDescent="0.25">
      <c r="A60" s="303"/>
      <c r="B60" s="304"/>
      <c r="C60" s="305" t="s">
        <v>24</v>
      </c>
      <c r="D60" s="305" t="s">
        <v>6</v>
      </c>
      <c r="E60" s="306"/>
      <c r="F60" s="306">
        <v>10.3</v>
      </c>
      <c r="G60" s="306">
        <v>10.3</v>
      </c>
      <c r="H60" s="306"/>
      <c r="I60" s="305"/>
      <c r="J60" s="88"/>
      <c r="K60" s="373"/>
      <c r="L60" s="373"/>
      <c r="M60" s="576"/>
    </row>
    <row r="61" spans="1:13" ht="16.899999999999999" customHeight="1" x14ac:dyDescent="0.2">
      <c r="A61" s="565" t="s">
        <v>159</v>
      </c>
      <c r="B61" s="562" t="s">
        <v>160</v>
      </c>
      <c r="C61" s="315"/>
      <c r="D61" s="315"/>
      <c r="E61" s="316">
        <f>SUM(E62:E65)</f>
        <v>432.00000000000006</v>
      </c>
      <c r="F61" s="316">
        <f>SUM(F62:F65)</f>
        <v>430.50000000000006</v>
      </c>
      <c r="G61" s="316">
        <f>SUM(G62:G65)</f>
        <v>421.9</v>
      </c>
      <c r="H61" s="316">
        <f>SUM(H62:H65)</f>
        <v>8.6</v>
      </c>
      <c r="I61" s="315" t="s">
        <v>139</v>
      </c>
      <c r="J61" s="72" t="s">
        <v>95</v>
      </c>
      <c r="K61" s="375" t="s">
        <v>361</v>
      </c>
      <c r="L61" s="375" t="s">
        <v>362</v>
      </c>
      <c r="M61" s="317" t="s">
        <v>471</v>
      </c>
    </row>
    <row r="62" spans="1:13" x14ac:dyDescent="0.2">
      <c r="A62" s="573"/>
      <c r="B62" s="572"/>
      <c r="C62" s="305" t="s">
        <v>25</v>
      </c>
      <c r="D62" s="305" t="s">
        <v>339</v>
      </c>
      <c r="E62" s="306">
        <v>0.8</v>
      </c>
      <c r="F62" s="306">
        <v>0.8</v>
      </c>
      <c r="G62" s="306">
        <v>0.8</v>
      </c>
      <c r="H62" s="306">
        <v>0</v>
      </c>
      <c r="I62" s="305" t="s">
        <v>142</v>
      </c>
      <c r="J62" s="88" t="s">
        <v>82</v>
      </c>
      <c r="K62" s="373" t="s">
        <v>359</v>
      </c>
      <c r="L62" s="373" t="s">
        <v>360</v>
      </c>
      <c r="M62" s="307" t="s">
        <v>436</v>
      </c>
    </row>
    <row r="63" spans="1:13" x14ac:dyDescent="0.2">
      <c r="A63" s="303"/>
      <c r="B63" s="304"/>
      <c r="C63" s="305" t="s">
        <v>5</v>
      </c>
      <c r="D63" s="305" t="s">
        <v>334</v>
      </c>
      <c r="E63" s="306">
        <v>0.3</v>
      </c>
      <c r="F63" s="306">
        <v>0.3</v>
      </c>
      <c r="G63" s="306"/>
      <c r="H63" s="306">
        <v>0.3</v>
      </c>
      <c r="I63" s="305"/>
      <c r="J63" s="88"/>
      <c r="K63" s="373"/>
      <c r="L63" s="373"/>
      <c r="M63" s="307"/>
    </row>
    <row r="64" spans="1:13" x14ac:dyDescent="0.2">
      <c r="A64" s="303"/>
      <c r="B64" s="304"/>
      <c r="C64" s="305" t="s">
        <v>2</v>
      </c>
      <c r="D64" s="305" t="s">
        <v>303</v>
      </c>
      <c r="E64" s="306">
        <v>424.6</v>
      </c>
      <c r="F64" s="306">
        <v>423.1</v>
      </c>
      <c r="G64" s="306">
        <v>419.7</v>
      </c>
      <c r="H64" s="306">
        <v>3.4</v>
      </c>
      <c r="I64" s="305"/>
      <c r="J64" s="88"/>
      <c r="K64" s="373"/>
      <c r="L64" s="373"/>
      <c r="M64" s="307"/>
    </row>
    <row r="65" spans="1:13" ht="13.5" thickBot="1" x14ac:dyDescent="0.25">
      <c r="A65" s="303"/>
      <c r="B65" s="304"/>
      <c r="C65" s="305" t="s">
        <v>5</v>
      </c>
      <c r="D65" s="305" t="s">
        <v>337</v>
      </c>
      <c r="E65" s="306">
        <v>6.3</v>
      </c>
      <c r="F65" s="306">
        <v>6.3</v>
      </c>
      <c r="G65" s="306">
        <v>1.4</v>
      </c>
      <c r="H65" s="306">
        <v>4.9000000000000004</v>
      </c>
      <c r="I65" s="305"/>
      <c r="J65" s="88"/>
      <c r="K65" s="373"/>
      <c r="L65" s="373"/>
      <c r="M65" s="307"/>
    </row>
    <row r="66" spans="1:13" ht="15.6" customHeight="1" x14ac:dyDescent="0.2">
      <c r="A66" s="579" t="s">
        <v>169</v>
      </c>
      <c r="B66" s="577" t="s">
        <v>170</v>
      </c>
      <c r="C66" s="315" t="s">
        <v>2</v>
      </c>
      <c r="D66" s="315" t="s">
        <v>303</v>
      </c>
      <c r="E66" s="316">
        <f>SUM(E67:E67)+35.3</f>
        <v>35.299999999999997</v>
      </c>
      <c r="F66" s="316">
        <f>SUM(F67:F67)</f>
        <v>0</v>
      </c>
      <c r="G66" s="316">
        <f>SUM(G67:G67)</f>
        <v>0</v>
      </c>
      <c r="H66" s="316">
        <f>SUM(H67:H67)</f>
        <v>0</v>
      </c>
      <c r="I66" s="315" t="s">
        <v>55</v>
      </c>
      <c r="J66" s="72" t="s">
        <v>90</v>
      </c>
      <c r="K66" s="375" t="s">
        <v>310</v>
      </c>
      <c r="L66" s="375" t="s">
        <v>310</v>
      </c>
      <c r="M66" s="317"/>
    </row>
    <row r="67" spans="1:13" ht="39" thickBot="1" x14ac:dyDescent="0.25">
      <c r="A67" s="580"/>
      <c r="B67" s="578"/>
      <c r="C67" s="305"/>
      <c r="D67" s="305"/>
      <c r="E67" s="332">
        <v>0</v>
      </c>
      <c r="F67" s="332">
        <v>0</v>
      </c>
      <c r="G67" s="332">
        <v>0</v>
      </c>
      <c r="H67" s="332">
        <v>0</v>
      </c>
      <c r="I67" s="339" t="s">
        <v>56</v>
      </c>
      <c r="J67" s="340" t="s">
        <v>90</v>
      </c>
      <c r="K67" s="376" t="s">
        <v>363</v>
      </c>
      <c r="L67" s="376">
        <v>6</v>
      </c>
      <c r="M67" s="386" t="s">
        <v>472</v>
      </c>
    </row>
    <row r="68" spans="1:13" ht="24" customHeight="1" x14ac:dyDescent="0.2">
      <c r="A68" s="587" t="s">
        <v>364</v>
      </c>
      <c r="B68" s="555" t="s">
        <v>365</v>
      </c>
      <c r="C68" s="315" t="s">
        <v>2</v>
      </c>
      <c r="D68" s="315" t="s">
        <v>303</v>
      </c>
      <c r="E68" s="316">
        <f>SUM(E69:E69)+120.1</f>
        <v>120.1</v>
      </c>
      <c r="F68" s="316">
        <f>SUM(F69:F69)</f>
        <v>0</v>
      </c>
      <c r="G68" s="316">
        <f>SUM(G69:G69)</f>
        <v>0</v>
      </c>
      <c r="H68" s="316">
        <f>SUM(H69:H69)</f>
        <v>0</v>
      </c>
      <c r="I68" s="346" t="s">
        <v>366</v>
      </c>
      <c r="J68" s="347" t="s">
        <v>90</v>
      </c>
      <c r="K68" s="378" t="s">
        <v>326</v>
      </c>
      <c r="L68" s="378" t="s">
        <v>146</v>
      </c>
      <c r="M68" s="590" t="s">
        <v>367</v>
      </c>
    </row>
    <row r="69" spans="1:13" ht="21" customHeight="1" thickBot="1" x14ac:dyDescent="0.25">
      <c r="A69" s="588"/>
      <c r="B69" s="556"/>
      <c r="C69" s="305"/>
      <c r="D69" s="305"/>
      <c r="E69" s="332">
        <v>0</v>
      </c>
      <c r="F69" s="332">
        <v>0</v>
      </c>
      <c r="G69" s="332">
        <v>0</v>
      </c>
      <c r="H69" s="332">
        <v>0</v>
      </c>
      <c r="I69" s="334" t="s">
        <v>368</v>
      </c>
      <c r="J69" s="335" t="s">
        <v>95</v>
      </c>
      <c r="K69" s="379" t="s">
        <v>326</v>
      </c>
      <c r="L69" s="379" t="s">
        <v>146</v>
      </c>
      <c r="M69" s="591"/>
    </row>
    <row r="70" spans="1:13" ht="16.899999999999999" customHeight="1" x14ac:dyDescent="0.2">
      <c r="A70" s="565" t="s">
        <v>171</v>
      </c>
      <c r="B70" s="562" t="s">
        <v>172</v>
      </c>
      <c r="C70" s="315"/>
      <c r="D70" s="315"/>
      <c r="E70" s="316">
        <f>SUM(E71:E75)</f>
        <v>827.7</v>
      </c>
      <c r="F70" s="316">
        <f>SUM(F71:F75)</f>
        <v>823.30000000000007</v>
      </c>
      <c r="G70" s="316">
        <f>SUM(G71:G75)+0.1</f>
        <v>803.2</v>
      </c>
      <c r="H70" s="316">
        <f>SUM(H71:H75)</f>
        <v>20.2</v>
      </c>
      <c r="I70" s="315" t="s">
        <v>139</v>
      </c>
      <c r="J70" s="72" t="s">
        <v>95</v>
      </c>
      <c r="K70" s="375" t="s">
        <v>371</v>
      </c>
      <c r="L70" s="375" t="s">
        <v>372</v>
      </c>
      <c r="M70" s="317" t="s">
        <v>473</v>
      </c>
    </row>
    <row r="71" spans="1:13" x14ac:dyDescent="0.2">
      <c r="A71" s="566"/>
      <c r="B71" s="563"/>
      <c r="C71" s="305" t="s">
        <v>2</v>
      </c>
      <c r="D71" s="305" t="s">
        <v>303</v>
      </c>
      <c r="E71" s="306">
        <v>782</v>
      </c>
      <c r="F71" s="306">
        <v>775</v>
      </c>
      <c r="G71" s="306">
        <v>770.5</v>
      </c>
      <c r="H71" s="306">
        <v>4.5</v>
      </c>
      <c r="I71" s="305" t="s">
        <v>142</v>
      </c>
      <c r="J71" s="88" t="s">
        <v>82</v>
      </c>
      <c r="K71" s="373" t="s">
        <v>369</v>
      </c>
      <c r="L71" s="373" t="s">
        <v>370</v>
      </c>
      <c r="M71" s="307"/>
    </row>
    <row r="72" spans="1:13" x14ac:dyDescent="0.2">
      <c r="A72" s="566"/>
      <c r="B72" s="563"/>
      <c r="C72" s="305" t="s">
        <v>25</v>
      </c>
      <c r="D72" s="305" t="s">
        <v>339</v>
      </c>
      <c r="E72" s="306">
        <v>14.7</v>
      </c>
      <c r="F72" s="306">
        <v>14.7</v>
      </c>
      <c r="G72" s="306">
        <v>14.6</v>
      </c>
      <c r="H72" s="306">
        <v>0.1</v>
      </c>
      <c r="I72" s="305"/>
      <c r="J72" s="88"/>
      <c r="K72" s="373"/>
      <c r="L72" s="373"/>
      <c r="M72" s="307"/>
    </row>
    <row r="73" spans="1:13" x14ac:dyDescent="0.2">
      <c r="A73" s="566"/>
      <c r="B73" s="563"/>
      <c r="C73" s="305" t="s">
        <v>5</v>
      </c>
      <c r="D73" s="305" t="s">
        <v>337</v>
      </c>
      <c r="E73" s="306">
        <v>30</v>
      </c>
      <c r="F73" s="306">
        <v>30</v>
      </c>
      <c r="G73" s="306">
        <v>15.4</v>
      </c>
      <c r="H73" s="306">
        <v>14.6</v>
      </c>
      <c r="I73" s="305"/>
      <c r="J73" s="88"/>
      <c r="K73" s="373"/>
      <c r="L73" s="373"/>
      <c r="M73" s="307"/>
    </row>
    <row r="74" spans="1:13" x14ac:dyDescent="0.2">
      <c r="A74" s="566"/>
      <c r="B74" s="563"/>
      <c r="C74" s="305" t="s">
        <v>5</v>
      </c>
      <c r="D74" s="305" t="s">
        <v>334</v>
      </c>
      <c r="E74" s="306">
        <v>1</v>
      </c>
      <c r="F74" s="306">
        <v>1</v>
      </c>
      <c r="G74" s="306"/>
      <c r="H74" s="306">
        <v>1</v>
      </c>
      <c r="I74" s="305"/>
      <c r="J74" s="88"/>
      <c r="K74" s="373"/>
      <c r="L74" s="373"/>
      <c r="M74" s="307"/>
    </row>
    <row r="75" spans="1:13" ht="13.5" thickBot="1" x14ac:dyDescent="0.25">
      <c r="A75" s="567"/>
      <c r="B75" s="564"/>
      <c r="C75" s="305" t="s">
        <v>24</v>
      </c>
      <c r="D75" s="305" t="s">
        <v>6</v>
      </c>
      <c r="E75" s="306"/>
      <c r="F75" s="306">
        <v>2.6</v>
      </c>
      <c r="G75" s="306">
        <v>2.6</v>
      </c>
      <c r="H75" s="306"/>
      <c r="I75" s="305"/>
      <c r="J75" s="88"/>
      <c r="K75" s="373"/>
      <c r="L75" s="373"/>
      <c r="M75" s="307"/>
    </row>
    <row r="76" spans="1:13" s="360" customFormat="1" ht="51.75" thickBot="1" x14ac:dyDescent="0.25">
      <c r="A76" s="357" t="s">
        <v>173</v>
      </c>
      <c r="B76" s="358" t="s">
        <v>449</v>
      </c>
      <c r="C76" s="351"/>
      <c r="D76" s="351"/>
      <c r="E76" s="352">
        <f>SUM(E77:E77)</f>
        <v>17.7</v>
      </c>
      <c r="F76" s="352">
        <f>SUM(F77:F77)</f>
        <v>15.7</v>
      </c>
      <c r="G76" s="352">
        <f>SUM(G77:G77)</f>
        <v>15.7</v>
      </c>
      <c r="H76" s="352">
        <f>SUM(H77:H77)</f>
        <v>0</v>
      </c>
      <c r="I76" s="351" t="s">
        <v>175</v>
      </c>
      <c r="J76" s="353" t="s">
        <v>90</v>
      </c>
      <c r="K76" s="380" t="s">
        <v>326</v>
      </c>
      <c r="L76" s="380" t="s">
        <v>326</v>
      </c>
      <c r="M76" s="354" t="s">
        <v>430</v>
      </c>
    </row>
    <row r="77" spans="1:13" ht="13.5" hidden="1" thickBot="1" x14ac:dyDescent="0.25">
      <c r="A77" s="303"/>
      <c r="B77" s="304"/>
      <c r="C77" s="305" t="s">
        <v>2</v>
      </c>
      <c r="D77" s="305" t="s">
        <v>303</v>
      </c>
      <c r="E77" s="306">
        <v>17.7</v>
      </c>
      <c r="F77" s="306">
        <v>15.7</v>
      </c>
      <c r="G77" s="306">
        <v>15.7</v>
      </c>
      <c r="H77" s="306">
        <v>0</v>
      </c>
      <c r="I77" s="305"/>
      <c r="J77" s="88"/>
      <c r="K77" s="373"/>
      <c r="L77" s="373"/>
      <c r="M77" s="307"/>
    </row>
    <row r="78" spans="1:13" ht="18" customHeight="1" x14ac:dyDescent="0.2">
      <c r="A78" s="565" t="s">
        <v>177</v>
      </c>
      <c r="B78" s="562" t="s">
        <v>8</v>
      </c>
      <c r="C78" s="315"/>
      <c r="D78" s="315"/>
      <c r="E78" s="316">
        <f>SUM(E79:E84)</f>
        <v>436.4</v>
      </c>
      <c r="F78" s="316">
        <f>SUM(F79:F84)-0.1</f>
        <v>420.09999999999997</v>
      </c>
      <c r="G78" s="316">
        <f>SUM(G79:G84)-0.1</f>
        <v>393.79999999999995</v>
      </c>
      <c r="H78" s="316">
        <f>SUM(H79:H84)</f>
        <v>26.3</v>
      </c>
      <c r="I78" s="315" t="s">
        <v>142</v>
      </c>
      <c r="J78" s="72" t="s">
        <v>82</v>
      </c>
      <c r="K78" s="375" t="s">
        <v>375</v>
      </c>
      <c r="L78" s="375" t="s">
        <v>376</v>
      </c>
      <c r="M78" s="317" t="s">
        <v>437</v>
      </c>
    </row>
    <row r="79" spans="1:13" ht="26.65" customHeight="1" x14ac:dyDescent="0.2">
      <c r="A79" s="566"/>
      <c r="B79" s="563"/>
      <c r="C79" s="305" t="s">
        <v>24</v>
      </c>
      <c r="D79" s="305" t="s">
        <v>378</v>
      </c>
      <c r="E79" s="306">
        <v>0</v>
      </c>
      <c r="F79" s="306">
        <v>1.1000000000000001</v>
      </c>
      <c r="G79" s="306">
        <v>1.1000000000000001</v>
      </c>
      <c r="H79" s="306">
        <v>0</v>
      </c>
      <c r="I79" s="305" t="s">
        <v>139</v>
      </c>
      <c r="J79" s="88" t="s">
        <v>95</v>
      </c>
      <c r="K79" s="373" t="s">
        <v>373</v>
      </c>
      <c r="L79" s="373" t="s">
        <v>374</v>
      </c>
      <c r="M79" s="582" t="s">
        <v>474</v>
      </c>
    </row>
    <row r="80" spans="1:13" x14ac:dyDescent="0.2">
      <c r="A80" s="566"/>
      <c r="B80" s="563"/>
      <c r="C80" s="305" t="s">
        <v>178</v>
      </c>
      <c r="D80" s="305" t="s">
        <v>377</v>
      </c>
      <c r="E80" s="306"/>
      <c r="F80" s="306">
        <v>5.3</v>
      </c>
      <c r="G80" s="306">
        <v>5.3</v>
      </c>
      <c r="H80" s="306"/>
      <c r="I80" s="305"/>
      <c r="J80" s="88"/>
      <c r="K80" s="373"/>
      <c r="L80" s="373"/>
      <c r="M80" s="575"/>
    </row>
    <row r="81" spans="1:13" x14ac:dyDescent="0.2">
      <c r="A81" s="566"/>
      <c r="B81" s="563"/>
      <c r="C81" s="305" t="s">
        <v>25</v>
      </c>
      <c r="D81" s="305" t="s">
        <v>339</v>
      </c>
      <c r="E81" s="306">
        <v>3.4</v>
      </c>
      <c r="F81" s="306">
        <v>3.4</v>
      </c>
      <c r="G81" s="306">
        <v>3.4</v>
      </c>
      <c r="H81" s="306"/>
      <c r="I81" s="305"/>
      <c r="J81" s="88"/>
      <c r="K81" s="373"/>
      <c r="L81" s="373"/>
      <c r="M81" s="575"/>
    </row>
    <row r="82" spans="1:13" x14ac:dyDescent="0.2">
      <c r="A82" s="566"/>
      <c r="B82" s="563"/>
      <c r="C82" s="305" t="s">
        <v>5</v>
      </c>
      <c r="D82" s="305" t="s">
        <v>337</v>
      </c>
      <c r="E82" s="306">
        <v>8</v>
      </c>
      <c r="F82" s="306">
        <v>8</v>
      </c>
      <c r="G82" s="306">
        <v>0.2</v>
      </c>
      <c r="H82" s="306">
        <v>7.8</v>
      </c>
      <c r="I82" s="305"/>
      <c r="J82" s="88"/>
      <c r="K82" s="373"/>
      <c r="L82" s="373"/>
      <c r="M82" s="575"/>
    </row>
    <row r="83" spans="1:13" x14ac:dyDescent="0.2">
      <c r="A83" s="566"/>
      <c r="B83" s="563"/>
      <c r="C83" s="305" t="s">
        <v>2</v>
      </c>
      <c r="D83" s="305" t="s">
        <v>303</v>
      </c>
      <c r="E83" s="306">
        <v>425</v>
      </c>
      <c r="F83" s="306">
        <v>401.7</v>
      </c>
      <c r="G83" s="306">
        <v>383.2</v>
      </c>
      <c r="H83" s="306">
        <v>18.5</v>
      </c>
      <c r="I83" s="305"/>
      <c r="J83" s="88"/>
      <c r="K83" s="373"/>
      <c r="L83" s="373"/>
      <c r="M83" s="575"/>
    </row>
    <row r="84" spans="1:13" ht="13.5" thickBot="1" x14ac:dyDescent="0.25">
      <c r="A84" s="567"/>
      <c r="B84" s="564"/>
      <c r="C84" s="305" t="s">
        <v>24</v>
      </c>
      <c r="D84" s="305" t="s">
        <v>6</v>
      </c>
      <c r="E84" s="306"/>
      <c r="F84" s="306">
        <v>0.7</v>
      </c>
      <c r="G84" s="306">
        <v>0.7</v>
      </c>
      <c r="H84" s="306"/>
      <c r="I84" s="305"/>
      <c r="J84" s="88"/>
      <c r="K84" s="373"/>
      <c r="L84" s="373"/>
      <c r="M84" s="576"/>
    </row>
    <row r="85" spans="1:13" ht="268.89999999999998" customHeight="1" x14ac:dyDescent="0.2">
      <c r="A85" s="343" t="s">
        <v>181</v>
      </c>
      <c r="B85" s="342" t="s">
        <v>182</v>
      </c>
      <c r="C85" s="315" t="s">
        <v>2</v>
      </c>
      <c r="D85" s="315" t="s">
        <v>303</v>
      </c>
      <c r="E85" s="316">
        <f>SUM(E86:E86)+56.4</f>
        <v>56.4</v>
      </c>
      <c r="F85" s="316">
        <f>SUM(F86:F86)+56.4</f>
        <v>56.4</v>
      </c>
      <c r="G85" s="316">
        <f>SUM(G86:G86)+22.3</f>
        <v>22.3</v>
      </c>
      <c r="H85" s="316">
        <f>SUM(H86:H86)+34.1</f>
        <v>34.1</v>
      </c>
      <c r="I85" s="315" t="s">
        <v>185</v>
      </c>
      <c r="J85" s="72" t="s">
        <v>186</v>
      </c>
      <c r="K85" s="375" t="s">
        <v>310</v>
      </c>
      <c r="L85" s="375" t="s">
        <v>379</v>
      </c>
      <c r="M85" s="317" t="s">
        <v>475</v>
      </c>
    </row>
    <row r="86" spans="1:13" ht="26.25" thickBot="1" x14ac:dyDescent="0.25">
      <c r="A86" s="303"/>
      <c r="B86" s="304"/>
      <c r="C86" s="305"/>
      <c r="D86" s="305"/>
      <c r="E86" s="332">
        <v>0</v>
      </c>
      <c r="F86" s="332">
        <v>0</v>
      </c>
      <c r="G86" s="332">
        <v>0</v>
      </c>
      <c r="H86" s="332">
        <v>0</v>
      </c>
      <c r="I86" s="339" t="s">
        <v>183</v>
      </c>
      <c r="J86" s="340" t="s">
        <v>90</v>
      </c>
      <c r="K86" s="376" t="s">
        <v>380</v>
      </c>
      <c r="L86" s="376" t="s">
        <v>381</v>
      </c>
      <c r="M86" s="341" t="s">
        <v>476</v>
      </c>
    </row>
    <row r="87" spans="1:13" ht="26.25" thickBot="1" x14ac:dyDescent="0.25">
      <c r="A87" s="313" t="s">
        <v>187</v>
      </c>
      <c r="B87" s="314" t="s">
        <v>18</v>
      </c>
      <c r="C87" s="315"/>
      <c r="D87" s="315"/>
      <c r="E87" s="316">
        <f>E88+E89+E93+E97+E98+E99+E100+E101</f>
        <v>1214.5</v>
      </c>
      <c r="F87" s="316">
        <f>F88+F89+F93+F97+F98+F99+F100+F101</f>
        <v>1177</v>
      </c>
      <c r="G87" s="316">
        <f>G88+G89+G93+G97+G98+G99+G100+G101</f>
        <v>876.1</v>
      </c>
      <c r="H87" s="316">
        <f>H88+H89+H93+H97+H98+H99+H100+H101+0.1</f>
        <v>301</v>
      </c>
      <c r="I87" s="315"/>
      <c r="J87" s="72"/>
      <c r="K87" s="375"/>
      <c r="L87" s="375"/>
      <c r="M87" s="317"/>
    </row>
    <row r="88" spans="1:13" s="360" customFormat="1" ht="115.5" thickBot="1" x14ac:dyDescent="0.25">
      <c r="A88" s="357" t="s">
        <v>188</v>
      </c>
      <c r="B88" s="358" t="s">
        <v>189</v>
      </c>
      <c r="C88" s="351" t="s">
        <v>37</v>
      </c>
      <c r="D88" s="351" t="s">
        <v>321</v>
      </c>
      <c r="E88" s="364">
        <v>17.899999999999999</v>
      </c>
      <c r="F88" s="364">
        <v>17.899999999999999</v>
      </c>
      <c r="G88" s="364">
        <v>9.9</v>
      </c>
      <c r="H88" s="364">
        <v>8</v>
      </c>
      <c r="I88" s="351" t="s">
        <v>190</v>
      </c>
      <c r="J88" s="353" t="s">
        <v>95</v>
      </c>
      <c r="K88" s="380" t="s">
        <v>326</v>
      </c>
      <c r="L88" s="380" t="s">
        <v>326</v>
      </c>
      <c r="M88" s="354" t="s">
        <v>438</v>
      </c>
    </row>
    <row r="89" spans="1:13" ht="137.65" customHeight="1" x14ac:dyDescent="0.2">
      <c r="A89" s="343" t="s">
        <v>192</v>
      </c>
      <c r="B89" s="342" t="s">
        <v>450</v>
      </c>
      <c r="C89" s="315"/>
      <c r="D89" s="315"/>
      <c r="E89" s="316">
        <f>SUM(E90:E92)</f>
        <v>394.8</v>
      </c>
      <c r="F89" s="316">
        <f>SUM(F90:F92)</f>
        <v>308.2</v>
      </c>
      <c r="G89" s="316">
        <f>SUM(G90:G92)</f>
        <v>194.10000000000002</v>
      </c>
      <c r="H89" s="316">
        <f>SUM(H90:H92)</f>
        <v>114.1</v>
      </c>
      <c r="I89" s="336" t="s">
        <v>439</v>
      </c>
      <c r="J89" s="337" t="s">
        <v>79</v>
      </c>
      <c r="K89" s="377" t="s">
        <v>328</v>
      </c>
      <c r="L89" s="377" t="s">
        <v>371</v>
      </c>
      <c r="M89" s="583" t="s">
        <v>477</v>
      </c>
    </row>
    <row r="90" spans="1:13" x14ac:dyDescent="0.2">
      <c r="A90" s="303"/>
      <c r="B90" s="304"/>
      <c r="C90" s="305" t="s">
        <v>37</v>
      </c>
      <c r="D90" s="305" t="s">
        <v>321</v>
      </c>
      <c r="E90" s="306">
        <v>198.5</v>
      </c>
      <c r="F90" s="306">
        <v>193.2</v>
      </c>
      <c r="G90" s="306">
        <v>90.7</v>
      </c>
      <c r="H90" s="306">
        <v>102.5</v>
      </c>
      <c r="I90" s="305"/>
      <c r="J90" s="88"/>
      <c r="K90" s="373"/>
      <c r="L90" s="373"/>
      <c r="M90" s="584"/>
    </row>
    <row r="91" spans="1:13" x14ac:dyDescent="0.2">
      <c r="A91" s="303"/>
      <c r="B91" s="304"/>
      <c r="C91" s="305" t="s">
        <v>60</v>
      </c>
      <c r="D91" s="305" t="s">
        <v>383</v>
      </c>
      <c r="E91" s="306">
        <v>115</v>
      </c>
      <c r="F91" s="306">
        <v>115</v>
      </c>
      <c r="G91" s="306">
        <v>103.4</v>
      </c>
      <c r="H91" s="306">
        <v>11.6</v>
      </c>
      <c r="I91" s="305"/>
      <c r="J91" s="88"/>
      <c r="K91" s="373"/>
      <c r="L91" s="373"/>
      <c r="M91" s="584"/>
    </row>
    <row r="92" spans="1:13" ht="13.5" thickBot="1" x14ac:dyDescent="0.25">
      <c r="A92" s="303"/>
      <c r="B92" s="304"/>
      <c r="C92" s="305" t="s">
        <v>44</v>
      </c>
      <c r="D92" s="305" t="s">
        <v>382</v>
      </c>
      <c r="E92" s="306">
        <v>81.3</v>
      </c>
      <c r="F92" s="306">
        <v>0</v>
      </c>
      <c r="G92" s="306">
        <v>0</v>
      </c>
      <c r="H92" s="306">
        <v>0</v>
      </c>
      <c r="I92" s="305"/>
      <c r="J92" s="88"/>
      <c r="K92" s="373"/>
      <c r="L92" s="373"/>
      <c r="M92" s="585"/>
    </row>
    <row r="93" spans="1:13" s="360" customFormat="1" ht="58.15" customHeight="1" x14ac:dyDescent="0.2">
      <c r="A93" s="557" t="s">
        <v>196</v>
      </c>
      <c r="B93" s="568" t="s">
        <v>451</v>
      </c>
      <c r="C93" s="351"/>
      <c r="D93" s="351"/>
      <c r="E93" s="352">
        <f>SUM(E94:E96)</f>
        <v>79.5</v>
      </c>
      <c r="F93" s="352">
        <f>SUM(F94:F96)</f>
        <v>128.6</v>
      </c>
      <c r="G93" s="352">
        <f>SUM(G94:G96)</f>
        <v>2.5</v>
      </c>
      <c r="H93" s="352">
        <f>SUM(H94:H96)</f>
        <v>126.1</v>
      </c>
      <c r="I93" s="351" t="s">
        <v>198</v>
      </c>
      <c r="J93" s="353" t="s">
        <v>79</v>
      </c>
      <c r="K93" s="380">
        <v>100</v>
      </c>
      <c r="L93" s="380">
        <v>100</v>
      </c>
      <c r="M93" s="354" t="s">
        <v>384</v>
      </c>
    </row>
    <row r="94" spans="1:13" s="360" customFormat="1" x14ac:dyDescent="0.2">
      <c r="A94" s="558"/>
      <c r="B94" s="586"/>
      <c r="C94" s="355" t="s">
        <v>37</v>
      </c>
      <c r="D94" s="355" t="s">
        <v>321</v>
      </c>
      <c r="E94" s="361">
        <v>0.4</v>
      </c>
      <c r="F94" s="361">
        <v>3</v>
      </c>
      <c r="G94" s="361">
        <v>2.5</v>
      </c>
      <c r="H94" s="361">
        <v>0.5</v>
      </c>
      <c r="I94" s="355"/>
      <c r="J94" s="82"/>
      <c r="K94" s="381"/>
      <c r="L94" s="381"/>
      <c r="M94" s="356"/>
    </row>
    <row r="95" spans="1:13" s="360" customFormat="1" x14ac:dyDescent="0.2">
      <c r="A95" s="362"/>
      <c r="B95" s="363"/>
      <c r="C95" s="355" t="s">
        <v>60</v>
      </c>
      <c r="D95" s="355" t="s">
        <v>383</v>
      </c>
      <c r="E95" s="361">
        <v>79.099999999999994</v>
      </c>
      <c r="F95" s="361">
        <v>79.099999999999994</v>
      </c>
      <c r="G95" s="361">
        <v>0</v>
      </c>
      <c r="H95" s="361">
        <v>79.099999999999994</v>
      </c>
      <c r="I95" s="355"/>
      <c r="J95" s="82"/>
      <c r="K95" s="381"/>
      <c r="L95" s="381"/>
      <c r="M95" s="356"/>
    </row>
    <row r="96" spans="1:13" s="360" customFormat="1" ht="13.5" thickBot="1" x14ac:dyDescent="0.25">
      <c r="A96" s="362"/>
      <c r="B96" s="363"/>
      <c r="C96" s="355" t="s">
        <v>24</v>
      </c>
      <c r="D96" s="355" t="s">
        <v>378</v>
      </c>
      <c r="E96" s="361">
        <v>0</v>
      </c>
      <c r="F96" s="361">
        <v>46.5</v>
      </c>
      <c r="G96" s="361">
        <v>0</v>
      </c>
      <c r="H96" s="361">
        <v>46.5</v>
      </c>
      <c r="I96" s="355"/>
      <c r="J96" s="82"/>
      <c r="K96" s="381"/>
      <c r="L96" s="381"/>
      <c r="M96" s="356"/>
    </row>
    <row r="97" spans="1:13" s="360" customFormat="1" ht="39" hidden="1" thickBot="1" x14ac:dyDescent="0.25">
      <c r="A97" s="357" t="s">
        <v>385</v>
      </c>
      <c r="B97" s="358" t="s">
        <v>386</v>
      </c>
      <c r="C97" s="351"/>
      <c r="D97" s="351"/>
      <c r="E97" s="364">
        <v>0</v>
      </c>
      <c r="F97" s="364">
        <v>0</v>
      </c>
      <c r="G97" s="364">
        <v>0</v>
      </c>
      <c r="H97" s="364">
        <v>0</v>
      </c>
      <c r="I97" s="351"/>
      <c r="J97" s="353"/>
      <c r="K97" s="380"/>
      <c r="L97" s="380"/>
      <c r="M97" s="354"/>
    </row>
    <row r="98" spans="1:13" s="360" customFormat="1" ht="39" hidden="1" thickBot="1" x14ac:dyDescent="0.25">
      <c r="A98" s="357" t="s">
        <v>387</v>
      </c>
      <c r="B98" s="358" t="s">
        <v>388</v>
      </c>
      <c r="C98" s="351"/>
      <c r="D98" s="351"/>
      <c r="E98" s="364">
        <v>0</v>
      </c>
      <c r="F98" s="364">
        <v>0</v>
      </c>
      <c r="G98" s="364">
        <v>0</v>
      </c>
      <c r="H98" s="364">
        <v>0</v>
      </c>
      <c r="I98" s="351"/>
      <c r="J98" s="353"/>
      <c r="K98" s="380"/>
      <c r="L98" s="380"/>
      <c r="M98" s="354"/>
    </row>
    <row r="99" spans="1:13" s="360" customFormat="1" ht="39" thickBot="1" x14ac:dyDescent="0.25">
      <c r="A99" s="357" t="s">
        <v>389</v>
      </c>
      <c r="B99" s="358" t="s">
        <v>452</v>
      </c>
      <c r="C99" s="351" t="s">
        <v>2</v>
      </c>
      <c r="D99" s="351" t="s">
        <v>303</v>
      </c>
      <c r="E99" s="364">
        <v>134</v>
      </c>
      <c r="F99" s="364">
        <v>134</v>
      </c>
      <c r="G99" s="364">
        <v>132.9</v>
      </c>
      <c r="H99" s="364">
        <v>1.1000000000000001</v>
      </c>
      <c r="I99" s="351" t="s">
        <v>61</v>
      </c>
      <c r="J99" s="353" t="s">
        <v>79</v>
      </c>
      <c r="K99" s="380" t="s">
        <v>326</v>
      </c>
      <c r="L99" s="380" t="s">
        <v>326</v>
      </c>
      <c r="M99" s="354" t="s">
        <v>390</v>
      </c>
    </row>
    <row r="100" spans="1:13" ht="115.5" thickBot="1" x14ac:dyDescent="0.25">
      <c r="A100" s="343" t="s">
        <v>391</v>
      </c>
      <c r="B100" s="342" t="s">
        <v>392</v>
      </c>
      <c r="C100" s="315" t="s">
        <v>2</v>
      </c>
      <c r="D100" s="315" t="s">
        <v>303</v>
      </c>
      <c r="E100" s="318">
        <v>88.3</v>
      </c>
      <c r="F100" s="318">
        <v>88.3</v>
      </c>
      <c r="G100" s="318">
        <v>36.700000000000003</v>
      </c>
      <c r="H100" s="318">
        <v>51.6</v>
      </c>
      <c r="I100" s="336" t="s">
        <v>393</v>
      </c>
      <c r="J100" s="337" t="s">
        <v>79</v>
      </c>
      <c r="K100" s="377" t="s">
        <v>328</v>
      </c>
      <c r="L100" s="382">
        <v>65.290000000000006</v>
      </c>
      <c r="M100" s="369" t="s">
        <v>478</v>
      </c>
    </row>
    <row r="101" spans="1:13" s="360" customFormat="1" ht="148.9" customHeight="1" x14ac:dyDescent="0.2">
      <c r="A101" s="357" t="s">
        <v>199</v>
      </c>
      <c r="B101" s="358" t="s">
        <v>38</v>
      </c>
      <c r="C101" s="351"/>
      <c r="D101" s="351"/>
      <c r="E101" s="352">
        <f>SUM(E102:E103)</f>
        <v>500</v>
      </c>
      <c r="F101" s="352">
        <f>SUM(F102:F103)</f>
        <v>500</v>
      </c>
      <c r="G101" s="352">
        <f>SUM(G102:G103)</f>
        <v>500</v>
      </c>
      <c r="H101" s="352">
        <f>SUM(H102:H103)</f>
        <v>0</v>
      </c>
      <c r="I101" s="351" t="s">
        <v>200</v>
      </c>
      <c r="J101" s="353" t="s">
        <v>79</v>
      </c>
      <c r="K101" s="380" t="s">
        <v>394</v>
      </c>
      <c r="L101" s="380" t="s">
        <v>394</v>
      </c>
      <c r="M101" s="559" t="s">
        <v>440</v>
      </c>
    </row>
    <row r="102" spans="1:13" s="360" customFormat="1" x14ac:dyDescent="0.2">
      <c r="A102" s="362"/>
      <c r="B102" s="363"/>
      <c r="C102" s="355" t="s">
        <v>2</v>
      </c>
      <c r="D102" s="355" t="s">
        <v>303</v>
      </c>
      <c r="E102" s="361">
        <v>400</v>
      </c>
      <c r="F102" s="361">
        <v>400</v>
      </c>
      <c r="G102" s="361">
        <v>400</v>
      </c>
      <c r="H102" s="361">
        <v>0</v>
      </c>
      <c r="I102" s="355"/>
      <c r="J102" s="82"/>
      <c r="K102" s="381"/>
      <c r="L102" s="381"/>
      <c r="M102" s="560"/>
    </row>
    <row r="103" spans="1:13" s="360" customFormat="1" ht="13.5" thickBot="1" x14ac:dyDescent="0.25">
      <c r="A103" s="362"/>
      <c r="B103" s="363"/>
      <c r="C103" s="355" t="s">
        <v>37</v>
      </c>
      <c r="D103" s="355" t="s">
        <v>321</v>
      </c>
      <c r="E103" s="361">
        <v>100</v>
      </c>
      <c r="F103" s="361">
        <v>100</v>
      </c>
      <c r="G103" s="361">
        <v>100</v>
      </c>
      <c r="H103" s="361">
        <v>0</v>
      </c>
      <c r="I103" s="355"/>
      <c r="J103" s="82"/>
      <c r="K103" s="381"/>
      <c r="L103" s="381"/>
      <c r="M103" s="561"/>
    </row>
    <row r="104" spans="1:13" s="360" customFormat="1" ht="26.25" thickBot="1" x14ac:dyDescent="0.25">
      <c r="A104" s="357" t="s">
        <v>205</v>
      </c>
      <c r="B104" s="358" t="s">
        <v>206</v>
      </c>
      <c r="C104" s="351"/>
      <c r="D104" s="351"/>
      <c r="E104" s="352">
        <f>E105+E107+E109+E110+E112+E114+E115</f>
        <v>82.7</v>
      </c>
      <c r="F104" s="352">
        <f>F105+F107+F109+F110+F112+F114+F115</f>
        <v>93</v>
      </c>
      <c r="G104" s="352">
        <f>G105+G107+G109+G110+G112+G114+G115+0.1</f>
        <v>82.4</v>
      </c>
      <c r="H104" s="352">
        <f>H105+H107+H109+H110+H112+H114+H115-0.1</f>
        <v>10.6</v>
      </c>
      <c r="I104" s="351"/>
      <c r="J104" s="353"/>
      <c r="K104" s="380"/>
      <c r="L104" s="380"/>
      <c r="M104" s="354"/>
    </row>
    <row r="105" spans="1:13" s="360" customFormat="1" ht="29.65" customHeight="1" x14ac:dyDescent="0.2">
      <c r="A105" s="557" t="s">
        <v>207</v>
      </c>
      <c r="B105" s="568" t="s">
        <v>57</v>
      </c>
      <c r="C105" s="351"/>
      <c r="D105" s="351"/>
      <c r="E105" s="359">
        <f>SUM(E106:E106)</f>
        <v>10</v>
      </c>
      <c r="F105" s="359">
        <f>SUM(F106:F106)</f>
        <v>10</v>
      </c>
      <c r="G105" s="359">
        <f>SUM(G106:G106)</f>
        <v>9.4</v>
      </c>
      <c r="H105" s="359">
        <f>SUM(H106:H106)</f>
        <v>0.6</v>
      </c>
      <c r="I105" s="351" t="s">
        <v>209</v>
      </c>
      <c r="J105" s="353" t="s">
        <v>79</v>
      </c>
      <c r="K105" s="380" t="s">
        <v>328</v>
      </c>
      <c r="L105" s="380" t="s">
        <v>328</v>
      </c>
      <c r="M105" s="354" t="s">
        <v>395</v>
      </c>
    </row>
    <row r="106" spans="1:13" s="360" customFormat="1" ht="13.5" thickBot="1" x14ac:dyDescent="0.25">
      <c r="A106" s="581"/>
      <c r="B106" s="569"/>
      <c r="C106" s="355" t="s">
        <v>37</v>
      </c>
      <c r="D106" s="355" t="s">
        <v>321</v>
      </c>
      <c r="E106" s="361">
        <v>10</v>
      </c>
      <c r="F106" s="361">
        <v>10</v>
      </c>
      <c r="G106" s="361">
        <v>9.4</v>
      </c>
      <c r="H106" s="361">
        <v>0.6</v>
      </c>
      <c r="I106" s="355"/>
      <c r="J106" s="82"/>
      <c r="K106" s="381"/>
      <c r="L106" s="381"/>
      <c r="M106" s="356"/>
    </row>
    <row r="107" spans="1:13" s="360" customFormat="1" ht="25.5" hidden="1" x14ac:dyDescent="0.2">
      <c r="A107" s="357" t="s">
        <v>213</v>
      </c>
      <c r="B107" s="358" t="s">
        <v>42</v>
      </c>
      <c r="C107" s="351" t="s">
        <v>2</v>
      </c>
      <c r="D107" s="351" t="s">
        <v>303</v>
      </c>
      <c r="E107" s="352">
        <f>SUM(E108:E108)</f>
        <v>0</v>
      </c>
      <c r="F107" s="352">
        <f>SUM(F108:F108)</f>
        <v>0</v>
      </c>
      <c r="G107" s="352">
        <f>SUM(G108:G108)</f>
        <v>0</v>
      </c>
      <c r="H107" s="352">
        <f>SUM(H108:H108)</f>
        <v>0</v>
      </c>
      <c r="I107" s="351" t="s">
        <v>214</v>
      </c>
      <c r="J107" s="353" t="s">
        <v>79</v>
      </c>
      <c r="K107" s="380" t="s">
        <v>146</v>
      </c>
      <c r="L107" s="380" t="s">
        <v>146</v>
      </c>
      <c r="M107" s="354"/>
    </row>
    <row r="108" spans="1:13" s="360" customFormat="1" ht="13.5" hidden="1" thickBot="1" x14ac:dyDescent="0.25">
      <c r="A108" s="362"/>
      <c r="B108" s="363"/>
      <c r="C108" s="355"/>
      <c r="D108" s="355"/>
      <c r="E108" s="361">
        <v>0</v>
      </c>
      <c r="F108" s="361">
        <v>0</v>
      </c>
      <c r="G108" s="361">
        <v>0</v>
      </c>
      <c r="H108" s="361">
        <v>0</v>
      </c>
      <c r="I108" s="355" t="s">
        <v>216</v>
      </c>
      <c r="J108" s="82" t="s">
        <v>79</v>
      </c>
      <c r="K108" s="381" t="s">
        <v>146</v>
      </c>
      <c r="L108" s="381" t="s">
        <v>146</v>
      </c>
      <c r="M108" s="356"/>
    </row>
    <row r="109" spans="1:13" s="360" customFormat="1" ht="39" thickBot="1" x14ac:dyDescent="0.25">
      <c r="A109" s="357" t="s">
        <v>221</v>
      </c>
      <c r="B109" s="358" t="s">
        <v>222</v>
      </c>
      <c r="C109" s="351" t="s">
        <v>2</v>
      </c>
      <c r="D109" s="351" t="s">
        <v>303</v>
      </c>
      <c r="E109" s="364">
        <v>31.5</v>
      </c>
      <c r="F109" s="364">
        <v>31.5</v>
      </c>
      <c r="G109" s="364">
        <v>31.5</v>
      </c>
      <c r="H109" s="364">
        <v>0</v>
      </c>
      <c r="I109" s="351" t="s">
        <v>396</v>
      </c>
      <c r="J109" s="353" t="s">
        <v>79</v>
      </c>
      <c r="K109" s="380" t="s">
        <v>328</v>
      </c>
      <c r="L109" s="380" t="s">
        <v>328</v>
      </c>
      <c r="M109" s="354" t="s">
        <v>397</v>
      </c>
    </row>
    <row r="110" spans="1:13" s="360" customFormat="1" ht="39" thickBot="1" x14ac:dyDescent="0.25">
      <c r="A110" s="357" t="s">
        <v>225</v>
      </c>
      <c r="B110" s="358" t="s">
        <v>453</v>
      </c>
      <c r="C110" s="351" t="s">
        <v>37</v>
      </c>
      <c r="D110" s="351" t="s">
        <v>321</v>
      </c>
      <c r="E110" s="352">
        <f>SUM(E111:E111)+2</f>
        <v>2</v>
      </c>
      <c r="F110" s="352">
        <f>SUM(F111:F111)+2.3</f>
        <v>2.2999999999999998</v>
      </c>
      <c r="G110" s="352">
        <f>SUM(G111:G111)+2.2</f>
        <v>2.2000000000000002</v>
      </c>
      <c r="H110" s="352">
        <f>SUM(H111:H111)+0.1</f>
        <v>0.1</v>
      </c>
      <c r="I110" s="355" t="s">
        <v>227</v>
      </c>
      <c r="J110" s="82" t="s">
        <v>95</v>
      </c>
      <c r="K110" s="381">
        <v>1</v>
      </c>
      <c r="L110" s="381">
        <v>1</v>
      </c>
      <c r="M110" s="354"/>
    </row>
    <row r="111" spans="1:13" s="360" customFormat="1" ht="13.5" hidden="1" thickBot="1" x14ac:dyDescent="0.25">
      <c r="A111" s="362"/>
      <c r="B111" s="363"/>
      <c r="C111" s="355"/>
      <c r="D111" s="355"/>
      <c r="E111" s="365">
        <v>0</v>
      </c>
      <c r="F111" s="365">
        <v>0</v>
      </c>
      <c r="G111" s="365">
        <v>0</v>
      </c>
      <c r="H111" s="365">
        <v>0</v>
      </c>
      <c r="I111" s="355" t="s">
        <v>227</v>
      </c>
      <c r="J111" s="82" t="s">
        <v>95</v>
      </c>
      <c r="K111" s="381">
        <v>1</v>
      </c>
      <c r="L111" s="381">
        <v>1</v>
      </c>
      <c r="M111" s="356"/>
    </row>
    <row r="112" spans="1:13" s="360" customFormat="1" ht="38.25" hidden="1" x14ac:dyDescent="0.2">
      <c r="A112" s="357" t="s">
        <v>229</v>
      </c>
      <c r="B112" s="358" t="s">
        <v>230</v>
      </c>
      <c r="C112" s="351" t="s">
        <v>2</v>
      </c>
      <c r="D112" s="351" t="s">
        <v>303</v>
      </c>
      <c r="E112" s="352">
        <f>SUM(E113:E113)</f>
        <v>0</v>
      </c>
      <c r="F112" s="352">
        <f>SUM(F113:F113)</f>
        <v>0</v>
      </c>
      <c r="G112" s="352">
        <f>SUM(G113:G113)</f>
        <v>0</v>
      </c>
      <c r="H112" s="352">
        <f>SUM(H113:H113)</f>
        <v>0</v>
      </c>
      <c r="I112" s="351" t="s">
        <v>231</v>
      </c>
      <c r="J112" s="353" t="s">
        <v>79</v>
      </c>
      <c r="K112" s="380" t="s">
        <v>146</v>
      </c>
      <c r="L112" s="380" t="s">
        <v>146</v>
      </c>
      <c r="M112" s="354"/>
    </row>
    <row r="113" spans="1:13" s="360" customFormat="1" ht="26.25" hidden="1" thickBot="1" x14ac:dyDescent="0.25">
      <c r="A113" s="362"/>
      <c r="B113" s="363"/>
      <c r="C113" s="355"/>
      <c r="D113" s="355"/>
      <c r="E113" s="361">
        <v>0</v>
      </c>
      <c r="F113" s="361">
        <v>0</v>
      </c>
      <c r="G113" s="361">
        <v>0</v>
      </c>
      <c r="H113" s="361">
        <v>0</v>
      </c>
      <c r="I113" s="355" t="s">
        <v>232</v>
      </c>
      <c r="J113" s="82" t="s">
        <v>79</v>
      </c>
      <c r="K113" s="381" t="s">
        <v>146</v>
      </c>
      <c r="L113" s="381" t="s">
        <v>146</v>
      </c>
      <c r="M113" s="356"/>
    </row>
    <row r="114" spans="1:13" s="360" customFormat="1" ht="26.25" thickBot="1" x14ac:dyDescent="0.25">
      <c r="A114" s="357" t="s">
        <v>236</v>
      </c>
      <c r="B114" s="358" t="s">
        <v>58</v>
      </c>
      <c r="C114" s="351" t="s">
        <v>2</v>
      </c>
      <c r="D114" s="351" t="s">
        <v>303</v>
      </c>
      <c r="E114" s="364">
        <v>39.200000000000003</v>
      </c>
      <c r="F114" s="364">
        <v>39.200000000000003</v>
      </c>
      <c r="G114" s="364">
        <v>39.200000000000003</v>
      </c>
      <c r="H114" s="364">
        <v>0</v>
      </c>
      <c r="I114" s="351" t="s">
        <v>216</v>
      </c>
      <c r="J114" s="353" t="s">
        <v>79</v>
      </c>
      <c r="K114" s="380" t="s">
        <v>328</v>
      </c>
      <c r="L114" s="380" t="s">
        <v>328</v>
      </c>
      <c r="M114" s="354" t="s">
        <v>441</v>
      </c>
    </row>
    <row r="115" spans="1:13" ht="39" thickBot="1" x14ac:dyDescent="0.25">
      <c r="A115" s="349" t="s">
        <v>398</v>
      </c>
      <c r="B115" s="350" t="s">
        <v>399</v>
      </c>
      <c r="C115" s="315" t="s">
        <v>37</v>
      </c>
      <c r="D115" s="315" t="s">
        <v>321</v>
      </c>
      <c r="E115" s="318">
        <v>0</v>
      </c>
      <c r="F115" s="318">
        <v>10</v>
      </c>
      <c r="G115" s="318">
        <v>0</v>
      </c>
      <c r="H115" s="318">
        <v>10</v>
      </c>
      <c r="I115" s="346" t="s">
        <v>396</v>
      </c>
      <c r="J115" s="347" t="s">
        <v>79</v>
      </c>
      <c r="K115" s="378" t="s">
        <v>328</v>
      </c>
      <c r="L115" s="378" t="s">
        <v>146</v>
      </c>
      <c r="M115" s="348" t="s">
        <v>442</v>
      </c>
    </row>
    <row r="116" spans="1:13" ht="26.25" hidden="1" thickBot="1" x14ac:dyDescent="0.25">
      <c r="A116" s="313" t="s">
        <v>241</v>
      </c>
      <c r="B116" s="314" t="s">
        <v>242</v>
      </c>
      <c r="C116" s="315"/>
      <c r="D116" s="315"/>
      <c r="E116" s="316">
        <f>SUM(E117:E117)</f>
        <v>160.80000000000001</v>
      </c>
      <c r="F116" s="316">
        <f>SUM(F117:F117)</f>
        <v>132.79999999999998</v>
      </c>
      <c r="G116" s="316">
        <f>SUM(G117:G117)</f>
        <v>112.3</v>
      </c>
      <c r="H116" s="316">
        <f>SUM(H117:H117)</f>
        <v>20.5</v>
      </c>
      <c r="I116" s="315"/>
      <c r="J116" s="72"/>
      <c r="K116" s="375"/>
      <c r="L116" s="375"/>
      <c r="M116" s="317"/>
    </row>
    <row r="117" spans="1:13" ht="15" customHeight="1" x14ac:dyDescent="0.2">
      <c r="A117" s="565" t="s">
        <v>243</v>
      </c>
      <c r="B117" s="562" t="s">
        <v>242</v>
      </c>
      <c r="C117" s="315"/>
      <c r="D117" s="315"/>
      <c r="E117" s="316">
        <f>SUM(E118:E120)</f>
        <v>160.80000000000001</v>
      </c>
      <c r="F117" s="316">
        <f>SUM(F118:F120)</f>
        <v>132.79999999999998</v>
      </c>
      <c r="G117" s="316">
        <f>SUM(G118:G120)</f>
        <v>112.3</v>
      </c>
      <c r="H117" s="316">
        <f>SUM(H118:H120)</f>
        <v>20.5</v>
      </c>
      <c r="I117" s="315" t="s">
        <v>244</v>
      </c>
      <c r="J117" s="72" t="s">
        <v>90</v>
      </c>
      <c r="K117" s="375" t="s">
        <v>307</v>
      </c>
      <c r="L117" s="375" t="s">
        <v>307</v>
      </c>
      <c r="M117" s="574" t="s">
        <v>400</v>
      </c>
    </row>
    <row r="118" spans="1:13" x14ac:dyDescent="0.2">
      <c r="A118" s="566"/>
      <c r="B118" s="563"/>
      <c r="C118" s="305" t="s">
        <v>37</v>
      </c>
      <c r="D118" s="305" t="s">
        <v>401</v>
      </c>
      <c r="E118" s="306">
        <v>19.3</v>
      </c>
      <c r="F118" s="306">
        <v>19.3</v>
      </c>
      <c r="G118" s="306">
        <v>19.3</v>
      </c>
      <c r="H118" s="306">
        <v>0</v>
      </c>
      <c r="I118" s="305"/>
      <c r="J118" s="88"/>
      <c r="K118" s="373"/>
      <c r="L118" s="373"/>
      <c r="M118" s="575"/>
    </row>
    <row r="119" spans="1:13" x14ac:dyDescent="0.2">
      <c r="A119" s="566"/>
      <c r="B119" s="563"/>
      <c r="C119" s="305" t="s">
        <v>2</v>
      </c>
      <c r="D119" s="305" t="s">
        <v>303</v>
      </c>
      <c r="E119" s="306">
        <v>140.80000000000001</v>
      </c>
      <c r="F119" s="306">
        <v>112.8</v>
      </c>
      <c r="G119" s="306">
        <v>92.3</v>
      </c>
      <c r="H119" s="306">
        <v>20.5</v>
      </c>
      <c r="I119" s="305"/>
      <c r="J119" s="88"/>
      <c r="K119" s="373"/>
      <c r="L119" s="373"/>
      <c r="M119" s="575"/>
    </row>
    <row r="120" spans="1:13" ht="13.5" thickBot="1" x14ac:dyDescent="0.25">
      <c r="A120" s="567"/>
      <c r="B120" s="564"/>
      <c r="C120" s="305" t="s">
        <v>37</v>
      </c>
      <c r="D120" s="305" t="s">
        <v>321</v>
      </c>
      <c r="E120" s="306">
        <v>0.7</v>
      </c>
      <c r="F120" s="306">
        <v>0.7</v>
      </c>
      <c r="G120" s="306">
        <v>0.7</v>
      </c>
      <c r="H120" s="306">
        <v>0</v>
      </c>
      <c r="I120" s="305"/>
      <c r="J120" s="88"/>
      <c r="K120" s="373"/>
      <c r="L120" s="373"/>
      <c r="M120" s="576"/>
    </row>
    <row r="121" spans="1:13" ht="39" thickBot="1" x14ac:dyDescent="0.25">
      <c r="A121" s="308" t="s">
        <v>246</v>
      </c>
      <c r="B121" s="309" t="s">
        <v>22</v>
      </c>
      <c r="C121" s="310"/>
      <c r="D121" s="310"/>
      <c r="E121" s="311">
        <f>E122+E135</f>
        <v>564</v>
      </c>
      <c r="F121" s="311">
        <f>F122+F135</f>
        <v>162.69999999999999</v>
      </c>
      <c r="G121" s="311">
        <f>G122+G135</f>
        <v>125.1</v>
      </c>
      <c r="H121" s="311">
        <f>H122+H135</f>
        <v>37.6</v>
      </c>
      <c r="I121" s="310"/>
      <c r="J121" s="63"/>
      <c r="K121" s="374"/>
      <c r="L121" s="374"/>
      <c r="M121" s="312"/>
    </row>
    <row r="122" spans="1:13" ht="26.25" thickBot="1" x14ac:dyDescent="0.25">
      <c r="A122" s="313" t="s">
        <v>247</v>
      </c>
      <c r="B122" s="314" t="s">
        <v>26</v>
      </c>
      <c r="C122" s="315"/>
      <c r="D122" s="315"/>
      <c r="E122" s="316">
        <f>E123+E125+E127+E131+E134</f>
        <v>558</v>
      </c>
      <c r="F122" s="316">
        <f>F123+F125+F127+F131+F134</f>
        <v>156.69999999999999</v>
      </c>
      <c r="G122" s="316">
        <f>G123+G125+G127+G131+G134</f>
        <v>119.1</v>
      </c>
      <c r="H122" s="316">
        <f>H123+H125+H127+H131+H134</f>
        <v>37.6</v>
      </c>
      <c r="I122" s="315"/>
      <c r="J122" s="72"/>
      <c r="K122" s="375"/>
      <c r="L122" s="375"/>
      <c r="M122" s="317"/>
    </row>
    <row r="123" spans="1:13" ht="30.6" customHeight="1" x14ac:dyDescent="0.2">
      <c r="A123" s="579" t="s">
        <v>248</v>
      </c>
      <c r="B123" s="577" t="s">
        <v>402</v>
      </c>
      <c r="C123" s="315"/>
      <c r="D123" s="315"/>
      <c r="E123" s="333">
        <f>SUM(E124:E124)</f>
        <v>420</v>
      </c>
      <c r="F123" s="333">
        <f>SUM(F124:F124)</f>
        <v>30</v>
      </c>
      <c r="G123" s="333">
        <f>SUM(G124:G124)</f>
        <v>22.4</v>
      </c>
      <c r="H123" s="333">
        <f>SUM(H124:H124)</f>
        <v>7.6</v>
      </c>
      <c r="I123" s="336" t="s">
        <v>250</v>
      </c>
      <c r="J123" s="337" t="s">
        <v>79</v>
      </c>
      <c r="K123" s="377" t="s">
        <v>403</v>
      </c>
      <c r="L123" s="377" t="s">
        <v>404</v>
      </c>
      <c r="M123" s="338" t="s">
        <v>405</v>
      </c>
    </row>
    <row r="124" spans="1:13" ht="13.5" thickBot="1" x14ac:dyDescent="0.25">
      <c r="A124" s="580"/>
      <c r="B124" s="578"/>
      <c r="C124" s="305" t="s">
        <v>37</v>
      </c>
      <c r="D124" s="305" t="s">
        <v>321</v>
      </c>
      <c r="E124" s="306">
        <v>420</v>
      </c>
      <c r="F124" s="306">
        <v>30</v>
      </c>
      <c r="G124" s="306">
        <v>22.4</v>
      </c>
      <c r="H124" s="306">
        <v>7.6</v>
      </c>
      <c r="I124" s="305"/>
      <c r="J124" s="88"/>
      <c r="K124" s="373"/>
      <c r="L124" s="373"/>
      <c r="M124" s="307"/>
    </row>
    <row r="125" spans="1:13" s="360" customFormat="1" ht="30.6" customHeight="1" x14ac:dyDescent="0.2">
      <c r="A125" s="557" t="s">
        <v>252</v>
      </c>
      <c r="B125" s="568" t="s">
        <v>253</v>
      </c>
      <c r="C125" s="351"/>
      <c r="D125" s="351"/>
      <c r="E125" s="359">
        <f>SUM(E126:E126)</f>
        <v>13</v>
      </c>
      <c r="F125" s="359">
        <f>SUM(F126:F126)</f>
        <v>1.7</v>
      </c>
      <c r="G125" s="359">
        <f>SUM(G126:G126)</f>
        <v>1.6</v>
      </c>
      <c r="H125" s="359">
        <f>SUM(H126:H126)</f>
        <v>0.1</v>
      </c>
      <c r="I125" s="351" t="s">
        <v>254</v>
      </c>
      <c r="J125" s="353" t="s">
        <v>95</v>
      </c>
      <c r="K125" s="380" t="s">
        <v>328</v>
      </c>
      <c r="L125" s="380" t="s">
        <v>328</v>
      </c>
      <c r="M125" s="354" t="s">
        <v>443</v>
      </c>
    </row>
    <row r="126" spans="1:13" s="360" customFormat="1" ht="13.5" thickBot="1" x14ac:dyDescent="0.25">
      <c r="A126" s="581"/>
      <c r="B126" s="569"/>
      <c r="C126" s="355" t="s">
        <v>37</v>
      </c>
      <c r="D126" s="355" t="s">
        <v>321</v>
      </c>
      <c r="E126" s="361">
        <v>13</v>
      </c>
      <c r="F126" s="361">
        <v>1.7</v>
      </c>
      <c r="G126" s="361">
        <v>1.6</v>
      </c>
      <c r="H126" s="361">
        <v>0.1</v>
      </c>
      <c r="I126" s="355"/>
      <c r="J126" s="82"/>
      <c r="K126" s="381"/>
      <c r="L126" s="381"/>
      <c r="M126" s="356"/>
    </row>
    <row r="127" spans="1:13" ht="31.9" customHeight="1" x14ac:dyDescent="0.2">
      <c r="A127" s="565" t="s">
        <v>256</v>
      </c>
      <c r="B127" s="562" t="s">
        <v>257</v>
      </c>
      <c r="C127" s="315" t="s">
        <v>2</v>
      </c>
      <c r="D127" s="315" t="s">
        <v>303</v>
      </c>
      <c r="E127" s="316">
        <f>SUM(E128:E130)+100</f>
        <v>100</v>
      </c>
      <c r="F127" s="316">
        <f>SUM(F128:F130)+100</f>
        <v>100</v>
      </c>
      <c r="G127" s="316">
        <f>SUM(G128:G130)+95.1</f>
        <v>95.1</v>
      </c>
      <c r="H127" s="316">
        <f>SUM(H128:H130)+4.9</f>
        <v>4.9000000000000004</v>
      </c>
      <c r="I127" s="351" t="s">
        <v>260</v>
      </c>
      <c r="J127" s="353" t="s">
        <v>95</v>
      </c>
      <c r="K127" s="380" t="s">
        <v>326</v>
      </c>
      <c r="L127" s="380" t="s">
        <v>326</v>
      </c>
      <c r="M127" s="354" t="s">
        <v>479</v>
      </c>
    </row>
    <row r="128" spans="1:13" ht="25.5" x14ac:dyDescent="0.2">
      <c r="A128" s="573"/>
      <c r="B128" s="572"/>
      <c r="C128" s="305"/>
      <c r="D128" s="305"/>
      <c r="E128" s="332">
        <v>0</v>
      </c>
      <c r="F128" s="332">
        <v>0</v>
      </c>
      <c r="G128" s="332">
        <v>0</v>
      </c>
      <c r="H128" s="332">
        <v>0</v>
      </c>
      <c r="I128" s="355" t="s">
        <v>258</v>
      </c>
      <c r="J128" s="82" t="s">
        <v>90</v>
      </c>
      <c r="K128" s="381" t="s">
        <v>326</v>
      </c>
      <c r="L128" s="381" t="s">
        <v>326</v>
      </c>
      <c r="M128" s="356" t="s">
        <v>406</v>
      </c>
    </row>
    <row r="129" spans="1:13" ht="25.5" x14ac:dyDescent="0.2">
      <c r="A129" s="303"/>
      <c r="B129" s="304"/>
      <c r="C129" s="305"/>
      <c r="D129" s="305"/>
      <c r="E129" s="332">
        <v>0</v>
      </c>
      <c r="F129" s="332">
        <v>0</v>
      </c>
      <c r="G129" s="332">
        <v>0</v>
      </c>
      <c r="H129" s="332">
        <v>0</v>
      </c>
      <c r="I129" s="355" t="s">
        <v>261</v>
      </c>
      <c r="J129" s="82" t="s">
        <v>90</v>
      </c>
      <c r="K129" s="381" t="s">
        <v>410</v>
      </c>
      <c r="L129" s="381" t="s">
        <v>411</v>
      </c>
      <c r="M129" s="356" t="s">
        <v>480</v>
      </c>
    </row>
    <row r="130" spans="1:13" ht="26.25" thickBot="1" x14ac:dyDescent="0.25">
      <c r="A130" s="303"/>
      <c r="B130" s="304"/>
      <c r="C130" s="305"/>
      <c r="D130" s="305"/>
      <c r="E130" s="332">
        <v>0</v>
      </c>
      <c r="F130" s="332">
        <v>0</v>
      </c>
      <c r="G130" s="332">
        <v>0</v>
      </c>
      <c r="H130" s="332">
        <v>0</v>
      </c>
      <c r="I130" s="305" t="s">
        <v>264</v>
      </c>
      <c r="J130" s="88" t="s">
        <v>90</v>
      </c>
      <c r="K130" s="373" t="s">
        <v>407</v>
      </c>
      <c r="L130" s="373" t="s">
        <v>408</v>
      </c>
      <c r="M130" s="307" t="s">
        <v>409</v>
      </c>
    </row>
    <row r="131" spans="1:13" ht="51" hidden="1" x14ac:dyDescent="0.2">
      <c r="A131" s="313" t="s">
        <v>412</v>
      </c>
      <c r="B131" s="314" t="s">
        <v>413</v>
      </c>
      <c r="C131" s="315"/>
      <c r="D131" s="315"/>
      <c r="E131" s="316">
        <f>SUM(E132:E133)</f>
        <v>0</v>
      </c>
      <c r="F131" s="316">
        <f>SUM(F132:F133)</f>
        <v>0</v>
      </c>
      <c r="G131" s="316">
        <f>SUM(G132:G133)</f>
        <v>0</v>
      </c>
      <c r="H131" s="316">
        <f>SUM(H132:H133)</f>
        <v>0</v>
      </c>
      <c r="I131" s="315" t="s">
        <v>414</v>
      </c>
      <c r="J131" s="72" t="s">
        <v>95</v>
      </c>
      <c r="K131" s="375" t="s">
        <v>328</v>
      </c>
      <c r="L131" s="375" t="s">
        <v>146</v>
      </c>
      <c r="M131" s="317" t="s">
        <v>415</v>
      </c>
    </row>
    <row r="132" spans="1:13" hidden="1" x14ac:dyDescent="0.2">
      <c r="A132" s="303"/>
      <c r="B132" s="304"/>
      <c r="C132" s="305"/>
      <c r="D132" s="305"/>
      <c r="E132" s="306">
        <v>0</v>
      </c>
      <c r="F132" s="306">
        <v>0</v>
      </c>
      <c r="G132" s="306">
        <v>0</v>
      </c>
      <c r="H132" s="306">
        <v>0</v>
      </c>
      <c r="I132" s="305" t="s">
        <v>417</v>
      </c>
      <c r="J132" s="88" t="s">
        <v>95</v>
      </c>
      <c r="K132" s="373" t="s">
        <v>146</v>
      </c>
      <c r="L132" s="373" t="s">
        <v>146</v>
      </c>
      <c r="M132" s="307"/>
    </row>
    <row r="133" spans="1:13" ht="13.5" hidden="1" thickBot="1" x14ac:dyDescent="0.25">
      <c r="A133" s="303"/>
      <c r="B133" s="304"/>
      <c r="C133" s="305"/>
      <c r="D133" s="305"/>
      <c r="E133" s="306">
        <v>0</v>
      </c>
      <c r="F133" s="306">
        <v>0</v>
      </c>
      <c r="G133" s="306">
        <v>0</v>
      </c>
      <c r="H133" s="306">
        <v>0</v>
      </c>
      <c r="I133" s="305" t="s">
        <v>416</v>
      </c>
      <c r="J133" s="88" t="s">
        <v>90</v>
      </c>
      <c r="K133" s="373" t="s">
        <v>146</v>
      </c>
      <c r="L133" s="373" t="s">
        <v>146</v>
      </c>
      <c r="M133" s="307"/>
    </row>
    <row r="134" spans="1:13" ht="90" thickBot="1" x14ac:dyDescent="0.25">
      <c r="A134" s="343" t="s">
        <v>418</v>
      </c>
      <c r="B134" s="342" t="s">
        <v>419</v>
      </c>
      <c r="C134" s="315" t="s">
        <v>2</v>
      </c>
      <c r="D134" s="315" t="s">
        <v>303</v>
      </c>
      <c r="E134" s="318">
        <v>25</v>
      </c>
      <c r="F134" s="318">
        <v>25</v>
      </c>
      <c r="G134" s="318">
        <v>0</v>
      </c>
      <c r="H134" s="318">
        <v>25</v>
      </c>
      <c r="I134" s="336" t="s">
        <v>420</v>
      </c>
      <c r="J134" s="337" t="s">
        <v>95</v>
      </c>
      <c r="K134" s="377" t="s">
        <v>326</v>
      </c>
      <c r="L134" s="377" t="s">
        <v>146</v>
      </c>
      <c r="M134" s="338" t="s">
        <v>481</v>
      </c>
    </row>
    <row r="135" spans="1:13" ht="26.25" hidden="1" thickBot="1" x14ac:dyDescent="0.25">
      <c r="A135" s="313" t="s">
        <v>270</v>
      </c>
      <c r="B135" s="314" t="s">
        <v>62</v>
      </c>
      <c r="C135" s="315"/>
      <c r="D135" s="315"/>
      <c r="E135" s="316">
        <f>SUM(E136:E136)</f>
        <v>6</v>
      </c>
      <c r="F135" s="316">
        <f>SUM(F136:F136)</f>
        <v>6</v>
      </c>
      <c r="G135" s="316">
        <f>SUM(G136:G136)</f>
        <v>6</v>
      </c>
      <c r="H135" s="316">
        <f>SUM(H136:H136)</f>
        <v>0</v>
      </c>
      <c r="I135" s="315"/>
      <c r="J135" s="72"/>
      <c r="K135" s="375"/>
      <c r="L135" s="375"/>
      <c r="M135" s="317"/>
    </row>
    <row r="136" spans="1:13" ht="25.5" x14ac:dyDescent="0.2">
      <c r="A136" s="313" t="s">
        <v>271</v>
      </c>
      <c r="B136" s="314" t="s">
        <v>444</v>
      </c>
      <c r="C136" s="315" t="s">
        <v>2</v>
      </c>
      <c r="D136" s="315" t="s">
        <v>303</v>
      </c>
      <c r="E136" s="316">
        <f>SUM(E137:E138)+6</f>
        <v>6</v>
      </c>
      <c r="F136" s="316">
        <f>SUM(F137:F138)+6</f>
        <v>6</v>
      </c>
      <c r="G136" s="316">
        <f>SUM(G137:G138)+6</f>
        <v>6</v>
      </c>
      <c r="H136" s="316">
        <f>SUM(H137:H138)</f>
        <v>0</v>
      </c>
      <c r="I136" s="315" t="s">
        <v>254</v>
      </c>
      <c r="J136" s="72" t="s">
        <v>95</v>
      </c>
      <c r="K136" s="375" t="s">
        <v>326</v>
      </c>
      <c r="L136" s="375">
        <v>1</v>
      </c>
      <c r="M136" s="317" t="s">
        <v>482</v>
      </c>
    </row>
    <row r="137" spans="1:13" ht="25.5" x14ac:dyDescent="0.2">
      <c r="A137" s="303"/>
      <c r="B137" s="304"/>
      <c r="C137" s="305"/>
      <c r="D137" s="305"/>
      <c r="E137" s="332">
        <v>0</v>
      </c>
      <c r="F137" s="332">
        <v>0</v>
      </c>
      <c r="G137" s="332">
        <v>0</v>
      </c>
      <c r="H137" s="332">
        <v>0</v>
      </c>
      <c r="I137" s="305" t="s">
        <v>274</v>
      </c>
      <c r="J137" s="88" t="s">
        <v>90</v>
      </c>
      <c r="K137" s="373" t="s">
        <v>421</v>
      </c>
      <c r="L137" s="373" t="s">
        <v>146</v>
      </c>
      <c r="M137" s="307" t="s">
        <v>483</v>
      </c>
    </row>
    <row r="138" spans="1:13" ht="13.5" thickBot="1" x14ac:dyDescent="0.25">
      <c r="A138" s="319"/>
      <c r="B138" s="320"/>
      <c r="C138" s="321"/>
      <c r="D138" s="321"/>
      <c r="E138" s="345">
        <v>0</v>
      </c>
      <c r="F138" s="345">
        <v>0</v>
      </c>
      <c r="G138" s="345">
        <v>0</v>
      </c>
      <c r="H138" s="345">
        <v>0</v>
      </c>
      <c r="I138" s="321" t="s">
        <v>275</v>
      </c>
      <c r="J138" s="264" t="s">
        <v>90</v>
      </c>
      <c r="K138" s="383" t="s">
        <v>320</v>
      </c>
      <c r="L138" s="383" t="s">
        <v>146</v>
      </c>
      <c r="M138" s="322" t="s">
        <v>483</v>
      </c>
    </row>
    <row r="139" spans="1:13" x14ac:dyDescent="0.2">
      <c r="A139" s="323"/>
      <c r="B139" s="323"/>
      <c r="C139" s="324"/>
      <c r="D139" s="324"/>
      <c r="E139" s="325"/>
      <c r="F139" s="325"/>
      <c r="G139" s="325"/>
      <c r="H139" s="325"/>
      <c r="I139" s="324"/>
      <c r="J139" s="326"/>
      <c r="K139" s="384"/>
      <c r="L139" s="384"/>
      <c r="M139" s="324"/>
    </row>
    <row r="140" spans="1:13" ht="18.600000000000001" customHeight="1" x14ac:dyDescent="0.2">
      <c r="A140" s="592" t="s">
        <v>4</v>
      </c>
      <c r="B140" s="592"/>
      <c r="C140" s="592"/>
      <c r="D140" s="592"/>
      <c r="E140" s="592"/>
      <c r="F140" s="592"/>
      <c r="G140" s="325"/>
      <c r="H140" s="325"/>
      <c r="I140" s="324"/>
      <c r="J140" s="326"/>
      <c r="K140" s="384"/>
      <c r="L140" s="384"/>
      <c r="M140" s="324"/>
    </row>
    <row r="141" spans="1:13" s="344" customFormat="1" ht="38.25" x14ac:dyDescent="0.2">
      <c r="A141" s="331" t="s">
        <v>63</v>
      </c>
      <c r="B141" s="331" t="s">
        <v>64</v>
      </c>
      <c r="C141" s="331" t="s">
        <v>66</v>
      </c>
      <c r="D141" s="331" t="s">
        <v>67</v>
      </c>
      <c r="E141" s="331" t="s">
        <v>68</v>
      </c>
      <c r="F141" s="331" t="s">
        <v>69</v>
      </c>
      <c r="K141" s="385"/>
      <c r="L141" s="385"/>
    </row>
    <row r="142" spans="1:13" ht="25.5" x14ac:dyDescent="0.2">
      <c r="A142" s="304" t="s">
        <v>44</v>
      </c>
      <c r="B142" s="304" t="s">
        <v>454</v>
      </c>
      <c r="C142" s="327">
        <v>81.3</v>
      </c>
      <c r="D142" s="327">
        <v>0</v>
      </c>
      <c r="E142" s="327">
        <v>0</v>
      </c>
      <c r="F142" s="327">
        <v>0</v>
      </c>
    </row>
    <row r="143" spans="1:13" ht="25.5" x14ac:dyDescent="0.2">
      <c r="A143" s="304" t="s">
        <v>60</v>
      </c>
      <c r="B143" s="304" t="s">
        <v>455</v>
      </c>
      <c r="C143" s="327">
        <v>194.1</v>
      </c>
      <c r="D143" s="327">
        <v>194.1</v>
      </c>
      <c r="E143" s="327">
        <v>103.4</v>
      </c>
      <c r="F143" s="327">
        <v>90.7</v>
      </c>
    </row>
    <row r="144" spans="1:13" ht="38.25" x14ac:dyDescent="0.2">
      <c r="A144" s="304" t="s">
        <v>37</v>
      </c>
      <c r="B144" s="304" t="s">
        <v>280</v>
      </c>
      <c r="C144" s="327">
        <v>795.8</v>
      </c>
      <c r="D144" s="327">
        <v>411.8</v>
      </c>
      <c r="E144" s="327">
        <v>268.60000000000002</v>
      </c>
      <c r="F144" s="327">
        <v>143.19999999999999</v>
      </c>
    </row>
    <row r="145" spans="1:6" x14ac:dyDescent="0.2">
      <c r="A145" s="304" t="s">
        <v>5</v>
      </c>
      <c r="B145" s="304" t="s">
        <v>281</v>
      </c>
      <c r="C145" s="327">
        <v>447.4</v>
      </c>
      <c r="D145" s="327">
        <v>447.4</v>
      </c>
      <c r="E145" s="327">
        <v>180.5</v>
      </c>
      <c r="F145" s="327">
        <v>266.89999999999998</v>
      </c>
    </row>
    <row r="146" spans="1:6" x14ac:dyDescent="0.2">
      <c r="A146" s="304" t="s">
        <v>25</v>
      </c>
      <c r="B146" s="304" t="s">
        <v>282</v>
      </c>
      <c r="C146" s="327">
        <v>122.1</v>
      </c>
      <c r="D146" s="327">
        <v>122.1</v>
      </c>
      <c r="E146" s="327">
        <v>115.1</v>
      </c>
      <c r="F146" s="327">
        <v>7</v>
      </c>
    </row>
    <row r="147" spans="1:6" x14ac:dyDescent="0.2">
      <c r="A147" s="304" t="s">
        <v>20</v>
      </c>
      <c r="B147" s="304" t="s">
        <v>283</v>
      </c>
      <c r="C147" s="327">
        <v>250</v>
      </c>
      <c r="D147" s="327">
        <v>250</v>
      </c>
      <c r="E147" s="327">
        <v>142.30000000000001</v>
      </c>
      <c r="F147" s="327">
        <v>107.7</v>
      </c>
    </row>
    <row r="148" spans="1:6" x14ac:dyDescent="0.2">
      <c r="A148" s="304" t="s">
        <v>24</v>
      </c>
      <c r="B148" s="304" t="s">
        <v>285</v>
      </c>
      <c r="C148" s="327">
        <v>0</v>
      </c>
      <c r="D148" s="327">
        <v>73</v>
      </c>
      <c r="E148" s="327">
        <v>26.1</v>
      </c>
      <c r="F148" s="327">
        <v>46.9</v>
      </c>
    </row>
    <row r="149" spans="1:6" x14ac:dyDescent="0.2">
      <c r="A149" s="304" t="s">
        <v>41</v>
      </c>
      <c r="B149" s="304" t="s">
        <v>284</v>
      </c>
      <c r="C149" s="327">
        <v>22.3</v>
      </c>
      <c r="D149" s="327">
        <v>22.3</v>
      </c>
      <c r="E149" s="327">
        <v>22.3</v>
      </c>
      <c r="F149" s="327">
        <v>0</v>
      </c>
    </row>
    <row r="150" spans="1:6" x14ac:dyDescent="0.2">
      <c r="A150" s="304" t="s">
        <v>178</v>
      </c>
      <c r="B150" s="304" t="s">
        <v>286</v>
      </c>
      <c r="C150" s="327">
        <v>0</v>
      </c>
      <c r="D150" s="327">
        <v>5.3</v>
      </c>
      <c r="E150" s="327">
        <v>5.3</v>
      </c>
      <c r="F150" s="327">
        <v>0</v>
      </c>
    </row>
    <row r="151" spans="1:6" x14ac:dyDescent="0.2">
      <c r="A151" s="304" t="s">
        <v>2</v>
      </c>
      <c r="B151" s="304" t="s">
        <v>287</v>
      </c>
      <c r="C151" s="327">
        <v>7613</v>
      </c>
      <c r="D151" s="327">
        <v>7344.4</v>
      </c>
      <c r="E151" s="327">
        <v>6994</v>
      </c>
      <c r="F151" s="327">
        <v>350.4</v>
      </c>
    </row>
    <row r="152" spans="1:6" x14ac:dyDescent="0.2">
      <c r="A152" s="328"/>
      <c r="B152" s="329" t="s">
        <v>289</v>
      </c>
      <c r="C152" s="330">
        <f>SUM(C142:C151)</f>
        <v>9526</v>
      </c>
      <c r="D152" s="330">
        <f>SUM(D142:D151)</f>
        <v>8870.4</v>
      </c>
      <c r="E152" s="330">
        <f>SUM(E142:E151)</f>
        <v>7857.6</v>
      </c>
      <c r="F152" s="330">
        <f>SUM(F142:F151)</f>
        <v>1012.8</v>
      </c>
    </row>
  </sheetData>
  <mergeCells count="55">
    <mergeCell ref="M59:M60"/>
    <mergeCell ref="A105:A106"/>
    <mergeCell ref="N44:Q45"/>
    <mergeCell ref="A4:A6"/>
    <mergeCell ref="B4:B6"/>
    <mergeCell ref="C4:C6"/>
    <mergeCell ref="D4:D6"/>
    <mergeCell ref="E4:E6"/>
    <mergeCell ref="F4:F6"/>
    <mergeCell ref="G4:G6"/>
    <mergeCell ref="H4:H6"/>
    <mergeCell ref="I4:M4"/>
    <mergeCell ref="I5:I6"/>
    <mergeCell ref="J5:J6"/>
    <mergeCell ref="K5:L5"/>
    <mergeCell ref="M5:M6"/>
    <mergeCell ref="M44:M52"/>
    <mergeCell ref="M68:M69"/>
    <mergeCell ref="A140:F140"/>
    <mergeCell ref="B36:B37"/>
    <mergeCell ref="A36:A37"/>
    <mergeCell ref="M37:M38"/>
    <mergeCell ref="B43:B44"/>
    <mergeCell ref="A43:A44"/>
    <mergeCell ref="B53:B55"/>
    <mergeCell ref="A53:A55"/>
    <mergeCell ref="B56:B58"/>
    <mergeCell ref="A56:A58"/>
    <mergeCell ref="B61:B62"/>
    <mergeCell ref="A61:A62"/>
    <mergeCell ref="B66:B67"/>
    <mergeCell ref="A66:A67"/>
    <mergeCell ref="B105:B106"/>
    <mergeCell ref="A1:M1"/>
    <mergeCell ref="A2:M2"/>
    <mergeCell ref="B127:B128"/>
    <mergeCell ref="A127:A128"/>
    <mergeCell ref="M117:M120"/>
    <mergeCell ref="B117:B120"/>
    <mergeCell ref="A117:A120"/>
    <mergeCell ref="B123:B124"/>
    <mergeCell ref="A123:A124"/>
    <mergeCell ref="B125:B126"/>
    <mergeCell ref="A125:A126"/>
    <mergeCell ref="M79:M84"/>
    <mergeCell ref="M89:M92"/>
    <mergeCell ref="B93:B94"/>
    <mergeCell ref="A68:A69"/>
    <mergeCell ref="B68:B69"/>
    <mergeCell ref="A93:A94"/>
    <mergeCell ref="M101:M103"/>
    <mergeCell ref="B70:B75"/>
    <mergeCell ref="A70:A75"/>
    <mergeCell ref="B78:B84"/>
    <mergeCell ref="A78:A84"/>
  </mergeCells>
  <printOptions horizontalCentered="1"/>
  <pageMargins left="0.39370078740157483" right="0.39370078740157483" top="0.39370078740157483" bottom="0.3937007874015748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Normal="100" zoomScaleSheetLayoutView="85" workbookViewId="0">
      <selection activeCell="A2" sqref="A2:M2"/>
    </sheetView>
  </sheetViews>
  <sheetFormatPr defaultColWidth="9.140625" defaultRowHeight="12.75" x14ac:dyDescent="0.2"/>
  <cols>
    <col min="1" max="1" width="12.140625" style="293" customWidth="1"/>
    <col min="2" max="2" width="28" style="293" customWidth="1"/>
    <col min="3" max="3" width="10.140625" style="293" customWidth="1"/>
    <col min="4" max="4" width="10.5703125" style="293" customWidth="1"/>
    <col min="5" max="5" width="11" style="293" customWidth="1"/>
    <col min="6" max="6" width="10.5703125" style="293" customWidth="1"/>
    <col min="7" max="7" width="10.140625" style="293" customWidth="1"/>
    <col min="8" max="8" width="7.42578125" style="293" customWidth="1"/>
    <col min="9" max="9" width="40.5703125" style="293" customWidth="1"/>
    <col min="10" max="10" width="8.140625" style="293" customWidth="1"/>
    <col min="11" max="11" width="7.42578125" style="293" customWidth="1"/>
    <col min="12" max="12" width="8.28515625" style="293" customWidth="1"/>
    <col min="13" max="13" width="50.7109375" style="293" customWidth="1"/>
    <col min="14" max="16384" width="9.140625" style="293"/>
  </cols>
  <sheetData>
    <row r="1" spans="1:13" ht="15.75" x14ac:dyDescent="0.25">
      <c r="A1" s="609" t="s">
        <v>619</v>
      </c>
      <c r="B1" s="609"/>
      <c r="C1" s="609"/>
      <c r="D1" s="609"/>
      <c r="E1" s="609"/>
      <c r="F1" s="609"/>
      <c r="G1" s="609"/>
      <c r="H1" s="609"/>
      <c r="I1" s="609"/>
      <c r="J1" s="609"/>
      <c r="K1" s="609"/>
      <c r="L1" s="609"/>
      <c r="M1" s="609"/>
    </row>
    <row r="2" spans="1:13" ht="15.75" x14ac:dyDescent="0.25">
      <c r="A2" s="610" t="s">
        <v>445</v>
      </c>
      <c r="B2" s="610"/>
      <c r="C2" s="610"/>
      <c r="D2" s="610"/>
      <c r="E2" s="610"/>
      <c r="F2" s="610"/>
      <c r="G2" s="610"/>
      <c r="H2" s="610"/>
      <c r="I2" s="610"/>
      <c r="J2" s="610"/>
      <c r="K2" s="610"/>
      <c r="L2" s="610"/>
      <c r="M2" s="610"/>
    </row>
    <row r="3" spans="1:13" ht="13.5" thickBot="1" x14ac:dyDescent="0.25"/>
    <row r="4" spans="1:13" x14ac:dyDescent="0.2">
      <c r="A4" s="611" t="s">
        <v>63</v>
      </c>
      <c r="B4" s="606" t="s">
        <v>64</v>
      </c>
      <c r="C4" s="606" t="s">
        <v>290</v>
      </c>
      <c r="D4" s="606" t="s">
        <v>291</v>
      </c>
      <c r="E4" s="606" t="s">
        <v>66</v>
      </c>
      <c r="F4" s="606" t="s">
        <v>67</v>
      </c>
      <c r="G4" s="606" t="s">
        <v>68</v>
      </c>
      <c r="H4" s="606" t="s">
        <v>69</v>
      </c>
      <c r="I4" s="606" t="s">
        <v>448</v>
      </c>
      <c r="J4" s="606"/>
      <c r="K4" s="606"/>
      <c r="L4" s="606"/>
      <c r="M4" s="614"/>
    </row>
    <row r="5" spans="1:13" x14ac:dyDescent="0.2">
      <c r="A5" s="612"/>
      <c r="B5" s="607"/>
      <c r="C5" s="607"/>
      <c r="D5" s="607"/>
      <c r="E5" s="607"/>
      <c r="F5" s="607"/>
      <c r="G5" s="607"/>
      <c r="H5" s="607"/>
      <c r="I5" s="607" t="s">
        <v>71</v>
      </c>
      <c r="J5" s="607" t="s">
        <v>72</v>
      </c>
      <c r="K5" s="607" t="s">
        <v>484</v>
      </c>
      <c r="L5" s="607"/>
      <c r="M5" s="615" t="s">
        <v>293</v>
      </c>
    </row>
    <row r="6" spans="1:13" ht="13.5" thickBot="1" x14ac:dyDescent="0.25">
      <c r="A6" s="613"/>
      <c r="B6" s="608"/>
      <c r="C6" s="608"/>
      <c r="D6" s="608"/>
      <c r="E6" s="608"/>
      <c r="F6" s="608"/>
      <c r="G6" s="608"/>
      <c r="H6" s="608"/>
      <c r="I6" s="608"/>
      <c r="J6" s="608"/>
      <c r="K6" s="530" t="s">
        <v>49</v>
      </c>
      <c r="L6" s="530" t="s">
        <v>74</v>
      </c>
      <c r="M6" s="616"/>
    </row>
    <row r="7" spans="1:13" ht="13.5" thickBot="1" x14ac:dyDescent="0.25">
      <c r="A7" s="294" t="s">
        <v>3</v>
      </c>
      <c r="B7" s="295" t="s">
        <v>75</v>
      </c>
      <c r="C7" s="296"/>
      <c r="D7" s="296"/>
      <c r="E7" s="297">
        <f>SUM(E8:E8)</f>
        <v>8711</v>
      </c>
      <c r="F7" s="297">
        <f>SUM(F8:F8)</f>
        <v>8813.2999999999993</v>
      </c>
      <c r="G7" s="297">
        <f>SUM(G8:G8)</f>
        <v>7976.1</v>
      </c>
      <c r="H7" s="297">
        <f>SUM(H8:H8)</f>
        <v>837.2</v>
      </c>
      <c r="I7" s="296"/>
      <c r="J7" s="37"/>
      <c r="K7" s="399"/>
      <c r="L7" s="399"/>
      <c r="M7" s="298"/>
    </row>
    <row r="8" spans="1:13" ht="51" x14ac:dyDescent="0.2">
      <c r="A8" s="299" t="s">
        <v>76</v>
      </c>
      <c r="B8" s="300" t="s">
        <v>77</v>
      </c>
      <c r="C8" s="400"/>
      <c r="D8" s="400"/>
      <c r="E8" s="302">
        <f>E9+E10+E11+E12+E43+E130</f>
        <v>8711</v>
      </c>
      <c r="F8" s="302">
        <f>F9+F10+F11+F12+F43+F130</f>
        <v>8813.2999999999993</v>
      </c>
      <c r="G8" s="302">
        <f>G9+G10+G11+G12+G43+G130</f>
        <v>7976.1</v>
      </c>
      <c r="H8" s="302">
        <f>H9+H10+H11+H12+H43+H130</f>
        <v>837.2</v>
      </c>
      <c r="I8" s="301" t="s">
        <v>78</v>
      </c>
      <c r="J8" s="400" t="s">
        <v>79</v>
      </c>
      <c r="K8" s="401" t="s">
        <v>612</v>
      </c>
      <c r="L8" s="401" t="s">
        <v>612</v>
      </c>
      <c r="M8" s="413"/>
    </row>
    <row r="9" spans="1:13" ht="127.5" x14ac:dyDescent="0.2">
      <c r="A9" s="303"/>
      <c r="B9" s="304"/>
      <c r="C9" s="88"/>
      <c r="D9" s="88"/>
      <c r="E9" s="456">
        <v>0</v>
      </c>
      <c r="F9" s="456">
        <v>0</v>
      </c>
      <c r="G9" s="456">
        <v>0</v>
      </c>
      <c r="H9" s="456">
        <v>0</v>
      </c>
      <c r="I9" s="305" t="s">
        <v>649</v>
      </c>
      <c r="J9" s="88" t="s">
        <v>82</v>
      </c>
      <c r="K9" s="402" t="s">
        <v>485</v>
      </c>
      <c r="L9" s="402" t="s">
        <v>486</v>
      </c>
      <c r="M9" s="414" t="s">
        <v>656</v>
      </c>
    </row>
    <row r="10" spans="1:13" ht="102" x14ac:dyDescent="0.2">
      <c r="A10" s="303"/>
      <c r="B10" s="304"/>
      <c r="C10" s="88"/>
      <c r="D10" s="88"/>
      <c r="E10" s="456">
        <v>0</v>
      </c>
      <c r="F10" s="456">
        <v>0</v>
      </c>
      <c r="G10" s="456">
        <v>0</v>
      </c>
      <c r="H10" s="456">
        <v>0</v>
      </c>
      <c r="I10" s="305" t="s">
        <v>294</v>
      </c>
      <c r="J10" s="88" t="s">
        <v>90</v>
      </c>
      <c r="K10" s="402" t="s">
        <v>487</v>
      </c>
      <c r="L10" s="402" t="s">
        <v>488</v>
      </c>
      <c r="M10" s="415" t="s">
        <v>657</v>
      </c>
    </row>
    <row r="11" spans="1:13" ht="13.5" thickBot="1" x14ac:dyDescent="0.25">
      <c r="A11" s="303"/>
      <c r="B11" s="304"/>
      <c r="C11" s="88"/>
      <c r="D11" s="88"/>
      <c r="E11" s="456">
        <v>0</v>
      </c>
      <c r="F11" s="456">
        <v>0</v>
      </c>
      <c r="G11" s="456">
        <v>0</v>
      </c>
      <c r="H11" s="456">
        <v>0</v>
      </c>
      <c r="I11" s="305" t="s">
        <v>423</v>
      </c>
      <c r="J11" s="88" t="s">
        <v>79</v>
      </c>
      <c r="K11" s="402" t="s">
        <v>489</v>
      </c>
      <c r="L11" s="402" t="s">
        <v>490</v>
      </c>
      <c r="M11" s="307"/>
    </row>
    <row r="12" spans="1:13" ht="39" thickBot="1" x14ac:dyDescent="0.25">
      <c r="A12" s="308" t="s">
        <v>85</v>
      </c>
      <c r="B12" s="309" t="s">
        <v>86</v>
      </c>
      <c r="C12" s="63"/>
      <c r="D12" s="63"/>
      <c r="E12" s="311">
        <f>E13+E20+E22+E26+E32</f>
        <v>2232.9</v>
      </c>
      <c r="F12" s="311">
        <f>F13+F20+F22+F26+F32</f>
        <v>2010.7</v>
      </c>
      <c r="G12" s="311">
        <f>G13+G20+G22+G26+G32+0.1</f>
        <v>1703</v>
      </c>
      <c r="H12" s="311">
        <f>H13+H20+H22+H26+H32-0.1</f>
        <v>307.7</v>
      </c>
      <c r="I12" s="310"/>
      <c r="J12" s="63"/>
      <c r="K12" s="403"/>
      <c r="L12" s="403"/>
      <c r="M12" s="312"/>
    </row>
    <row r="13" spans="1:13" ht="26.25" thickBot="1" x14ac:dyDescent="0.25">
      <c r="A13" s="313" t="s">
        <v>87</v>
      </c>
      <c r="B13" s="314" t="s">
        <v>88</v>
      </c>
      <c r="C13" s="72"/>
      <c r="D13" s="72"/>
      <c r="E13" s="316">
        <f>SUM(E14:E14)</f>
        <v>847</v>
      </c>
      <c r="F13" s="316">
        <f>SUM(F14:F14)</f>
        <v>847.5</v>
      </c>
      <c r="G13" s="316">
        <f>SUM(G14:G14)</f>
        <v>844.6</v>
      </c>
      <c r="H13" s="316">
        <f>SUM(H14:H14)</f>
        <v>2.9</v>
      </c>
      <c r="I13" s="315"/>
      <c r="J13" s="72"/>
      <c r="K13" s="404"/>
      <c r="L13" s="404"/>
      <c r="M13" s="317"/>
    </row>
    <row r="14" spans="1:13" ht="63.75" x14ac:dyDescent="0.2">
      <c r="A14" s="313" t="s">
        <v>300</v>
      </c>
      <c r="B14" s="314" t="s">
        <v>50</v>
      </c>
      <c r="C14" s="72"/>
      <c r="D14" s="72"/>
      <c r="E14" s="316">
        <f>SUM(E15:E19)</f>
        <v>847</v>
      </c>
      <c r="F14" s="316">
        <f>SUM(F15:F19)</f>
        <v>847.5</v>
      </c>
      <c r="G14" s="316">
        <f>SUM(G15:G19)</f>
        <v>844.6</v>
      </c>
      <c r="H14" s="316">
        <f>SUM(H15:H19)</f>
        <v>2.9</v>
      </c>
      <c r="I14" s="315" t="s">
        <v>491</v>
      </c>
      <c r="J14" s="72" t="s">
        <v>79</v>
      </c>
      <c r="K14" s="404" t="s">
        <v>394</v>
      </c>
      <c r="L14" s="404" t="s">
        <v>394</v>
      </c>
      <c r="M14" s="416" t="s">
        <v>658</v>
      </c>
    </row>
    <row r="15" spans="1:13" ht="166.5" customHeight="1" x14ac:dyDescent="0.2">
      <c r="A15" s="303"/>
      <c r="B15" s="304"/>
      <c r="C15" s="88" t="s">
        <v>2</v>
      </c>
      <c r="D15" s="88" t="s">
        <v>303</v>
      </c>
      <c r="E15" s="306">
        <v>847</v>
      </c>
      <c r="F15" s="306">
        <v>847.5</v>
      </c>
      <c r="G15" s="306">
        <v>844.6</v>
      </c>
      <c r="H15" s="306">
        <v>2.9</v>
      </c>
      <c r="I15" s="518" t="s">
        <v>106</v>
      </c>
      <c r="J15" s="519" t="s">
        <v>90</v>
      </c>
      <c r="K15" s="520" t="s">
        <v>379</v>
      </c>
      <c r="L15" s="520" t="s">
        <v>310</v>
      </c>
      <c r="M15" s="521" t="s">
        <v>659</v>
      </c>
    </row>
    <row r="16" spans="1:13" ht="38.25" x14ac:dyDescent="0.2">
      <c r="A16" s="303"/>
      <c r="B16" s="304"/>
      <c r="C16" s="88"/>
      <c r="D16" s="88"/>
      <c r="E16" s="456">
        <v>0</v>
      </c>
      <c r="F16" s="456">
        <v>0</v>
      </c>
      <c r="G16" s="456">
        <v>0</v>
      </c>
      <c r="H16" s="456">
        <v>0</v>
      </c>
      <c r="I16" s="305" t="s">
        <v>92</v>
      </c>
      <c r="J16" s="88" t="s">
        <v>90</v>
      </c>
      <c r="K16" s="402" t="s">
        <v>492</v>
      </c>
      <c r="L16" s="402" t="s">
        <v>493</v>
      </c>
      <c r="M16" s="417" t="s">
        <v>660</v>
      </c>
    </row>
    <row r="17" spans="1:13" ht="63.75" x14ac:dyDescent="0.2">
      <c r="A17" s="303"/>
      <c r="B17" s="304"/>
      <c r="C17" s="88"/>
      <c r="D17" s="88"/>
      <c r="E17" s="456">
        <v>0</v>
      </c>
      <c r="F17" s="456">
        <v>0</v>
      </c>
      <c r="G17" s="456">
        <v>0</v>
      </c>
      <c r="H17" s="456">
        <v>0</v>
      </c>
      <c r="I17" s="305" t="s">
        <v>89</v>
      </c>
      <c r="J17" s="88" t="s">
        <v>90</v>
      </c>
      <c r="K17" s="402" t="s">
        <v>494</v>
      </c>
      <c r="L17" s="402" t="s">
        <v>495</v>
      </c>
      <c r="M17" s="418" t="s">
        <v>661</v>
      </c>
    </row>
    <row r="18" spans="1:13" ht="25.5" x14ac:dyDescent="0.2">
      <c r="A18" s="303"/>
      <c r="B18" s="304"/>
      <c r="C18" s="88"/>
      <c r="D18" s="88"/>
      <c r="E18" s="456">
        <v>0</v>
      </c>
      <c r="F18" s="456">
        <v>0</v>
      </c>
      <c r="G18" s="456">
        <v>0</v>
      </c>
      <c r="H18" s="456">
        <v>0</v>
      </c>
      <c r="I18" s="305" t="s">
        <v>94</v>
      </c>
      <c r="J18" s="88" t="s">
        <v>90</v>
      </c>
      <c r="K18" s="402" t="s">
        <v>496</v>
      </c>
      <c r="L18" s="402" t="s">
        <v>497</v>
      </c>
      <c r="M18" s="419" t="s">
        <v>498</v>
      </c>
    </row>
    <row r="19" spans="1:13" ht="114" customHeight="1" thickBot="1" x14ac:dyDescent="0.25">
      <c r="A19" s="303"/>
      <c r="B19" s="304"/>
      <c r="C19" s="88"/>
      <c r="D19" s="88"/>
      <c r="E19" s="456">
        <v>0</v>
      </c>
      <c r="F19" s="456">
        <v>0</v>
      </c>
      <c r="G19" s="456">
        <v>0</v>
      </c>
      <c r="H19" s="456">
        <v>0</v>
      </c>
      <c r="I19" s="518" t="s">
        <v>40</v>
      </c>
      <c r="J19" s="519" t="s">
        <v>95</v>
      </c>
      <c r="K19" s="520" t="s">
        <v>499</v>
      </c>
      <c r="L19" s="520" t="s">
        <v>305</v>
      </c>
      <c r="M19" s="521" t="s">
        <v>662</v>
      </c>
    </row>
    <row r="20" spans="1:13" ht="39" thickBot="1" x14ac:dyDescent="0.25">
      <c r="A20" s="313" t="s">
        <v>108</v>
      </c>
      <c r="B20" s="314" t="s">
        <v>109</v>
      </c>
      <c r="C20" s="72"/>
      <c r="D20" s="72"/>
      <c r="E20" s="316">
        <f>SUM(E21:E21)</f>
        <v>75.400000000000006</v>
      </c>
      <c r="F20" s="316">
        <f>SUM(F21:F21)</f>
        <v>85.4</v>
      </c>
      <c r="G20" s="316">
        <f>SUM(G21:G21)</f>
        <v>84.9</v>
      </c>
      <c r="H20" s="316">
        <f>SUM(H21:H21)</f>
        <v>0.5</v>
      </c>
      <c r="I20" s="315"/>
      <c r="J20" s="72"/>
      <c r="K20" s="404"/>
      <c r="L20" s="404"/>
      <c r="M20" s="317"/>
    </row>
    <row r="21" spans="1:13" ht="51.75" thickBot="1" x14ac:dyDescent="0.25">
      <c r="A21" s="313" t="s">
        <v>315</v>
      </c>
      <c r="B21" s="314" t="s">
        <v>110</v>
      </c>
      <c r="C21" s="72" t="s">
        <v>2</v>
      </c>
      <c r="D21" s="72" t="s">
        <v>303</v>
      </c>
      <c r="E21" s="318">
        <v>75.400000000000006</v>
      </c>
      <c r="F21" s="318">
        <v>85.4</v>
      </c>
      <c r="G21" s="318">
        <v>84.9</v>
      </c>
      <c r="H21" s="318">
        <v>0.5</v>
      </c>
      <c r="I21" s="315" t="s">
        <v>111</v>
      </c>
      <c r="J21" s="72" t="s">
        <v>90</v>
      </c>
      <c r="K21" s="404" t="s">
        <v>316</v>
      </c>
      <c r="L21" s="404" t="s">
        <v>316</v>
      </c>
      <c r="M21" s="420" t="s">
        <v>620</v>
      </c>
    </row>
    <row r="22" spans="1:13" ht="26.25" thickBot="1" x14ac:dyDescent="0.25">
      <c r="A22" s="313" t="s">
        <v>113</v>
      </c>
      <c r="B22" s="314" t="s">
        <v>52</v>
      </c>
      <c r="C22" s="72"/>
      <c r="D22" s="72"/>
      <c r="E22" s="316">
        <f>SUM(E23:E23)</f>
        <v>140</v>
      </c>
      <c r="F22" s="316">
        <f>SUM(F23:F23)</f>
        <v>148.6</v>
      </c>
      <c r="G22" s="316">
        <f>SUM(G23:G23)</f>
        <v>102.9</v>
      </c>
      <c r="H22" s="316">
        <f>SUM(H23:H23)</f>
        <v>45.7</v>
      </c>
      <c r="I22" s="315"/>
      <c r="J22" s="72"/>
      <c r="K22" s="404"/>
      <c r="L22" s="404"/>
      <c r="M22" s="317"/>
    </row>
    <row r="23" spans="1:13" ht="168" customHeight="1" x14ac:dyDescent="0.2">
      <c r="A23" s="464" t="s">
        <v>318</v>
      </c>
      <c r="B23" s="463" t="s">
        <v>52</v>
      </c>
      <c r="C23" s="72"/>
      <c r="D23" s="72"/>
      <c r="E23" s="316">
        <f>SUM(E24:E25)</f>
        <v>140</v>
      </c>
      <c r="F23" s="316">
        <f>SUM(F24:F25)</f>
        <v>148.6</v>
      </c>
      <c r="G23" s="316">
        <f>SUM(G24:G25)</f>
        <v>102.9</v>
      </c>
      <c r="H23" s="316">
        <f>SUM(H24:H25)</f>
        <v>45.7</v>
      </c>
      <c r="I23" s="458" t="s">
        <v>500</v>
      </c>
      <c r="J23" s="459" t="s">
        <v>90</v>
      </c>
      <c r="K23" s="486" t="s">
        <v>323</v>
      </c>
      <c r="L23" s="486" t="s">
        <v>310</v>
      </c>
      <c r="M23" s="507" t="s">
        <v>663</v>
      </c>
    </row>
    <row r="24" spans="1:13" ht="140.25" x14ac:dyDescent="0.2">
      <c r="A24" s="303"/>
      <c r="B24" s="304"/>
      <c r="C24" s="88" t="s">
        <v>2</v>
      </c>
      <c r="D24" s="88" t="s">
        <v>303</v>
      </c>
      <c r="E24" s="306">
        <v>140</v>
      </c>
      <c r="F24" s="306">
        <v>148.6</v>
      </c>
      <c r="G24" s="306">
        <v>102.9</v>
      </c>
      <c r="H24" s="306">
        <v>45.7</v>
      </c>
      <c r="I24" s="518" t="s">
        <v>501</v>
      </c>
      <c r="J24" s="519" t="s">
        <v>90</v>
      </c>
      <c r="K24" s="520" t="s">
        <v>502</v>
      </c>
      <c r="L24" s="520" t="s">
        <v>319</v>
      </c>
      <c r="M24" s="521" t="s">
        <v>664</v>
      </c>
    </row>
    <row r="25" spans="1:13" ht="77.25" thickBot="1" x14ac:dyDescent="0.25">
      <c r="A25" s="303"/>
      <c r="B25" s="304"/>
      <c r="C25" s="88"/>
      <c r="D25" s="88"/>
      <c r="E25" s="306">
        <v>0</v>
      </c>
      <c r="F25" s="306">
        <v>0</v>
      </c>
      <c r="G25" s="306">
        <v>0</v>
      </c>
      <c r="H25" s="306">
        <v>0</v>
      </c>
      <c r="I25" s="305" t="s">
        <v>503</v>
      </c>
      <c r="J25" s="88" t="s">
        <v>90</v>
      </c>
      <c r="K25" s="402" t="s">
        <v>308</v>
      </c>
      <c r="L25" s="402" t="s">
        <v>308</v>
      </c>
      <c r="M25" s="421" t="s">
        <v>665</v>
      </c>
    </row>
    <row r="26" spans="1:13" ht="40.5" customHeight="1" thickBot="1" x14ac:dyDescent="0.25">
      <c r="A26" s="313" t="s">
        <v>123</v>
      </c>
      <c r="B26" s="314" t="s">
        <v>650</v>
      </c>
      <c r="C26" s="72"/>
      <c r="D26" s="72"/>
      <c r="E26" s="316">
        <f>SUM(E27:E27)</f>
        <v>82.5</v>
      </c>
      <c r="F26" s="316">
        <f>SUM(F27:F27)</f>
        <v>82.5</v>
      </c>
      <c r="G26" s="316">
        <f>SUM(G27:G27)</f>
        <v>77.5</v>
      </c>
      <c r="H26" s="316">
        <f>SUM(H27:H27)</f>
        <v>5</v>
      </c>
      <c r="I26" s="315"/>
      <c r="J26" s="72"/>
      <c r="K26" s="404"/>
      <c r="L26" s="404"/>
      <c r="M26" s="317"/>
    </row>
    <row r="27" spans="1:13" ht="76.5" customHeight="1" x14ac:dyDescent="0.2">
      <c r="A27" s="313" t="s">
        <v>327</v>
      </c>
      <c r="B27" s="314" t="s">
        <v>53</v>
      </c>
      <c r="C27" s="72"/>
      <c r="D27" s="72"/>
      <c r="E27" s="316">
        <f>SUM(E28:E31)</f>
        <v>82.5</v>
      </c>
      <c r="F27" s="316">
        <f>SUM(F28:F31)</f>
        <v>82.5</v>
      </c>
      <c r="G27" s="316">
        <f>SUM(G28:G31)</f>
        <v>77.5</v>
      </c>
      <c r="H27" s="316">
        <f>SUM(H28:H31)</f>
        <v>5</v>
      </c>
      <c r="I27" s="522" t="s">
        <v>129</v>
      </c>
      <c r="J27" s="523" t="s">
        <v>90</v>
      </c>
      <c r="K27" s="524" t="s">
        <v>310</v>
      </c>
      <c r="L27" s="524" t="s">
        <v>504</v>
      </c>
      <c r="M27" s="507" t="s">
        <v>666</v>
      </c>
    </row>
    <row r="28" spans="1:13" ht="25.5" x14ac:dyDescent="0.2">
      <c r="A28" s="303"/>
      <c r="B28" s="304"/>
      <c r="C28" s="88" t="s">
        <v>37</v>
      </c>
      <c r="D28" s="88" t="s">
        <v>321</v>
      </c>
      <c r="E28" s="306">
        <v>32.5</v>
      </c>
      <c r="F28" s="306">
        <v>32.5</v>
      </c>
      <c r="G28" s="306">
        <v>32.5</v>
      </c>
      <c r="H28" s="306">
        <v>0</v>
      </c>
      <c r="I28" s="305" t="s">
        <v>505</v>
      </c>
      <c r="J28" s="88" t="s">
        <v>90</v>
      </c>
      <c r="K28" s="402" t="s">
        <v>319</v>
      </c>
      <c r="L28" s="402" t="s">
        <v>319</v>
      </c>
      <c r="M28" s="422" t="s">
        <v>506</v>
      </c>
    </row>
    <row r="29" spans="1:13" ht="76.5" x14ac:dyDescent="0.2">
      <c r="A29" s="303"/>
      <c r="B29" s="304"/>
      <c r="C29" s="88" t="s">
        <v>2</v>
      </c>
      <c r="D29" s="88" t="s">
        <v>303</v>
      </c>
      <c r="E29" s="306">
        <v>50</v>
      </c>
      <c r="F29" s="306">
        <v>50</v>
      </c>
      <c r="G29" s="306">
        <v>45</v>
      </c>
      <c r="H29" s="306">
        <v>5</v>
      </c>
      <c r="I29" s="305" t="s">
        <v>507</v>
      </c>
      <c r="J29" s="88" t="s">
        <v>90</v>
      </c>
      <c r="K29" s="402" t="s">
        <v>319</v>
      </c>
      <c r="L29" s="402" t="s">
        <v>319</v>
      </c>
      <c r="M29" s="422" t="s">
        <v>667</v>
      </c>
    </row>
    <row r="30" spans="1:13" ht="38.25" x14ac:dyDescent="0.2">
      <c r="A30" s="303"/>
      <c r="B30" s="304"/>
      <c r="C30" s="88"/>
      <c r="D30" s="88"/>
      <c r="E30" s="456">
        <v>0</v>
      </c>
      <c r="F30" s="456">
        <v>0</v>
      </c>
      <c r="G30" s="456">
        <v>0</v>
      </c>
      <c r="H30" s="456">
        <v>0</v>
      </c>
      <c r="I30" s="305" t="s">
        <v>131</v>
      </c>
      <c r="J30" s="88" t="s">
        <v>79</v>
      </c>
      <c r="K30" s="402" t="s">
        <v>328</v>
      </c>
      <c r="L30" s="402" t="s">
        <v>328</v>
      </c>
      <c r="M30" s="422" t="s">
        <v>668</v>
      </c>
    </row>
    <row r="31" spans="1:13" ht="39" thickBot="1" x14ac:dyDescent="0.25">
      <c r="A31" s="303"/>
      <c r="B31" s="304"/>
      <c r="C31" s="88"/>
      <c r="D31" s="88"/>
      <c r="E31" s="456">
        <v>0</v>
      </c>
      <c r="F31" s="456">
        <v>0</v>
      </c>
      <c r="G31" s="456">
        <v>0</v>
      </c>
      <c r="H31" s="456">
        <v>0</v>
      </c>
      <c r="I31" s="305" t="s">
        <v>134</v>
      </c>
      <c r="J31" s="88" t="s">
        <v>90</v>
      </c>
      <c r="K31" s="402" t="s">
        <v>326</v>
      </c>
      <c r="L31" s="402" t="s">
        <v>326</v>
      </c>
      <c r="M31" s="422" t="s">
        <v>669</v>
      </c>
    </row>
    <row r="32" spans="1:13" ht="26.25" thickBot="1" x14ac:dyDescent="0.25">
      <c r="A32" s="313" t="s">
        <v>508</v>
      </c>
      <c r="B32" s="314" t="s">
        <v>509</v>
      </c>
      <c r="C32" s="72"/>
      <c r="D32" s="72"/>
      <c r="E32" s="316">
        <f>E33+E37+E40+E41+E42</f>
        <v>1088</v>
      </c>
      <c r="F32" s="316">
        <f>F33+F37+F40+F41+F42</f>
        <v>846.7</v>
      </c>
      <c r="G32" s="316">
        <f>G33+G37+G40+G41+G42</f>
        <v>593</v>
      </c>
      <c r="H32" s="316">
        <f>H33+H37+H40+H41+H42</f>
        <v>253.70000000000002</v>
      </c>
      <c r="I32" s="315"/>
      <c r="J32" s="72"/>
      <c r="K32" s="404"/>
      <c r="L32" s="404"/>
      <c r="M32" s="317"/>
    </row>
    <row r="33" spans="1:13" ht="57" customHeight="1" x14ac:dyDescent="0.2">
      <c r="A33" s="464" t="s">
        <v>313</v>
      </c>
      <c r="B33" s="463" t="s">
        <v>702</v>
      </c>
      <c r="C33" s="72" t="s">
        <v>2</v>
      </c>
      <c r="D33" s="72" t="s">
        <v>303</v>
      </c>
      <c r="E33" s="316">
        <f>SUM(E34:E36)+700</f>
        <v>700</v>
      </c>
      <c r="F33" s="316">
        <f>SUM(F34:F36)+417.9</f>
        <v>417.9</v>
      </c>
      <c r="G33" s="316">
        <f>SUM(G34:G36)+234.6</f>
        <v>234.6</v>
      </c>
      <c r="H33" s="316">
        <f>SUM(H34:H36)+183.3</f>
        <v>183.3</v>
      </c>
      <c r="I33" s="315" t="s">
        <v>100</v>
      </c>
      <c r="J33" s="72" t="s">
        <v>79</v>
      </c>
      <c r="K33" s="404" t="s">
        <v>328</v>
      </c>
      <c r="L33" s="404" t="s">
        <v>328</v>
      </c>
      <c r="M33" s="423" t="s">
        <v>670</v>
      </c>
    </row>
    <row r="34" spans="1:13" ht="51" x14ac:dyDescent="0.2">
      <c r="A34" s="303"/>
      <c r="B34" s="304"/>
      <c r="C34" s="88"/>
      <c r="D34" s="88"/>
      <c r="E34" s="456">
        <v>0</v>
      </c>
      <c r="F34" s="456">
        <v>0</v>
      </c>
      <c r="G34" s="456">
        <v>0</v>
      </c>
      <c r="H34" s="456">
        <v>0</v>
      </c>
      <c r="I34" s="461" t="s">
        <v>510</v>
      </c>
      <c r="J34" s="462" t="s">
        <v>95</v>
      </c>
      <c r="K34" s="485" t="s">
        <v>511</v>
      </c>
      <c r="L34" s="485" t="s">
        <v>349</v>
      </c>
      <c r="M34" s="424" t="s">
        <v>671</v>
      </c>
    </row>
    <row r="35" spans="1:13" ht="25.5" x14ac:dyDescent="0.2">
      <c r="A35" s="303"/>
      <c r="B35" s="304"/>
      <c r="C35" s="88"/>
      <c r="D35" s="88"/>
      <c r="E35" s="456">
        <v>0</v>
      </c>
      <c r="F35" s="456">
        <v>0</v>
      </c>
      <c r="G35" s="456">
        <v>0</v>
      </c>
      <c r="H35" s="456">
        <v>0</v>
      </c>
      <c r="I35" s="461" t="s">
        <v>512</v>
      </c>
      <c r="J35" s="462" t="s">
        <v>90</v>
      </c>
      <c r="K35" s="485" t="s">
        <v>513</v>
      </c>
      <c r="L35" s="485" t="s">
        <v>514</v>
      </c>
      <c r="M35" s="424" t="s">
        <v>672</v>
      </c>
    </row>
    <row r="36" spans="1:13" ht="26.25" thickBot="1" x14ac:dyDescent="0.25">
      <c r="A36" s="303"/>
      <c r="B36" s="304"/>
      <c r="C36" s="88"/>
      <c r="D36" s="88"/>
      <c r="E36" s="456">
        <v>0</v>
      </c>
      <c r="F36" s="456">
        <v>0</v>
      </c>
      <c r="G36" s="456">
        <v>0</v>
      </c>
      <c r="H36" s="456">
        <v>0</v>
      </c>
      <c r="I36" s="461" t="s">
        <v>515</v>
      </c>
      <c r="J36" s="462" t="s">
        <v>90</v>
      </c>
      <c r="K36" s="485" t="s">
        <v>394</v>
      </c>
      <c r="L36" s="485" t="s">
        <v>516</v>
      </c>
      <c r="M36" s="424" t="s">
        <v>673</v>
      </c>
    </row>
    <row r="37" spans="1:13" ht="38.25" x14ac:dyDescent="0.2">
      <c r="A37" s="313" t="s">
        <v>517</v>
      </c>
      <c r="B37" s="314" t="s">
        <v>518</v>
      </c>
      <c r="C37" s="72"/>
      <c r="D37" s="72"/>
      <c r="E37" s="316">
        <f>SUM(E38:E39)</f>
        <v>250</v>
      </c>
      <c r="F37" s="316">
        <f>SUM(F38:F39)</f>
        <v>309.3</v>
      </c>
      <c r="G37" s="316">
        <f>SUM(G38:G39)</f>
        <v>250</v>
      </c>
      <c r="H37" s="316">
        <f>SUM(H38:H39)</f>
        <v>59.3</v>
      </c>
      <c r="I37" s="315" t="s">
        <v>519</v>
      </c>
      <c r="J37" s="72" t="s">
        <v>95</v>
      </c>
      <c r="K37" s="404" t="s">
        <v>326</v>
      </c>
      <c r="L37" s="404" t="s">
        <v>326</v>
      </c>
      <c r="M37" s="423" t="s">
        <v>632</v>
      </c>
    </row>
    <row r="38" spans="1:13" x14ac:dyDescent="0.2">
      <c r="A38" s="303"/>
      <c r="B38" s="304"/>
      <c r="C38" s="88" t="s">
        <v>2</v>
      </c>
      <c r="D38" s="88" t="s">
        <v>303</v>
      </c>
      <c r="E38" s="306">
        <v>0</v>
      </c>
      <c r="F38" s="306">
        <v>59.3</v>
      </c>
      <c r="G38" s="306">
        <v>59.3</v>
      </c>
      <c r="H38" s="306">
        <v>0</v>
      </c>
      <c r="I38" s="305"/>
      <c r="J38" s="88"/>
      <c r="K38" s="402"/>
      <c r="L38" s="402"/>
      <c r="M38" s="307"/>
    </row>
    <row r="39" spans="1:13" ht="13.5" thickBot="1" x14ac:dyDescent="0.25">
      <c r="A39" s="303"/>
      <c r="B39" s="304"/>
      <c r="C39" s="88" t="s">
        <v>20</v>
      </c>
      <c r="D39" s="88" t="s">
        <v>309</v>
      </c>
      <c r="E39" s="306">
        <v>250</v>
      </c>
      <c r="F39" s="306">
        <v>250</v>
      </c>
      <c r="G39" s="306">
        <v>190.7</v>
      </c>
      <c r="H39" s="306">
        <v>59.3</v>
      </c>
      <c r="I39" s="305"/>
      <c r="J39" s="88"/>
      <c r="K39" s="402"/>
      <c r="L39" s="402"/>
      <c r="M39" s="307"/>
    </row>
    <row r="40" spans="1:13" ht="13.5" thickBot="1" x14ac:dyDescent="0.25">
      <c r="A40" s="313" t="s">
        <v>521</v>
      </c>
      <c r="B40" s="314" t="s">
        <v>651</v>
      </c>
      <c r="C40" s="72" t="s">
        <v>2</v>
      </c>
      <c r="D40" s="72" t="s">
        <v>303</v>
      </c>
      <c r="E40" s="318">
        <v>73</v>
      </c>
      <c r="F40" s="318">
        <v>73</v>
      </c>
      <c r="G40" s="318">
        <v>73</v>
      </c>
      <c r="H40" s="318">
        <v>0</v>
      </c>
      <c r="I40" s="315" t="s">
        <v>522</v>
      </c>
      <c r="J40" s="72" t="s">
        <v>95</v>
      </c>
      <c r="K40" s="404" t="s">
        <v>326</v>
      </c>
      <c r="L40" s="404" t="s">
        <v>326</v>
      </c>
      <c r="M40" s="317" t="s">
        <v>523</v>
      </c>
    </row>
    <row r="41" spans="1:13" ht="51.75" thickBot="1" x14ac:dyDescent="0.25">
      <c r="A41" s="313" t="s">
        <v>524</v>
      </c>
      <c r="B41" s="314" t="s">
        <v>652</v>
      </c>
      <c r="C41" s="72" t="s">
        <v>2</v>
      </c>
      <c r="D41" s="72" t="s">
        <v>303</v>
      </c>
      <c r="E41" s="318">
        <v>65</v>
      </c>
      <c r="F41" s="318">
        <v>0</v>
      </c>
      <c r="G41" s="318">
        <v>0</v>
      </c>
      <c r="H41" s="318">
        <v>0</v>
      </c>
      <c r="I41" s="315" t="s">
        <v>522</v>
      </c>
      <c r="J41" s="72" t="s">
        <v>95</v>
      </c>
      <c r="K41" s="404" t="s">
        <v>146</v>
      </c>
      <c r="L41" s="404" t="s">
        <v>146</v>
      </c>
      <c r="M41" s="317" t="s">
        <v>674</v>
      </c>
    </row>
    <row r="42" spans="1:13" ht="26.25" thickBot="1" x14ac:dyDescent="0.25">
      <c r="A42" s="313" t="s">
        <v>611</v>
      </c>
      <c r="B42" s="314" t="s">
        <v>653</v>
      </c>
      <c r="C42" s="72" t="s">
        <v>2</v>
      </c>
      <c r="D42" s="72" t="s">
        <v>303</v>
      </c>
      <c r="E42" s="318">
        <v>0</v>
      </c>
      <c r="F42" s="318">
        <v>46.5</v>
      </c>
      <c r="G42" s="318">
        <v>35.4</v>
      </c>
      <c r="H42" s="318">
        <v>11.1</v>
      </c>
      <c r="I42" s="315" t="s">
        <v>520</v>
      </c>
      <c r="J42" s="72" t="s">
        <v>90</v>
      </c>
      <c r="K42" s="404" t="s">
        <v>326</v>
      </c>
      <c r="L42" s="404" t="s">
        <v>326</v>
      </c>
      <c r="M42" s="317" t="s">
        <v>633</v>
      </c>
    </row>
    <row r="43" spans="1:13" ht="39" thickBot="1" x14ac:dyDescent="0.25">
      <c r="A43" s="308" t="s">
        <v>136</v>
      </c>
      <c r="B43" s="309" t="s">
        <v>19</v>
      </c>
      <c r="C43" s="63"/>
      <c r="D43" s="63"/>
      <c r="E43" s="311">
        <f>E44+E102+E117+E126</f>
        <v>6340.8</v>
      </c>
      <c r="F43" s="311">
        <f>F44+F102+F117+F126</f>
        <v>6665.3</v>
      </c>
      <c r="G43" s="311">
        <f>G44+G102+G117+G126</f>
        <v>6135.8</v>
      </c>
      <c r="H43" s="311">
        <f>H44+H102+H117+H126</f>
        <v>529.5</v>
      </c>
      <c r="I43" s="310"/>
      <c r="J43" s="63"/>
      <c r="K43" s="403"/>
      <c r="L43" s="403"/>
      <c r="M43" s="312"/>
    </row>
    <row r="44" spans="1:13" ht="102" x14ac:dyDescent="0.2">
      <c r="A44" s="313" t="s">
        <v>137</v>
      </c>
      <c r="B44" s="314" t="s">
        <v>138</v>
      </c>
      <c r="C44" s="72"/>
      <c r="D44" s="72"/>
      <c r="E44" s="316">
        <f>E45+E46+E54+E63+E67+E74+E80+E83+E85+E91+E93+E100</f>
        <v>5563.1</v>
      </c>
      <c r="F44" s="316">
        <f>F45+F46+F54+F63+F67+F74+F80+F83+F85+F91+F93+F100</f>
        <v>5769.2</v>
      </c>
      <c r="G44" s="316">
        <f>G45+G46+G54+G63+G67+G74+G80+G83+G85+G91+G93+G100</f>
        <v>5476.0000000000009</v>
      </c>
      <c r="H44" s="316">
        <f>H45+H46+H54+H63+H67+H74+H80+H83+H85+H91+H93+H100</f>
        <v>293.2</v>
      </c>
      <c r="I44" s="315" t="s">
        <v>142</v>
      </c>
      <c r="J44" s="72" t="s">
        <v>82</v>
      </c>
      <c r="K44" s="404" t="s">
        <v>525</v>
      </c>
      <c r="L44" s="404" t="s">
        <v>526</v>
      </c>
      <c r="M44" s="425" t="s">
        <v>621</v>
      </c>
    </row>
    <row r="45" spans="1:13" ht="102.75" thickBot="1" x14ac:dyDescent="0.25">
      <c r="A45" s="303"/>
      <c r="B45" s="304"/>
      <c r="C45" s="88"/>
      <c r="D45" s="88"/>
      <c r="E45" s="456">
        <v>0</v>
      </c>
      <c r="F45" s="456">
        <v>0</v>
      </c>
      <c r="G45" s="456">
        <v>0</v>
      </c>
      <c r="H45" s="456">
        <v>0</v>
      </c>
      <c r="I45" s="305" t="s">
        <v>139</v>
      </c>
      <c r="J45" s="88" t="s">
        <v>90</v>
      </c>
      <c r="K45" s="402" t="s">
        <v>487</v>
      </c>
      <c r="L45" s="402" t="s">
        <v>527</v>
      </c>
      <c r="M45" s="426" t="s">
        <v>622</v>
      </c>
    </row>
    <row r="46" spans="1:13" ht="89.25" x14ac:dyDescent="0.2">
      <c r="A46" s="313" t="s">
        <v>147</v>
      </c>
      <c r="B46" s="314" t="s">
        <v>148</v>
      </c>
      <c r="C46" s="72"/>
      <c r="D46" s="72"/>
      <c r="E46" s="316">
        <f>SUM(E47:E53)</f>
        <v>773.5</v>
      </c>
      <c r="F46" s="316">
        <f>SUM(F47:F53)</f>
        <v>781.6</v>
      </c>
      <c r="G46" s="316">
        <f>SUM(G47:G53)-0.1</f>
        <v>732</v>
      </c>
      <c r="H46" s="316">
        <f>SUM(H47:H53)+0.1</f>
        <v>49.6</v>
      </c>
      <c r="I46" s="315" t="s">
        <v>142</v>
      </c>
      <c r="J46" s="72" t="s">
        <v>82</v>
      </c>
      <c r="K46" s="404" t="s">
        <v>528</v>
      </c>
      <c r="L46" s="404" t="s">
        <v>529</v>
      </c>
      <c r="M46" s="427" t="s">
        <v>675</v>
      </c>
    </row>
    <row r="47" spans="1:13" ht="81.75" customHeight="1" x14ac:dyDescent="0.2">
      <c r="A47" s="303"/>
      <c r="B47" s="304"/>
      <c r="C47" s="88" t="s">
        <v>178</v>
      </c>
      <c r="D47" s="88" t="s">
        <v>377</v>
      </c>
      <c r="E47" s="306">
        <v>0</v>
      </c>
      <c r="F47" s="306">
        <v>1</v>
      </c>
      <c r="G47" s="306">
        <v>1</v>
      </c>
      <c r="H47" s="306">
        <v>0</v>
      </c>
      <c r="I47" s="461" t="s">
        <v>530</v>
      </c>
      <c r="J47" s="462" t="s">
        <v>90</v>
      </c>
      <c r="K47" s="485" t="s">
        <v>531</v>
      </c>
      <c r="L47" s="485" t="s">
        <v>532</v>
      </c>
      <c r="M47" s="424" t="s">
        <v>623</v>
      </c>
    </row>
    <row r="48" spans="1:13" ht="25.5" x14ac:dyDescent="0.2">
      <c r="A48" s="303"/>
      <c r="B48" s="304"/>
      <c r="C48" s="88" t="s">
        <v>533</v>
      </c>
      <c r="D48" s="88" t="s">
        <v>534</v>
      </c>
      <c r="E48" s="306">
        <v>4.5</v>
      </c>
      <c r="F48" s="306">
        <v>4.5</v>
      </c>
      <c r="G48" s="306">
        <v>4.5</v>
      </c>
      <c r="H48" s="306">
        <v>0</v>
      </c>
      <c r="I48" s="305" t="s">
        <v>535</v>
      </c>
      <c r="J48" s="88" t="s">
        <v>95</v>
      </c>
      <c r="K48" s="402" t="s">
        <v>326</v>
      </c>
      <c r="L48" s="402" t="s">
        <v>326</v>
      </c>
      <c r="M48" s="307" t="s">
        <v>613</v>
      </c>
    </row>
    <row r="49" spans="1:13" ht="25.5" x14ac:dyDescent="0.2">
      <c r="A49" s="303"/>
      <c r="B49" s="304"/>
      <c r="C49" s="88" t="s">
        <v>25</v>
      </c>
      <c r="D49" s="88" t="s">
        <v>339</v>
      </c>
      <c r="E49" s="306">
        <v>4.5999999999999996</v>
      </c>
      <c r="F49" s="306">
        <v>4.5999999999999996</v>
      </c>
      <c r="G49" s="306">
        <v>4.5999999999999996</v>
      </c>
      <c r="H49" s="306">
        <v>0</v>
      </c>
      <c r="I49" s="305" t="s">
        <v>536</v>
      </c>
      <c r="J49" s="88" t="s">
        <v>90</v>
      </c>
      <c r="K49" s="402" t="s">
        <v>326</v>
      </c>
      <c r="L49" s="402" t="s">
        <v>326</v>
      </c>
      <c r="M49" s="307" t="s">
        <v>614</v>
      </c>
    </row>
    <row r="50" spans="1:13" x14ac:dyDescent="0.2">
      <c r="A50" s="303"/>
      <c r="B50" s="304"/>
      <c r="C50" s="88" t="s">
        <v>2</v>
      </c>
      <c r="D50" s="88" t="s">
        <v>303</v>
      </c>
      <c r="E50" s="306">
        <v>648</v>
      </c>
      <c r="F50" s="306">
        <v>655.1</v>
      </c>
      <c r="G50" s="306">
        <v>653.70000000000005</v>
      </c>
      <c r="H50" s="306">
        <v>1.4</v>
      </c>
      <c r="I50" s="305"/>
      <c r="J50" s="88"/>
      <c r="K50" s="402"/>
      <c r="L50" s="402"/>
      <c r="M50" s="307"/>
    </row>
    <row r="51" spans="1:13" x14ac:dyDescent="0.2">
      <c r="A51" s="303"/>
      <c r="B51" s="304"/>
      <c r="C51" s="88" t="s">
        <v>5</v>
      </c>
      <c r="D51" s="88" t="s">
        <v>334</v>
      </c>
      <c r="E51" s="306">
        <v>46</v>
      </c>
      <c r="F51" s="306">
        <v>46</v>
      </c>
      <c r="G51" s="306">
        <v>38.5</v>
      </c>
      <c r="H51" s="306">
        <v>7.5</v>
      </c>
      <c r="I51" s="305"/>
      <c r="J51" s="88"/>
      <c r="K51" s="402"/>
      <c r="L51" s="402"/>
      <c r="M51" s="307"/>
    </row>
    <row r="52" spans="1:13" x14ac:dyDescent="0.2">
      <c r="A52" s="303"/>
      <c r="B52" s="304"/>
      <c r="C52" s="88" t="s">
        <v>5</v>
      </c>
      <c r="D52" s="88" t="s">
        <v>337</v>
      </c>
      <c r="E52" s="306">
        <v>68</v>
      </c>
      <c r="F52" s="306">
        <v>68</v>
      </c>
      <c r="G52" s="306">
        <v>28</v>
      </c>
      <c r="H52" s="306">
        <v>40</v>
      </c>
      <c r="I52" s="305"/>
      <c r="J52" s="88"/>
      <c r="K52" s="402"/>
      <c r="L52" s="402"/>
      <c r="M52" s="307"/>
    </row>
    <row r="53" spans="1:13" ht="13.5" thickBot="1" x14ac:dyDescent="0.25">
      <c r="A53" s="303"/>
      <c r="B53" s="304"/>
      <c r="C53" s="88" t="s">
        <v>25</v>
      </c>
      <c r="D53" s="88" t="s">
        <v>338</v>
      </c>
      <c r="E53" s="306">
        <v>2.4</v>
      </c>
      <c r="F53" s="306">
        <v>2.4</v>
      </c>
      <c r="G53" s="306">
        <v>1.8</v>
      </c>
      <c r="H53" s="306">
        <v>0.6</v>
      </c>
      <c r="I53" s="305"/>
      <c r="J53" s="88"/>
      <c r="K53" s="402"/>
      <c r="L53" s="402"/>
      <c r="M53" s="307"/>
    </row>
    <row r="54" spans="1:13" ht="63.75" x14ac:dyDescent="0.2">
      <c r="A54" s="313" t="s">
        <v>150</v>
      </c>
      <c r="B54" s="314" t="s">
        <v>151</v>
      </c>
      <c r="C54" s="72"/>
      <c r="D54" s="72"/>
      <c r="E54" s="316">
        <f>SUM(E55:E62)</f>
        <v>1655.3</v>
      </c>
      <c r="F54" s="316">
        <f>SUM(F55:F62)</f>
        <v>1750.1999999999998</v>
      </c>
      <c r="G54" s="316">
        <f>SUM(G55:G62)</f>
        <v>1539.4</v>
      </c>
      <c r="H54" s="316">
        <f>SUM(H55:H62)</f>
        <v>210.8</v>
      </c>
      <c r="I54" s="315" t="s">
        <v>142</v>
      </c>
      <c r="J54" s="72" t="s">
        <v>82</v>
      </c>
      <c r="K54" s="404" t="s">
        <v>537</v>
      </c>
      <c r="L54" s="404" t="s">
        <v>538</v>
      </c>
      <c r="M54" s="428" t="s">
        <v>676</v>
      </c>
    </row>
    <row r="55" spans="1:13" ht="89.25" x14ac:dyDescent="0.2">
      <c r="A55" s="303"/>
      <c r="B55" s="304"/>
      <c r="C55" s="88" t="s">
        <v>25</v>
      </c>
      <c r="D55" s="88" t="s">
        <v>344</v>
      </c>
      <c r="E55" s="306">
        <v>9.6999999999999993</v>
      </c>
      <c r="F55" s="306">
        <v>9.6999999999999993</v>
      </c>
      <c r="G55" s="306">
        <v>0.6</v>
      </c>
      <c r="H55" s="306">
        <v>9.1</v>
      </c>
      <c r="I55" s="305" t="s">
        <v>530</v>
      </c>
      <c r="J55" s="88" t="s">
        <v>90</v>
      </c>
      <c r="K55" s="402" t="s">
        <v>539</v>
      </c>
      <c r="L55" s="402" t="s">
        <v>540</v>
      </c>
      <c r="M55" s="429" t="s">
        <v>677</v>
      </c>
    </row>
    <row r="56" spans="1:13" x14ac:dyDescent="0.2">
      <c r="A56" s="303"/>
      <c r="B56" s="304"/>
      <c r="C56" s="88" t="s">
        <v>5</v>
      </c>
      <c r="D56" s="88" t="s">
        <v>334</v>
      </c>
      <c r="E56" s="306">
        <v>8.6999999999999993</v>
      </c>
      <c r="F56" s="306">
        <v>8.6999999999999993</v>
      </c>
      <c r="G56" s="306">
        <v>0</v>
      </c>
      <c r="H56" s="306">
        <v>8.6999999999999993</v>
      </c>
      <c r="I56" s="305" t="s">
        <v>541</v>
      </c>
      <c r="J56" s="88" t="s">
        <v>79</v>
      </c>
      <c r="K56" s="402" t="s">
        <v>328</v>
      </c>
      <c r="L56" s="402" t="s">
        <v>328</v>
      </c>
      <c r="M56" s="307" t="s">
        <v>624</v>
      </c>
    </row>
    <row r="57" spans="1:13" ht="25.5" x14ac:dyDescent="0.2">
      <c r="A57" s="303"/>
      <c r="B57" s="304"/>
      <c r="C57" s="88" t="s">
        <v>533</v>
      </c>
      <c r="D57" s="88" t="s">
        <v>534</v>
      </c>
      <c r="E57" s="306">
        <v>13.4</v>
      </c>
      <c r="F57" s="306">
        <v>13.4</v>
      </c>
      <c r="G57" s="306">
        <v>13.4</v>
      </c>
      <c r="H57" s="306">
        <v>0</v>
      </c>
      <c r="I57" s="305" t="s">
        <v>535</v>
      </c>
      <c r="J57" s="88" t="s">
        <v>95</v>
      </c>
      <c r="K57" s="402" t="s">
        <v>326</v>
      </c>
      <c r="L57" s="402" t="s">
        <v>326</v>
      </c>
      <c r="M57" s="307" t="s">
        <v>542</v>
      </c>
    </row>
    <row r="58" spans="1:13" x14ac:dyDescent="0.2">
      <c r="A58" s="303"/>
      <c r="B58" s="304"/>
      <c r="C58" s="88" t="s">
        <v>2</v>
      </c>
      <c r="D58" s="88" t="s">
        <v>303</v>
      </c>
      <c r="E58" s="306">
        <v>1339.2</v>
      </c>
      <c r="F58" s="306">
        <v>1434.1</v>
      </c>
      <c r="G58" s="306">
        <v>1433.4</v>
      </c>
      <c r="H58" s="306">
        <v>0.7</v>
      </c>
      <c r="I58" s="305" t="s">
        <v>543</v>
      </c>
      <c r="J58" s="88" t="s">
        <v>95</v>
      </c>
      <c r="K58" s="402" t="s">
        <v>326</v>
      </c>
      <c r="L58" s="402" t="s">
        <v>326</v>
      </c>
      <c r="M58" s="307" t="s">
        <v>544</v>
      </c>
    </row>
    <row r="59" spans="1:13" x14ac:dyDescent="0.2">
      <c r="A59" s="303"/>
      <c r="B59" s="304"/>
      <c r="C59" s="88" t="s">
        <v>5</v>
      </c>
      <c r="D59" s="88" t="s">
        <v>345</v>
      </c>
      <c r="E59" s="306">
        <v>3.6</v>
      </c>
      <c r="F59" s="306">
        <v>3.6</v>
      </c>
      <c r="G59" s="306">
        <v>0</v>
      </c>
      <c r="H59" s="306">
        <v>3.6</v>
      </c>
      <c r="I59" s="305" t="s">
        <v>545</v>
      </c>
      <c r="J59" s="88" t="s">
        <v>95</v>
      </c>
      <c r="K59" s="402" t="s">
        <v>320</v>
      </c>
      <c r="L59" s="402" t="s">
        <v>320</v>
      </c>
      <c r="M59" s="307" t="s">
        <v>546</v>
      </c>
    </row>
    <row r="60" spans="1:13" x14ac:dyDescent="0.2">
      <c r="A60" s="303"/>
      <c r="B60" s="304"/>
      <c r="C60" s="88" t="s">
        <v>5</v>
      </c>
      <c r="D60" s="88" t="s">
        <v>337</v>
      </c>
      <c r="E60" s="306">
        <v>251</v>
      </c>
      <c r="F60" s="306">
        <v>251</v>
      </c>
      <c r="G60" s="306">
        <v>66</v>
      </c>
      <c r="H60" s="306">
        <v>185</v>
      </c>
      <c r="I60" s="305"/>
      <c r="J60" s="88"/>
      <c r="K60" s="402"/>
      <c r="L60" s="402"/>
      <c r="M60" s="307"/>
    </row>
    <row r="61" spans="1:13" x14ac:dyDescent="0.2">
      <c r="A61" s="303"/>
      <c r="B61" s="304"/>
      <c r="C61" s="88" t="s">
        <v>25</v>
      </c>
      <c r="D61" s="88" t="s">
        <v>339</v>
      </c>
      <c r="E61" s="306">
        <v>23.3</v>
      </c>
      <c r="F61" s="306">
        <v>23.3</v>
      </c>
      <c r="G61" s="306">
        <v>23</v>
      </c>
      <c r="H61" s="306">
        <v>0.3</v>
      </c>
      <c r="I61" s="305"/>
      <c r="J61" s="88"/>
      <c r="K61" s="402"/>
      <c r="L61" s="402"/>
      <c r="M61" s="307"/>
    </row>
    <row r="62" spans="1:13" ht="13.5" thickBot="1" x14ac:dyDescent="0.25">
      <c r="A62" s="303"/>
      <c r="B62" s="304"/>
      <c r="C62" s="88" t="s">
        <v>25</v>
      </c>
      <c r="D62" s="88" t="s">
        <v>338</v>
      </c>
      <c r="E62" s="306">
        <v>6.4</v>
      </c>
      <c r="F62" s="306">
        <v>6.4</v>
      </c>
      <c r="G62" s="306">
        <v>3</v>
      </c>
      <c r="H62" s="306">
        <v>3.4</v>
      </c>
      <c r="I62" s="305"/>
      <c r="J62" s="88"/>
      <c r="K62" s="402"/>
      <c r="L62" s="402"/>
      <c r="M62" s="307"/>
    </row>
    <row r="63" spans="1:13" ht="104.25" customHeight="1" x14ac:dyDescent="0.2">
      <c r="A63" s="313" t="s">
        <v>153</v>
      </c>
      <c r="B63" s="314" t="s">
        <v>7</v>
      </c>
      <c r="C63" s="72"/>
      <c r="D63" s="72"/>
      <c r="E63" s="316">
        <f>SUM(E64:E66)</f>
        <v>127.5</v>
      </c>
      <c r="F63" s="316">
        <f>SUM(F64:F66)</f>
        <v>128.5</v>
      </c>
      <c r="G63" s="316">
        <f>SUM(G64:G66)</f>
        <v>128.5</v>
      </c>
      <c r="H63" s="316">
        <f>SUM(H64:H66)</f>
        <v>0</v>
      </c>
      <c r="I63" s="315" t="s">
        <v>142</v>
      </c>
      <c r="J63" s="72" t="s">
        <v>82</v>
      </c>
      <c r="K63" s="404" t="s">
        <v>316</v>
      </c>
      <c r="L63" s="404" t="s">
        <v>547</v>
      </c>
      <c r="M63" s="430" t="s">
        <v>678</v>
      </c>
    </row>
    <row r="64" spans="1:13" ht="81.75" customHeight="1" x14ac:dyDescent="0.2">
      <c r="A64" s="303"/>
      <c r="B64" s="304"/>
      <c r="C64" s="88" t="s">
        <v>533</v>
      </c>
      <c r="D64" s="88" t="s">
        <v>534</v>
      </c>
      <c r="E64" s="306">
        <v>1.3</v>
      </c>
      <c r="F64" s="306">
        <v>1.3</v>
      </c>
      <c r="G64" s="306">
        <v>1.3</v>
      </c>
      <c r="H64" s="306">
        <v>0</v>
      </c>
      <c r="I64" s="461" t="s">
        <v>530</v>
      </c>
      <c r="J64" s="462" t="s">
        <v>90</v>
      </c>
      <c r="K64" s="485" t="s">
        <v>532</v>
      </c>
      <c r="L64" s="485" t="s">
        <v>548</v>
      </c>
      <c r="M64" s="525" t="s">
        <v>679</v>
      </c>
    </row>
    <row r="65" spans="1:13" ht="51" x14ac:dyDescent="0.2">
      <c r="A65" s="303"/>
      <c r="B65" s="304"/>
      <c r="C65" s="88" t="s">
        <v>2</v>
      </c>
      <c r="D65" s="88" t="s">
        <v>303</v>
      </c>
      <c r="E65" s="306">
        <v>126.2</v>
      </c>
      <c r="F65" s="306">
        <v>127.2</v>
      </c>
      <c r="G65" s="306">
        <v>127.2</v>
      </c>
      <c r="H65" s="306">
        <v>0</v>
      </c>
      <c r="I65" s="305" t="s">
        <v>549</v>
      </c>
      <c r="J65" s="88" t="s">
        <v>90</v>
      </c>
      <c r="K65" s="402" t="s">
        <v>363</v>
      </c>
      <c r="L65" s="402" t="s">
        <v>550</v>
      </c>
      <c r="M65" s="431" t="s">
        <v>551</v>
      </c>
    </row>
    <row r="66" spans="1:13" ht="77.25" thickBot="1" x14ac:dyDescent="0.25">
      <c r="A66" s="303"/>
      <c r="B66" s="304"/>
      <c r="C66" s="88"/>
      <c r="D66" s="88"/>
      <c r="E66" s="456">
        <v>0</v>
      </c>
      <c r="F66" s="456">
        <v>0</v>
      </c>
      <c r="G66" s="456">
        <v>0</v>
      </c>
      <c r="H66" s="456">
        <v>0</v>
      </c>
      <c r="I66" s="305" t="s">
        <v>552</v>
      </c>
      <c r="J66" s="88" t="s">
        <v>95</v>
      </c>
      <c r="K66" s="402" t="s">
        <v>502</v>
      </c>
      <c r="L66" s="402" t="s">
        <v>553</v>
      </c>
      <c r="M66" s="431" t="s">
        <v>554</v>
      </c>
    </row>
    <row r="67" spans="1:13" ht="38.25" x14ac:dyDescent="0.2">
      <c r="A67" s="313" t="s">
        <v>155</v>
      </c>
      <c r="B67" s="314" t="s">
        <v>54</v>
      </c>
      <c r="C67" s="72"/>
      <c r="D67" s="72"/>
      <c r="E67" s="316">
        <f>SUM(E68:E73)</f>
        <v>1248.4000000000001</v>
      </c>
      <c r="F67" s="316">
        <f>SUM(F68:F73)</f>
        <v>1274.4000000000001</v>
      </c>
      <c r="G67" s="316">
        <f>SUM(G68:G73)+0.1</f>
        <v>1270.5</v>
      </c>
      <c r="H67" s="316">
        <f>SUM(H68:H73)-0.1</f>
        <v>3.9</v>
      </c>
      <c r="I67" s="458" t="s">
        <v>555</v>
      </c>
      <c r="J67" s="459" t="s">
        <v>95</v>
      </c>
      <c r="K67" s="486" t="s">
        <v>556</v>
      </c>
      <c r="L67" s="486" t="s">
        <v>494</v>
      </c>
      <c r="M67" s="460" t="s">
        <v>680</v>
      </c>
    </row>
    <row r="68" spans="1:13" ht="63.75" x14ac:dyDescent="0.2">
      <c r="A68" s="303"/>
      <c r="B68" s="304"/>
      <c r="C68" s="88" t="s">
        <v>533</v>
      </c>
      <c r="D68" s="88" t="s">
        <v>557</v>
      </c>
      <c r="E68" s="306">
        <v>55.3</v>
      </c>
      <c r="F68" s="306">
        <v>55.3</v>
      </c>
      <c r="G68" s="306">
        <v>55.3</v>
      </c>
      <c r="H68" s="306">
        <v>0</v>
      </c>
      <c r="I68" s="305" t="s">
        <v>142</v>
      </c>
      <c r="J68" s="88" t="s">
        <v>82</v>
      </c>
      <c r="K68" s="402" t="s">
        <v>350</v>
      </c>
      <c r="L68" s="402" t="s">
        <v>558</v>
      </c>
      <c r="M68" s="432" t="s">
        <v>559</v>
      </c>
    </row>
    <row r="69" spans="1:13" ht="38.25" x14ac:dyDescent="0.2">
      <c r="A69" s="303"/>
      <c r="B69" s="304"/>
      <c r="C69" s="88" t="s">
        <v>533</v>
      </c>
      <c r="D69" s="88" t="s">
        <v>534</v>
      </c>
      <c r="E69" s="306">
        <v>14.7</v>
      </c>
      <c r="F69" s="306">
        <v>14.7</v>
      </c>
      <c r="G69" s="306">
        <v>14.7</v>
      </c>
      <c r="H69" s="306">
        <v>0</v>
      </c>
      <c r="I69" s="461" t="s">
        <v>157</v>
      </c>
      <c r="J69" s="462" t="s">
        <v>158</v>
      </c>
      <c r="K69" s="485" t="s">
        <v>560</v>
      </c>
      <c r="L69" s="485" t="s">
        <v>561</v>
      </c>
      <c r="M69" s="341" t="s">
        <v>562</v>
      </c>
    </row>
    <row r="70" spans="1:13" x14ac:dyDescent="0.2">
      <c r="A70" s="303"/>
      <c r="B70" s="304"/>
      <c r="C70" s="88" t="s">
        <v>2</v>
      </c>
      <c r="D70" s="88" t="s">
        <v>303</v>
      </c>
      <c r="E70" s="306">
        <v>1166.4000000000001</v>
      </c>
      <c r="F70" s="306">
        <v>1192.4000000000001</v>
      </c>
      <c r="G70" s="306">
        <v>1191.7</v>
      </c>
      <c r="H70" s="306">
        <v>0.7</v>
      </c>
      <c r="I70" s="305" t="s">
        <v>563</v>
      </c>
      <c r="J70" s="88" t="s">
        <v>90</v>
      </c>
      <c r="K70" s="402" t="s">
        <v>564</v>
      </c>
      <c r="L70" s="402" t="s">
        <v>565</v>
      </c>
      <c r="M70" s="307" t="s">
        <v>566</v>
      </c>
    </row>
    <row r="71" spans="1:13" ht="51" x14ac:dyDescent="0.2">
      <c r="A71" s="303"/>
      <c r="B71" s="304"/>
      <c r="C71" s="88" t="s">
        <v>5</v>
      </c>
      <c r="D71" s="88" t="s">
        <v>337</v>
      </c>
      <c r="E71" s="306">
        <v>12</v>
      </c>
      <c r="F71" s="306">
        <v>12</v>
      </c>
      <c r="G71" s="306">
        <v>8.6999999999999993</v>
      </c>
      <c r="H71" s="306">
        <v>3.3</v>
      </c>
      <c r="I71" s="305" t="s">
        <v>567</v>
      </c>
      <c r="J71" s="88" t="s">
        <v>90</v>
      </c>
      <c r="K71" s="402" t="s">
        <v>568</v>
      </c>
      <c r="L71" s="471">
        <v>1508</v>
      </c>
      <c r="M71" s="433" t="s">
        <v>681</v>
      </c>
    </row>
    <row r="72" spans="1:13" ht="25.5" x14ac:dyDescent="0.2">
      <c r="A72" s="303"/>
      <c r="B72" s="304"/>
      <c r="C72" s="88"/>
      <c r="D72" s="88"/>
      <c r="E72" s="456">
        <v>0</v>
      </c>
      <c r="F72" s="456">
        <v>0</v>
      </c>
      <c r="G72" s="456">
        <v>0</v>
      </c>
      <c r="H72" s="456">
        <v>0</v>
      </c>
      <c r="I72" s="305" t="s">
        <v>535</v>
      </c>
      <c r="J72" s="88" t="s">
        <v>95</v>
      </c>
      <c r="K72" s="402" t="s">
        <v>326</v>
      </c>
      <c r="L72" s="402" t="s">
        <v>326</v>
      </c>
      <c r="M72" s="307" t="s">
        <v>615</v>
      </c>
    </row>
    <row r="73" spans="1:13" ht="21.75" customHeight="1" thickBot="1" x14ac:dyDescent="0.25">
      <c r="A73" s="303"/>
      <c r="B73" s="304"/>
      <c r="C73" s="88"/>
      <c r="D73" s="88"/>
      <c r="E73" s="456">
        <v>0</v>
      </c>
      <c r="F73" s="456">
        <v>0</v>
      </c>
      <c r="G73" s="456">
        <v>0</v>
      </c>
      <c r="H73" s="456">
        <v>0</v>
      </c>
      <c r="I73" s="305" t="s">
        <v>354</v>
      </c>
      <c r="J73" s="88" t="s">
        <v>82</v>
      </c>
      <c r="K73" s="402" t="s">
        <v>569</v>
      </c>
      <c r="L73" s="402" t="s">
        <v>570</v>
      </c>
      <c r="M73" s="307" t="s">
        <v>625</v>
      </c>
    </row>
    <row r="74" spans="1:13" ht="76.5" x14ac:dyDescent="0.2">
      <c r="A74" s="464" t="s">
        <v>159</v>
      </c>
      <c r="B74" s="463" t="s">
        <v>160</v>
      </c>
      <c r="C74" s="72"/>
      <c r="D74" s="72"/>
      <c r="E74" s="316">
        <f>SUM(E75:E79)</f>
        <v>398.8</v>
      </c>
      <c r="F74" s="316">
        <f>SUM(F75:F79)</f>
        <v>409.8</v>
      </c>
      <c r="G74" s="316">
        <f>SUM(G75:G79)</f>
        <v>402.9</v>
      </c>
      <c r="H74" s="316">
        <f>SUM(H75:H79)</f>
        <v>6.9</v>
      </c>
      <c r="I74" s="315" t="s">
        <v>142</v>
      </c>
      <c r="J74" s="72" t="s">
        <v>82</v>
      </c>
      <c r="K74" s="404" t="s">
        <v>363</v>
      </c>
      <c r="L74" s="404" t="s">
        <v>571</v>
      </c>
      <c r="M74" s="434" t="s">
        <v>682</v>
      </c>
    </row>
    <row r="75" spans="1:13" ht="77.25" customHeight="1" x14ac:dyDescent="0.2">
      <c r="A75" s="303"/>
      <c r="B75" s="304"/>
      <c r="C75" s="88" t="s">
        <v>25</v>
      </c>
      <c r="D75" s="88" t="s">
        <v>339</v>
      </c>
      <c r="E75" s="306">
        <v>2.2999999999999998</v>
      </c>
      <c r="F75" s="306">
        <v>2.2999999999999998</v>
      </c>
      <c r="G75" s="306">
        <v>1.5</v>
      </c>
      <c r="H75" s="306">
        <v>0.8</v>
      </c>
      <c r="I75" s="461" t="s">
        <v>530</v>
      </c>
      <c r="J75" s="462" t="s">
        <v>90</v>
      </c>
      <c r="K75" s="485" t="s">
        <v>572</v>
      </c>
      <c r="L75" s="485" t="s">
        <v>573</v>
      </c>
      <c r="M75" s="526" t="s">
        <v>683</v>
      </c>
    </row>
    <row r="76" spans="1:13" ht="76.5" customHeight="1" x14ac:dyDescent="0.2">
      <c r="A76" s="303"/>
      <c r="B76" s="304"/>
      <c r="C76" s="88" t="s">
        <v>5</v>
      </c>
      <c r="D76" s="88" t="s">
        <v>334</v>
      </c>
      <c r="E76" s="306">
        <v>0.3</v>
      </c>
      <c r="F76" s="306">
        <v>0.3</v>
      </c>
      <c r="G76" s="306">
        <v>0</v>
      </c>
      <c r="H76" s="306">
        <v>0.3</v>
      </c>
      <c r="I76" s="461" t="s">
        <v>549</v>
      </c>
      <c r="J76" s="462" t="s">
        <v>90</v>
      </c>
      <c r="K76" s="485" t="s">
        <v>328</v>
      </c>
      <c r="L76" s="485" t="s">
        <v>574</v>
      </c>
      <c r="M76" s="527" t="s">
        <v>684</v>
      </c>
    </row>
    <row r="77" spans="1:13" ht="25.5" x14ac:dyDescent="0.2">
      <c r="A77" s="303"/>
      <c r="B77" s="304"/>
      <c r="C77" s="88" t="s">
        <v>533</v>
      </c>
      <c r="D77" s="88" t="s">
        <v>534</v>
      </c>
      <c r="E77" s="306">
        <v>2.6</v>
      </c>
      <c r="F77" s="306">
        <v>2.6</v>
      </c>
      <c r="G77" s="306">
        <v>2.6</v>
      </c>
      <c r="H77" s="306">
        <v>0</v>
      </c>
      <c r="I77" s="305" t="s">
        <v>575</v>
      </c>
      <c r="J77" s="88" t="s">
        <v>95</v>
      </c>
      <c r="K77" s="402" t="s">
        <v>324</v>
      </c>
      <c r="L77" s="402" t="s">
        <v>504</v>
      </c>
      <c r="M77" s="435" t="s">
        <v>685</v>
      </c>
    </row>
    <row r="78" spans="1:13" x14ac:dyDescent="0.2">
      <c r="A78" s="303"/>
      <c r="B78" s="304"/>
      <c r="C78" s="88" t="s">
        <v>2</v>
      </c>
      <c r="D78" s="88" t="s">
        <v>303</v>
      </c>
      <c r="E78" s="306">
        <v>387.3</v>
      </c>
      <c r="F78" s="306">
        <v>398.3</v>
      </c>
      <c r="G78" s="306">
        <v>397.9</v>
      </c>
      <c r="H78" s="306">
        <v>0.4</v>
      </c>
      <c r="I78" s="305"/>
      <c r="J78" s="88"/>
      <c r="K78" s="402"/>
      <c r="L78" s="402"/>
      <c r="M78" s="307"/>
    </row>
    <row r="79" spans="1:13" ht="13.5" thickBot="1" x14ac:dyDescent="0.25">
      <c r="A79" s="303"/>
      <c r="B79" s="304"/>
      <c r="C79" s="88" t="s">
        <v>5</v>
      </c>
      <c r="D79" s="88" t="s">
        <v>337</v>
      </c>
      <c r="E79" s="306">
        <v>6.3</v>
      </c>
      <c r="F79" s="306">
        <v>6.3</v>
      </c>
      <c r="G79" s="306">
        <v>0.9</v>
      </c>
      <c r="H79" s="306">
        <v>5.4</v>
      </c>
      <c r="I79" s="305"/>
      <c r="J79" s="88"/>
      <c r="K79" s="402"/>
      <c r="L79" s="402"/>
      <c r="M79" s="307"/>
    </row>
    <row r="80" spans="1:13" ht="132.75" customHeight="1" x14ac:dyDescent="0.2">
      <c r="A80" s="313" t="s">
        <v>169</v>
      </c>
      <c r="B80" s="314" t="s">
        <v>170</v>
      </c>
      <c r="C80" s="72" t="s">
        <v>2</v>
      </c>
      <c r="D80" s="72" t="s">
        <v>303</v>
      </c>
      <c r="E80" s="316">
        <f>SUM(E81:E82)+35.3</f>
        <v>35.299999999999997</v>
      </c>
      <c r="F80" s="316">
        <f>SUM(F81:F82)+35.3</f>
        <v>35.299999999999997</v>
      </c>
      <c r="G80" s="316">
        <f>SUM(G81:G82)+35.2</f>
        <v>35.200000000000003</v>
      </c>
      <c r="H80" s="316">
        <f>SUM(H81:H82)+0.1</f>
        <v>0.1</v>
      </c>
      <c r="I80" s="315" t="s">
        <v>55</v>
      </c>
      <c r="J80" s="72" t="s">
        <v>90</v>
      </c>
      <c r="K80" s="404" t="s">
        <v>363</v>
      </c>
      <c r="L80" s="375">
        <v>19</v>
      </c>
      <c r="M80" s="534" t="s">
        <v>686</v>
      </c>
    </row>
    <row r="81" spans="1:13" x14ac:dyDescent="0.2">
      <c r="A81" s="303"/>
      <c r="B81" s="304"/>
      <c r="C81" s="88"/>
      <c r="D81" s="88"/>
      <c r="E81" s="456">
        <v>0</v>
      </c>
      <c r="F81" s="456">
        <v>0</v>
      </c>
      <c r="G81" s="456">
        <v>0</v>
      </c>
      <c r="H81" s="456">
        <v>0</v>
      </c>
      <c r="I81" s="334" t="s">
        <v>56</v>
      </c>
      <c r="J81" s="335" t="s">
        <v>90</v>
      </c>
      <c r="K81" s="516" t="s">
        <v>553</v>
      </c>
      <c r="L81" s="516" t="s">
        <v>146</v>
      </c>
      <c r="M81" s="517" t="s">
        <v>642</v>
      </c>
    </row>
    <row r="82" spans="1:13" ht="166.5" thickBot="1" x14ac:dyDescent="0.25">
      <c r="A82" s="303"/>
      <c r="B82" s="304"/>
      <c r="C82" s="88"/>
      <c r="D82" s="88"/>
      <c r="E82" s="456">
        <v>0</v>
      </c>
      <c r="F82" s="456">
        <v>0</v>
      </c>
      <c r="G82" s="456">
        <v>0</v>
      </c>
      <c r="H82" s="456">
        <v>0</v>
      </c>
      <c r="I82" s="305" t="s">
        <v>576</v>
      </c>
      <c r="J82" s="88" t="s">
        <v>90</v>
      </c>
      <c r="K82" s="402" t="s">
        <v>553</v>
      </c>
      <c r="L82" s="402" t="s">
        <v>324</v>
      </c>
      <c r="M82" s="436" t="s">
        <v>626</v>
      </c>
    </row>
    <row r="83" spans="1:13" ht="39" hidden="1" thickBot="1" x14ac:dyDescent="0.25">
      <c r="A83" s="437" t="s">
        <v>364</v>
      </c>
      <c r="B83" s="438" t="s">
        <v>365</v>
      </c>
      <c r="C83" s="475" t="s">
        <v>2</v>
      </c>
      <c r="D83" s="475" t="s">
        <v>303</v>
      </c>
      <c r="E83" s="333">
        <f>SUM(E84:E84)</f>
        <v>0</v>
      </c>
      <c r="F83" s="333">
        <f>SUM(F84:F84)</f>
        <v>0</v>
      </c>
      <c r="G83" s="333">
        <f>SUM(G84:G84)</f>
        <v>0</v>
      </c>
      <c r="H83" s="333">
        <f>SUM(H84:H84)</f>
        <v>0</v>
      </c>
      <c r="I83" s="439" t="s">
        <v>366</v>
      </c>
      <c r="J83" s="440" t="s">
        <v>90</v>
      </c>
      <c r="K83" s="441" t="s">
        <v>146</v>
      </c>
      <c r="L83" s="441" t="s">
        <v>146</v>
      </c>
      <c r="M83" s="317"/>
    </row>
    <row r="84" spans="1:13" ht="13.5" hidden="1" thickBot="1" x14ac:dyDescent="0.25">
      <c r="A84" s="442"/>
      <c r="B84" s="443"/>
      <c r="C84" s="481"/>
      <c r="D84" s="481"/>
      <c r="E84" s="332">
        <v>0</v>
      </c>
      <c r="F84" s="332">
        <v>0</v>
      </c>
      <c r="G84" s="332">
        <v>0</v>
      </c>
      <c r="H84" s="332">
        <v>0</v>
      </c>
      <c r="I84" s="444" t="s">
        <v>368</v>
      </c>
      <c r="J84" s="445" t="s">
        <v>95</v>
      </c>
      <c r="K84" s="446" t="s">
        <v>146</v>
      </c>
      <c r="L84" s="446" t="s">
        <v>146</v>
      </c>
      <c r="M84" s="307"/>
    </row>
    <row r="85" spans="1:13" ht="102" x14ac:dyDescent="0.2">
      <c r="A85" s="313" t="s">
        <v>171</v>
      </c>
      <c r="B85" s="314" t="s">
        <v>172</v>
      </c>
      <c r="C85" s="72"/>
      <c r="D85" s="72"/>
      <c r="E85" s="316">
        <f>SUM(E86:E90)</f>
        <v>853.09999999999991</v>
      </c>
      <c r="F85" s="316">
        <f>SUM(F86:F90)</f>
        <v>876.09999999999991</v>
      </c>
      <c r="G85" s="316">
        <f>SUM(G86:G90)</f>
        <v>862.1</v>
      </c>
      <c r="H85" s="316">
        <f>SUM(H86:H90)</f>
        <v>14.000000000000002</v>
      </c>
      <c r="I85" s="315" t="s">
        <v>142</v>
      </c>
      <c r="J85" s="72" t="s">
        <v>456</v>
      </c>
      <c r="K85" s="404" t="s">
        <v>494</v>
      </c>
      <c r="L85" s="404" t="s">
        <v>577</v>
      </c>
      <c r="M85" s="448" t="s">
        <v>687</v>
      </c>
    </row>
    <row r="86" spans="1:13" ht="80.25" customHeight="1" x14ac:dyDescent="0.2">
      <c r="A86" s="303"/>
      <c r="B86" s="304"/>
      <c r="C86" s="88" t="s">
        <v>533</v>
      </c>
      <c r="D86" s="88" t="s">
        <v>534</v>
      </c>
      <c r="E86" s="306">
        <v>6.1</v>
      </c>
      <c r="F86" s="306">
        <v>6.1</v>
      </c>
      <c r="G86" s="306">
        <v>6.1</v>
      </c>
      <c r="H86" s="306">
        <v>0</v>
      </c>
      <c r="I86" s="461" t="s">
        <v>530</v>
      </c>
      <c r="J86" s="462" t="s">
        <v>90</v>
      </c>
      <c r="K86" s="485" t="s">
        <v>404</v>
      </c>
      <c r="L86" s="485" t="s">
        <v>550</v>
      </c>
      <c r="M86" s="424" t="s">
        <v>688</v>
      </c>
    </row>
    <row r="87" spans="1:13" ht="89.25" x14ac:dyDescent="0.2">
      <c r="A87" s="303"/>
      <c r="B87" s="304"/>
      <c r="C87" s="88" t="s">
        <v>5</v>
      </c>
      <c r="D87" s="88" t="s">
        <v>337</v>
      </c>
      <c r="E87" s="306">
        <v>30</v>
      </c>
      <c r="F87" s="306">
        <v>30</v>
      </c>
      <c r="G87" s="306">
        <v>17.7</v>
      </c>
      <c r="H87" s="306">
        <v>12.3</v>
      </c>
      <c r="I87" s="305" t="s">
        <v>549</v>
      </c>
      <c r="J87" s="88" t="s">
        <v>90</v>
      </c>
      <c r="K87" s="402" t="s">
        <v>578</v>
      </c>
      <c r="L87" s="402" t="s">
        <v>579</v>
      </c>
      <c r="M87" s="449" t="s">
        <v>689</v>
      </c>
    </row>
    <row r="88" spans="1:13" ht="76.5" x14ac:dyDescent="0.2">
      <c r="A88" s="303"/>
      <c r="B88" s="304"/>
      <c r="C88" s="88" t="s">
        <v>25</v>
      </c>
      <c r="D88" s="88" t="s">
        <v>339</v>
      </c>
      <c r="E88" s="306">
        <v>4.9000000000000004</v>
      </c>
      <c r="F88" s="306">
        <v>4.9000000000000004</v>
      </c>
      <c r="G88" s="306">
        <v>4.9000000000000004</v>
      </c>
      <c r="H88" s="306">
        <v>0</v>
      </c>
      <c r="I88" s="305" t="s">
        <v>535</v>
      </c>
      <c r="J88" s="88" t="s">
        <v>95</v>
      </c>
      <c r="K88" s="402" t="s">
        <v>326</v>
      </c>
      <c r="L88" s="402" t="s">
        <v>326</v>
      </c>
      <c r="M88" s="450" t="s">
        <v>690</v>
      </c>
    </row>
    <row r="89" spans="1:13" ht="89.25" x14ac:dyDescent="0.2">
      <c r="A89" s="303"/>
      <c r="B89" s="304"/>
      <c r="C89" s="88" t="s">
        <v>5</v>
      </c>
      <c r="D89" s="88" t="s">
        <v>334</v>
      </c>
      <c r="E89" s="306">
        <v>0.3</v>
      </c>
      <c r="F89" s="306">
        <v>0.3</v>
      </c>
      <c r="G89" s="306">
        <v>0</v>
      </c>
      <c r="H89" s="306">
        <v>0.3</v>
      </c>
      <c r="I89" s="305" t="s">
        <v>580</v>
      </c>
      <c r="J89" s="88" t="s">
        <v>95</v>
      </c>
      <c r="K89" s="402" t="s">
        <v>326</v>
      </c>
      <c r="L89" s="402" t="s">
        <v>326</v>
      </c>
      <c r="M89" s="451" t="s">
        <v>627</v>
      </c>
    </row>
    <row r="90" spans="1:13" ht="13.5" thickBot="1" x14ac:dyDescent="0.25">
      <c r="A90" s="303"/>
      <c r="B90" s="304"/>
      <c r="C90" s="88" t="s">
        <v>2</v>
      </c>
      <c r="D90" s="88" t="s">
        <v>303</v>
      </c>
      <c r="E90" s="306">
        <v>811.8</v>
      </c>
      <c r="F90" s="306">
        <v>834.8</v>
      </c>
      <c r="G90" s="306">
        <v>833.4</v>
      </c>
      <c r="H90" s="306">
        <v>1.4</v>
      </c>
      <c r="I90" s="305"/>
      <c r="J90" s="88"/>
      <c r="K90" s="402"/>
      <c r="L90" s="402"/>
      <c r="M90" s="307"/>
    </row>
    <row r="91" spans="1:13" ht="51.75" hidden="1" thickBot="1" x14ac:dyDescent="0.25">
      <c r="A91" s="437" t="s">
        <v>173</v>
      </c>
      <c r="B91" s="438" t="s">
        <v>174</v>
      </c>
      <c r="C91" s="475" t="s">
        <v>2</v>
      </c>
      <c r="D91" s="475" t="s">
        <v>303</v>
      </c>
      <c r="E91" s="333">
        <f>SUM(E92:E92)</f>
        <v>0</v>
      </c>
      <c r="F91" s="333">
        <f>SUM(F92:F92)</f>
        <v>0</v>
      </c>
      <c r="G91" s="333">
        <f>SUM(G92:G92)</f>
        <v>0</v>
      </c>
      <c r="H91" s="333">
        <f>SUM(H92:H92)</f>
        <v>0</v>
      </c>
      <c r="I91" s="439" t="s">
        <v>175</v>
      </c>
      <c r="J91" s="440" t="s">
        <v>90</v>
      </c>
      <c r="K91" s="441" t="s">
        <v>146</v>
      </c>
      <c r="L91" s="441" t="s">
        <v>146</v>
      </c>
      <c r="M91" s="317"/>
    </row>
    <row r="92" spans="1:13" ht="13.5" hidden="1" thickBot="1" x14ac:dyDescent="0.25">
      <c r="A92" s="442"/>
      <c r="B92" s="443"/>
      <c r="C92" s="481"/>
      <c r="D92" s="481"/>
      <c r="E92" s="332">
        <v>0</v>
      </c>
      <c r="F92" s="332">
        <v>0</v>
      </c>
      <c r="G92" s="332">
        <v>0</v>
      </c>
      <c r="H92" s="332">
        <v>0</v>
      </c>
      <c r="I92" s="444" t="s">
        <v>227</v>
      </c>
      <c r="J92" s="445" t="s">
        <v>95</v>
      </c>
      <c r="K92" s="446" t="s">
        <v>146</v>
      </c>
      <c r="L92" s="446" t="s">
        <v>146</v>
      </c>
      <c r="M92" s="307"/>
    </row>
    <row r="93" spans="1:13" ht="51" x14ac:dyDescent="0.2">
      <c r="A93" s="313" t="s">
        <v>177</v>
      </c>
      <c r="B93" s="314" t="s">
        <v>8</v>
      </c>
      <c r="C93" s="72"/>
      <c r="D93" s="72"/>
      <c r="E93" s="316">
        <f>SUM(E94:E99)</f>
        <v>428.59999999999997</v>
      </c>
      <c r="F93" s="316">
        <f>SUM(F94:F99)</f>
        <v>470.7</v>
      </c>
      <c r="G93" s="316">
        <f>SUM(G94:G99)</f>
        <v>462.8</v>
      </c>
      <c r="H93" s="316">
        <f>SUM(H94:H99)</f>
        <v>7.9</v>
      </c>
      <c r="I93" s="315" t="s">
        <v>142</v>
      </c>
      <c r="J93" s="72" t="s">
        <v>82</v>
      </c>
      <c r="K93" s="404" t="s">
        <v>581</v>
      </c>
      <c r="L93" s="404" t="s">
        <v>582</v>
      </c>
      <c r="M93" s="452" t="s">
        <v>691</v>
      </c>
    </row>
    <row r="94" spans="1:13" ht="95.25" customHeight="1" x14ac:dyDescent="0.2">
      <c r="A94" s="303"/>
      <c r="B94" s="304"/>
      <c r="C94" s="88" t="s">
        <v>5</v>
      </c>
      <c r="D94" s="88" t="s">
        <v>337</v>
      </c>
      <c r="E94" s="306">
        <v>5</v>
      </c>
      <c r="F94" s="306">
        <v>5</v>
      </c>
      <c r="G94" s="306">
        <v>0.7</v>
      </c>
      <c r="H94" s="306">
        <v>4.3</v>
      </c>
      <c r="I94" s="305" t="s">
        <v>530</v>
      </c>
      <c r="J94" s="88" t="s">
        <v>90</v>
      </c>
      <c r="K94" s="402" t="s">
        <v>583</v>
      </c>
      <c r="L94" s="402" t="s">
        <v>584</v>
      </c>
      <c r="M94" s="453" t="s">
        <v>692</v>
      </c>
    </row>
    <row r="95" spans="1:13" x14ac:dyDescent="0.2">
      <c r="A95" s="303"/>
      <c r="B95" s="304"/>
      <c r="C95" s="88" t="s">
        <v>25</v>
      </c>
      <c r="D95" s="88" t="s">
        <v>339</v>
      </c>
      <c r="E95" s="306">
        <v>4.3</v>
      </c>
      <c r="F95" s="306">
        <v>4.3</v>
      </c>
      <c r="G95" s="306">
        <v>4.3</v>
      </c>
      <c r="H95" s="306">
        <v>0</v>
      </c>
      <c r="I95" s="305" t="s">
        <v>575</v>
      </c>
      <c r="J95" s="88" t="s">
        <v>95</v>
      </c>
      <c r="K95" s="402" t="s">
        <v>502</v>
      </c>
      <c r="L95" s="402" t="s">
        <v>502</v>
      </c>
      <c r="M95" s="307" t="s">
        <v>585</v>
      </c>
    </row>
    <row r="96" spans="1:13" x14ac:dyDescent="0.2">
      <c r="A96" s="303"/>
      <c r="B96" s="304"/>
      <c r="C96" s="88" t="s">
        <v>533</v>
      </c>
      <c r="D96" s="88" t="s">
        <v>534</v>
      </c>
      <c r="E96" s="306">
        <v>3.4</v>
      </c>
      <c r="F96" s="306">
        <v>3.4</v>
      </c>
      <c r="G96" s="306">
        <v>3.4</v>
      </c>
      <c r="H96" s="306"/>
      <c r="I96" s="305"/>
      <c r="J96" s="88"/>
      <c r="K96" s="402"/>
      <c r="L96" s="402"/>
      <c r="M96" s="307"/>
    </row>
    <row r="97" spans="1:13" x14ac:dyDescent="0.2">
      <c r="A97" s="303"/>
      <c r="B97" s="304"/>
      <c r="C97" s="88" t="s">
        <v>24</v>
      </c>
      <c r="D97" s="88" t="s">
        <v>378</v>
      </c>
      <c r="E97" s="306"/>
      <c r="F97" s="306">
        <v>1.2</v>
      </c>
      <c r="G97" s="306">
        <v>0.1</v>
      </c>
      <c r="H97" s="306">
        <v>1.1000000000000001</v>
      </c>
      <c r="I97" s="305"/>
      <c r="J97" s="88"/>
      <c r="K97" s="402"/>
      <c r="L97" s="402"/>
      <c r="M97" s="307"/>
    </row>
    <row r="98" spans="1:13" x14ac:dyDescent="0.2">
      <c r="A98" s="303"/>
      <c r="B98" s="304"/>
      <c r="C98" s="88" t="s">
        <v>178</v>
      </c>
      <c r="D98" s="88" t="s">
        <v>377</v>
      </c>
      <c r="E98" s="306"/>
      <c r="F98" s="306">
        <v>5.9</v>
      </c>
      <c r="G98" s="306">
        <v>3.8</v>
      </c>
      <c r="H98" s="306">
        <v>2.1</v>
      </c>
      <c r="I98" s="305"/>
      <c r="J98" s="88"/>
      <c r="K98" s="402"/>
      <c r="L98" s="402"/>
      <c r="M98" s="307"/>
    </row>
    <row r="99" spans="1:13" ht="13.5" thickBot="1" x14ac:dyDescent="0.25">
      <c r="A99" s="491"/>
      <c r="B99" s="492"/>
      <c r="C99" s="454" t="s">
        <v>2</v>
      </c>
      <c r="D99" s="454" t="s">
        <v>303</v>
      </c>
      <c r="E99" s="494">
        <v>415.9</v>
      </c>
      <c r="F99" s="494">
        <v>450.9</v>
      </c>
      <c r="G99" s="494">
        <v>450.5</v>
      </c>
      <c r="H99" s="494">
        <v>0.4</v>
      </c>
      <c r="I99" s="493"/>
      <c r="J99" s="454"/>
      <c r="K99" s="495"/>
      <c r="L99" s="495"/>
      <c r="M99" s="489"/>
    </row>
    <row r="100" spans="1:13" ht="118.5" customHeight="1" x14ac:dyDescent="0.2">
      <c r="A100" s="528" t="s">
        <v>181</v>
      </c>
      <c r="B100" s="529" t="s">
        <v>182</v>
      </c>
      <c r="C100" s="501" t="s">
        <v>2</v>
      </c>
      <c r="D100" s="501" t="s">
        <v>303</v>
      </c>
      <c r="E100" s="500">
        <f>SUM(E101:E101)+42.6</f>
        <v>42.6</v>
      </c>
      <c r="F100" s="500">
        <f>SUM(F101:F101)+42.6</f>
        <v>42.6</v>
      </c>
      <c r="G100" s="500">
        <f>SUM(G101:G101)+42.6</f>
        <v>42.6</v>
      </c>
      <c r="H100" s="500">
        <f>SUM(H101:H101)</f>
        <v>0</v>
      </c>
      <c r="I100" s="499" t="s">
        <v>654</v>
      </c>
      <c r="J100" s="501" t="s">
        <v>186</v>
      </c>
      <c r="K100" s="502" t="s">
        <v>310</v>
      </c>
      <c r="L100" s="502" t="s">
        <v>363</v>
      </c>
      <c r="M100" s="509" t="s">
        <v>693</v>
      </c>
    </row>
    <row r="101" spans="1:13" ht="128.25" thickBot="1" x14ac:dyDescent="0.25">
      <c r="A101" s="503"/>
      <c r="B101" s="504"/>
      <c r="C101" s="531"/>
      <c r="D101" s="531"/>
      <c r="E101" s="511">
        <v>0</v>
      </c>
      <c r="F101" s="511">
        <v>0</v>
      </c>
      <c r="G101" s="511">
        <v>0</v>
      </c>
      <c r="H101" s="511">
        <v>0</v>
      </c>
      <c r="I101" s="512" t="s">
        <v>183</v>
      </c>
      <c r="J101" s="513" t="s">
        <v>90</v>
      </c>
      <c r="K101" s="514" t="s">
        <v>586</v>
      </c>
      <c r="L101" s="514" t="s">
        <v>587</v>
      </c>
      <c r="M101" s="515" t="s">
        <v>694</v>
      </c>
    </row>
    <row r="102" spans="1:13" ht="26.25" thickBot="1" x14ac:dyDescent="0.25">
      <c r="A102" s="496" t="s">
        <v>187</v>
      </c>
      <c r="B102" s="497" t="s">
        <v>18</v>
      </c>
      <c r="C102" s="455"/>
      <c r="D102" s="455"/>
      <c r="E102" s="510">
        <f>E103+E104+E108+E109+E112+E113+E115</f>
        <v>584.79999999999995</v>
      </c>
      <c r="F102" s="510">
        <f>F103+F104+F108+F109+F112+F113+F115</f>
        <v>584.79999999999995</v>
      </c>
      <c r="G102" s="510">
        <f>G103+G104+G108+G109+G112+G113+G115</f>
        <v>439.9</v>
      </c>
      <c r="H102" s="510">
        <f>H103+H104+H108+H109+H112+H113+H115</f>
        <v>144.9</v>
      </c>
      <c r="I102" s="488"/>
      <c r="J102" s="455"/>
      <c r="K102" s="498"/>
      <c r="L102" s="498"/>
      <c r="M102" s="490"/>
    </row>
    <row r="103" spans="1:13" ht="77.25" thickBot="1" x14ac:dyDescent="0.25">
      <c r="A103" s="313" t="s">
        <v>188</v>
      </c>
      <c r="B103" s="314" t="s">
        <v>616</v>
      </c>
      <c r="C103" s="72" t="s">
        <v>37</v>
      </c>
      <c r="D103" s="72" t="s">
        <v>321</v>
      </c>
      <c r="E103" s="318">
        <v>6</v>
      </c>
      <c r="F103" s="318">
        <v>6</v>
      </c>
      <c r="G103" s="318">
        <v>6</v>
      </c>
      <c r="H103" s="318">
        <v>0</v>
      </c>
      <c r="I103" s="315"/>
      <c r="J103" s="72"/>
      <c r="K103" s="404"/>
      <c r="L103" s="404"/>
      <c r="M103" s="317"/>
    </row>
    <row r="104" spans="1:13" ht="89.25" x14ac:dyDescent="0.2">
      <c r="A104" s="313" t="s">
        <v>192</v>
      </c>
      <c r="B104" s="314" t="s">
        <v>450</v>
      </c>
      <c r="C104" s="72"/>
      <c r="D104" s="72"/>
      <c r="E104" s="316">
        <f>SUM(E105:E107)</f>
        <v>194.5</v>
      </c>
      <c r="F104" s="316">
        <f>SUM(F105:F107)</f>
        <v>193.8</v>
      </c>
      <c r="G104" s="316">
        <f>SUM(G105:G107)</f>
        <v>54.300000000000004</v>
      </c>
      <c r="H104" s="316">
        <f>SUM(H105:H107)</f>
        <v>139.5</v>
      </c>
      <c r="I104" s="315" t="s">
        <v>588</v>
      </c>
      <c r="J104" s="72" t="s">
        <v>79</v>
      </c>
      <c r="K104" s="404" t="s">
        <v>328</v>
      </c>
      <c r="L104" s="404" t="s">
        <v>328</v>
      </c>
      <c r="M104" s="317" t="s">
        <v>696</v>
      </c>
    </row>
    <row r="105" spans="1:13" x14ac:dyDescent="0.2">
      <c r="A105" s="303"/>
      <c r="B105" s="304"/>
      <c r="C105" s="88" t="s">
        <v>60</v>
      </c>
      <c r="D105" s="88" t="s">
        <v>383</v>
      </c>
      <c r="E105" s="306">
        <v>48.1</v>
      </c>
      <c r="F105" s="306">
        <v>48.1</v>
      </c>
      <c r="G105" s="306">
        <v>32.200000000000003</v>
      </c>
      <c r="H105" s="306">
        <v>15.9</v>
      </c>
      <c r="I105" s="305"/>
      <c r="J105" s="88"/>
      <c r="K105" s="402"/>
      <c r="L105" s="402"/>
      <c r="M105" s="307"/>
    </row>
    <row r="106" spans="1:13" x14ac:dyDescent="0.2">
      <c r="A106" s="303"/>
      <c r="B106" s="304"/>
      <c r="C106" s="88" t="s">
        <v>44</v>
      </c>
      <c r="D106" s="88" t="s">
        <v>382</v>
      </c>
      <c r="E106" s="306">
        <v>44.1</v>
      </c>
      <c r="F106" s="306">
        <v>44.1</v>
      </c>
      <c r="G106" s="306">
        <v>0</v>
      </c>
      <c r="H106" s="306">
        <v>44.1</v>
      </c>
      <c r="I106" s="305"/>
      <c r="J106" s="88"/>
      <c r="K106" s="402"/>
      <c r="L106" s="402"/>
      <c r="M106" s="307"/>
    </row>
    <row r="107" spans="1:13" ht="13.5" thickBot="1" x14ac:dyDescent="0.25">
      <c r="A107" s="303"/>
      <c r="B107" s="304"/>
      <c r="C107" s="88" t="s">
        <v>37</v>
      </c>
      <c r="D107" s="88" t="s">
        <v>321</v>
      </c>
      <c r="E107" s="306">
        <v>102.3</v>
      </c>
      <c r="F107" s="306">
        <v>101.6</v>
      </c>
      <c r="G107" s="306">
        <v>22.1</v>
      </c>
      <c r="H107" s="306">
        <v>79.5</v>
      </c>
      <c r="I107" s="305"/>
      <c r="J107" s="88"/>
      <c r="K107" s="402"/>
      <c r="L107" s="402"/>
      <c r="M107" s="307"/>
    </row>
    <row r="108" spans="1:13" ht="64.5" hidden="1" thickBot="1" x14ac:dyDescent="0.25">
      <c r="A108" s="437" t="s">
        <v>196</v>
      </c>
      <c r="B108" s="438" t="s">
        <v>197</v>
      </c>
      <c r="C108" s="475"/>
      <c r="D108" s="475"/>
      <c r="E108" s="447">
        <v>0</v>
      </c>
      <c r="F108" s="447">
        <v>0</v>
      </c>
      <c r="G108" s="447">
        <v>0</v>
      </c>
      <c r="H108" s="447">
        <v>0</v>
      </c>
      <c r="I108" s="439" t="s">
        <v>198</v>
      </c>
      <c r="J108" s="440" t="s">
        <v>79</v>
      </c>
      <c r="K108" s="441" t="s">
        <v>146</v>
      </c>
      <c r="L108" s="441" t="s">
        <v>146</v>
      </c>
      <c r="M108" s="317"/>
    </row>
    <row r="109" spans="1:13" ht="102" x14ac:dyDescent="0.2">
      <c r="A109" s="313" t="s">
        <v>387</v>
      </c>
      <c r="B109" s="314" t="s">
        <v>388</v>
      </c>
      <c r="C109" s="72"/>
      <c r="D109" s="72"/>
      <c r="E109" s="316">
        <f>SUM(E110:E111)</f>
        <v>3</v>
      </c>
      <c r="F109" s="316">
        <f>SUM(F110:F111)</f>
        <v>3.7</v>
      </c>
      <c r="G109" s="316">
        <f>SUM(G110:G111)</f>
        <v>3.6</v>
      </c>
      <c r="H109" s="316">
        <f>SUM(H110:H111)</f>
        <v>0.1</v>
      </c>
      <c r="I109" s="315" t="s">
        <v>589</v>
      </c>
      <c r="J109" s="72" t="s">
        <v>79</v>
      </c>
      <c r="K109" s="404" t="s">
        <v>404</v>
      </c>
      <c r="L109" s="404" t="s">
        <v>511</v>
      </c>
      <c r="M109" s="317" t="s">
        <v>695</v>
      </c>
    </row>
    <row r="110" spans="1:13" x14ac:dyDescent="0.2">
      <c r="A110" s="303"/>
      <c r="B110" s="304"/>
      <c r="C110" s="88" t="s">
        <v>37</v>
      </c>
      <c r="D110" s="88" t="s">
        <v>321</v>
      </c>
      <c r="E110" s="306">
        <v>0</v>
      </c>
      <c r="F110" s="306">
        <v>0.7</v>
      </c>
      <c r="G110" s="306">
        <v>0.6</v>
      </c>
      <c r="H110" s="306">
        <v>0.1</v>
      </c>
      <c r="I110" s="305"/>
      <c r="J110" s="88"/>
      <c r="K110" s="402"/>
      <c r="L110" s="402"/>
      <c r="M110" s="307"/>
    </row>
    <row r="111" spans="1:13" ht="13.5" thickBot="1" x14ac:dyDescent="0.25">
      <c r="A111" s="303"/>
      <c r="B111" s="304"/>
      <c r="C111" s="88" t="s">
        <v>2</v>
      </c>
      <c r="D111" s="88" t="s">
        <v>303</v>
      </c>
      <c r="E111" s="306">
        <v>3</v>
      </c>
      <c r="F111" s="306">
        <v>3</v>
      </c>
      <c r="G111" s="306">
        <v>3</v>
      </c>
      <c r="H111" s="306">
        <v>0</v>
      </c>
      <c r="I111" s="305"/>
      <c r="J111" s="88"/>
      <c r="K111" s="402"/>
      <c r="L111" s="402"/>
      <c r="M111" s="307"/>
    </row>
    <row r="112" spans="1:13" ht="39" hidden="1" thickBot="1" x14ac:dyDescent="0.25">
      <c r="A112" s="437" t="s">
        <v>389</v>
      </c>
      <c r="B112" s="438" t="s">
        <v>590</v>
      </c>
      <c r="C112" s="475" t="s">
        <v>2</v>
      </c>
      <c r="D112" s="475" t="s">
        <v>303</v>
      </c>
      <c r="E112" s="447">
        <v>0</v>
      </c>
      <c r="F112" s="447">
        <v>0</v>
      </c>
      <c r="G112" s="447">
        <v>0</v>
      </c>
      <c r="H112" s="447">
        <v>0</v>
      </c>
      <c r="I112" s="439" t="s">
        <v>591</v>
      </c>
      <c r="J112" s="440" t="s">
        <v>79</v>
      </c>
      <c r="K112" s="441" t="s">
        <v>146</v>
      </c>
      <c r="L112" s="441" t="s">
        <v>146</v>
      </c>
      <c r="M112" s="317"/>
    </row>
    <row r="113" spans="1:13" ht="210.75" customHeight="1" x14ac:dyDescent="0.2">
      <c r="A113" s="464" t="s">
        <v>391</v>
      </c>
      <c r="B113" s="463" t="s">
        <v>392</v>
      </c>
      <c r="C113" s="72"/>
      <c r="D113" s="72"/>
      <c r="E113" s="316">
        <f>SUM(E114:E114)</f>
        <v>51.6</v>
      </c>
      <c r="F113" s="316">
        <f>SUM(F114:F114)</f>
        <v>51.6</v>
      </c>
      <c r="G113" s="316">
        <f>SUM(G114:G114)</f>
        <v>46.3</v>
      </c>
      <c r="H113" s="316">
        <f>SUM(H114:H114)</f>
        <v>5.3</v>
      </c>
      <c r="I113" s="458" t="s">
        <v>592</v>
      </c>
      <c r="J113" s="459" t="s">
        <v>79</v>
      </c>
      <c r="K113" s="486" t="s">
        <v>328</v>
      </c>
      <c r="L113" s="486" t="s">
        <v>301</v>
      </c>
      <c r="M113" s="470" t="s">
        <v>697</v>
      </c>
    </row>
    <row r="114" spans="1:13" ht="13.5" thickBot="1" x14ac:dyDescent="0.25">
      <c r="A114" s="303"/>
      <c r="B114" s="304"/>
      <c r="C114" s="88" t="s">
        <v>37</v>
      </c>
      <c r="D114" s="88" t="s">
        <v>321</v>
      </c>
      <c r="E114" s="306">
        <v>51.6</v>
      </c>
      <c r="F114" s="306">
        <v>51.6</v>
      </c>
      <c r="G114" s="306">
        <v>46.3</v>
      </c>
      <c r="H114" s="306">
        <v>5.3</v>
      </c>
      <c r="I114" s="305"/>
      <c r="J114" s="88"/>
      <c r="K114" s="402"/>
      <c r="L114" s="402"/>
      <c r="M114" s="307"/>
    </row>
    <row r="115" spans="1:13" ht="38.25" x14ac:dyDescent="0.2">
      <c r="A115" s="313" t="s">
        <v>199</v>
      </c>
      <c r="B115" s="314" t="s">
        <v>38</v>
      </c>
      <c r="C115" s="72"/>
      <c r="D115" s="72"/>
      <c r="E115" s="316">
        <f>SUM(E116:E116)</f>
        <v>329.7</v>
      </c>
      <c r="F115" s="316">
        <f>SUM(F116:F116)</f>
        <v>329.7</v>
      </c>
      <c r="G115" s="316">
        <f>SUM(G116:G116)</f>
        <v>329.7</v>
      </c>
      <c r="H115" s="316">
        <f>SUM(H116:H116)</f>
        <v>0</v>
      </c>
      <c r="I115" s="315" t="s">
        <v>200</v>
      </c>
      <c r="J115" s="72" t="s">
        <v>79</v>
      </c>
      <c r="K115" s="404" t="s">
        <v>328</v>
      </c>
      <c r="L115" s="404" t="s">
        <v>328</v>
      </c>
      <c r="M115" s="317" t="s">
        <v>628</v>
      </c>
    </row>
    <row r="116" spans="1:13" ht="13.5" thickBot="1" x14ac:dyDescent="0.25">
      <c r="A116" s="303"/>
      <c r="B116" s="304"/>
      <c r="C116" s="88" t="s">
        <v>2</v>
      </c>
      <c r="D116" s="88" t="s">
        <v>303</v>
      </c>
      <c r="E116" s="306">
        <v>329.7</v>
      </c>
      <c r="F116" s="306">
        <v>329.7</v>
      </c>
      <c r="G116" s="306">
        <v>329.7</v>
      </c>
      <c r="H116" s="306">
        <v>0</v>
      </c>
      <c r="I116" s="305"/>
      <c r="J116" s="88"/>
      <c r="K116" s="402"/>
      <c r="L116" s="402"/>
      <c r="M116" s="307"/>
    </row>
    <row r="117" spans="1:13" ht="13.5" thickBot="1" x14ac:dyDescent="0.25">
      <c r="A117" s="313" t="s">
        <v>205</v>
      </c>
      <c r="B117" s="314" t="s">
        <v>206</v>
      </c>
      <c r="C117" s="72"/>
      <c r="D117" s="72"/>
      <c r="E117" s="316">
        <f>E118+E120+E121+E123+E124+E125</f>
        <v>54.7</v>
      </c>
      <c r="F117" s="316">
        <f>F118+F120+F121+F123+F124+F125</f>
        <v>173.1</v>
      </c>
      <c r="G117" s="316">
        <f>G118+G120+G121+G123+G124+G125-0.1</f>
        <v>82.2</v>
      </c>
      <c r="H117" s="316">
        <f>H118+H120+H121+H123+H124+H125+0.1</f>
        <v>90.899999999999991</v>
      </c>
      <c r="I117" s="315"/>
      <c r="J117" s="72"/>
      <c r="K117" s="404"/>
      <c r="L117" s="404"/>
      <c r="M117" s="317"/>
    </row>
    <row r="118" spans="1:13" ht="38.25" x14ac:dyDescent="0.2">
      <c r="A118" s="313" t="s">
        <v>207</v>
      </c>
      <c r="B118" s="314" t="s">
        <v>57</v>
      </c>
      <c r="C118" s="72"/>
      <c r="D118" s="72"/>
      <c r="E118" s="316">
        <f>SUM(E119:E119)</f>
        <v>25</v>
      </c>
      <c r="F118" s="316">
        <f>SUM(F119:F119)</f>
        <v>59.6</v>
      </c>
      <c r="G118" s="316">
        <f>SUM(G119:G119)</f>
        <v>59.6</v>
      </c>
      <c r="H118" s="316">
        <f>SUM(H119:H119)</f>
        <v>0</v>
      </c>
      <c r="I118" s="315" t="s">
        <v>593</v>
      </c>
      <c r="J118" s="72" t="s">
        <v>79</v>
      </c>
      <c r="K118" s="404" t="s">
        <v>328</v>
      </c>
      <c r="L118" s="404" t="s">
        <v>328</v>
      </c>
      <c r="M118" s="317" t="s">
        <v>631</v>
      </c>
    </row>
    <row r="119" spans="1:13" ht="13.5" thickBot="1" x14ac:dyDescent="0.25">
      <c r="A119" s="303"/>
      <c r="B119" s="304"/>
      <c r="C119" s="88" t="s">
        <v>2</v>
      </c>
      <c r="D119" s="88" t="s">
        <v>303</v>
      </c>
      <c r="E119" s="306">
        <v>25</v>
      </c>
      <c r="F119" s="306">
        <v>59.6</v>
      </c>
      <c r="G119" s="306">
        <v>59.6</v>
      </c>
      <c r="H119" s="306">
        <v>0</v>
      </c>
      <c r="I119" s="305"/>
      <c r="J119" s="88"/>
      <c r="K119" s="402"/>
      <c r="L119" s="402"/>
      <c r="M119" s="307"/>
    </row>
    <row r="120" spans="1:13" ht="26.25" hidden="1" thickBot="1" x14ac:dyDescent="0.25">
      <c r="A120" s="472" t="s">
        <v>221</v>
      </c>
      <c r="B120" s="473" t="s">
        <v>222</v>
      </c>
      <c r="C120" s="475" t="s">
        <v>2</v>
      </c>
      <c r="D120" s="475" t="s">
        <v>303</v>
      </c>
      <c r="E120" s="484">
        <v>0</v>
      </c>
      <c r="F120" s="484">
        <v>0</v>
      </c>
      <c r="G120" s="484">
        <v>0</v>
      </c>
      <c r="H120" s="484">
        <v>0</v>
      </c>
      <c r="I120" s="474" t="s">
        <v>396</v>
      </c>
      <c r="J120" s="475" t="s">
        <v>79</v>
      </c>
      <c r="K120" s="476" t="s">
        <v>146</v>
      </c>
      <c r="L120" s="476" t="s">
        <v>146</v>
      </c>
      <c r="M120" s="317"/>
    </row>
    <row r="121" spans="1:13" ht="75" customHeight="1" x14ac:dyDescent="0.2">
      <c r="A121" s="468" t="s">
        <v>225</v>
      </c>
      <c r="B121" s="469" t="s">
        <v>453</v>
      </c>
      <c r="C121" s="72"/>
      <c r="D121" s="72"/>
      <c r="E121" s="316">
        <f>SUM(E122:E122)</f>
        <v>0</v>
      </c>
      <c r="F121" s="316">
        <f>SUM(F122:F122)</f>
        <v>80.8</v>
      </c>
      <c r="G121" s="316">
        <f>SUM(G122:G122)</f>
        <v>0</v>
      </c>
      <c r="H121" s="316">
        <f>SUM(H122:H122)</f>
        <v>80.8</v>
      </c>
      <c r="I121" s="465" t="s">
        <v>594</v>
      </c>
      <c r="J121" s="466" t="s">
        <v>79</v>
      </c>
      <c r="K121" s="487" t="s">
        <v>310</v>
      </c>
      <c r="L121" s="487" t="s">
        <v>146</v>
      </c>
      <c r="M121" s="467" t="s">
        <v>698</v>
      </c>
    </row>
    <row r="122" spans="1:13" ht="13.5" thickBot="1" x14ac:dyDescent="0.25">
      <c r="A122" s="303"/>
      <c r="B122" s="304"/>
      <c r="C122" s="88" t="s">
        <v>2</v>
      </c>
      <c r="D122" s="88" t="s">
        <v>303</v>
      </c>
      <c r="E122" s="306">
        <v>0</v>
      </c>
      <c r="F122" s="306">
        <v>80.8</v>
      </c>
      <c r="G122" s="306">
        <v>0</v>
      </c>
      <c r="H122" s="306">
        <v>80.8</v>
      </c>
      <c r="I122" s="305"/>
      <c r="J122" s="88"/>
      <c r="K122" s="402"/>
      <c r="L122" s="402"/>
      <c r="M122" s="307"/>
    </row>
    <row r="123" spans="1:13" ht="26.25" thickBot="1" x14ac:dyDescent="0.25">
      <c r="A123" s="313" t="s">
        <v>236</v>
      </c>
      <c r="B123" s="314" t="s">
        <v>58</v>
      </c>
      <c r="C123" s="72" t="s">
        <v>2</v>
      </c>
      <c r="D123" s="72" t="s">
        <v>303</v>
      </c>
      <c r="E123" s="318">
        <v>19.7</v>
      </c>
      <c r="F123" s="318">
        <v>19.7</v>
      </c>
      <c r="G123" s="318">
        <v>19.7</v>
      </c>
      <c r="H123" s="318">
        <v>0</v>
      </c>
      <c r="I123" s="315" t="s">
        <v>595</v>
      </c>
      <c r="J123" s="72" t="s">
        <v>90</v>
      </c>
      <c r="K123" s="404" t="s">
        <v>326</v>
      </c>
      <c r="L123" s="404" t="s">
        <v>326</v>
      </c>
      <c r="M123" s="317" t="s">
        <v>629</v>
      </c>
    </row>
    <row r="124" spans="1:13" ht="115.5" thickBot="1" x14ac:dyDescent="0.25">
      <c r="A124" s="468" t="s">
        <v>398</v>
      </c>
      <c r="B124" s="469" t="s">
        <v>399</v>
      </c>
      <c r="C124" s="72" t="s">
        <v>37</v>
      </c>
      <c r="D124" s="72" t="s">
        <v>321</v>
      </c>
      <c r="E124" s="318">
        <v>10</v>
      </c>
      <c r="F124" s="318">
        <v>10</v>
      </c>
      <c r="G124" s="318">
        <v>0</v>
      </c>
      <c r="H124" s="318">
        <v>10</v>
      </c>
      <c r="I124" s="465" t="s">
        <v>596</v>
      </c>
      <c r="J124" s="466" t="s">
        <v>79</v>
      </c>
      <c r="K124" s="487" t="s">
        <v>328</v>
      </c>
      <c r="L124" s="487" t="s">
        <v>494</v>
      </c>
      <c r="M124" s="467" t="s">
        <v>597</v>
      </c>
    </row>
    <row r="125" spans="1:13" ht="39" thickBot="1" x14ac:dyDescent="0.25">
      <c r="A125" s="313" t="s">
        <v>598</v>
      </c>
      <c r="B125" s="314" t="s">
        <v>599</v>
      </c>
      <c r="C125" s="72" t="s">
        <v>2</v>
      </c>
      <c r="D125" s="72" t="s">
        <v>303</v>
      </c>
      <c r="E125" s="318">
        <v>0</v>
      </c>
      <c r="F125" s="318">
        <v>3</v>
      </c>
      <c r="G125" s="318">
        <v>3</v>
      </c>
      <c r="H125" s="318">
        <v>0</v>
      </c>
      <c r="I125" s="315" t="s">
        <v>600</v>
      </c>
      <c r="J125" s="72" t="s">
        <v>79</v>
      </c>
      <c r="K125" s="404" t="s">
        <v>328</v>
      </c>
      <c r="L125" s="404" t="s">
        <v>328</v>
      </c>
      <c r="M125" s="317" t="s">
        <v>699</v>
      </c>
    </row>
    <row r="126" spans="1:13" ht="26.25" thickBot="1" x14ac:dyDescent="0.25">
      <c r="A126" s="313" t="s">
        <v>241</v>
      </c>
      <c r="B126" s="314" t="s">
        <v>242</v>
      </c>
      <c r="C126" s="72"/>
      <c r="D126" s="72"/>
      <c r="E126" s="316">
        <f>SUM(E127:E127)</f>
        <v>138.19999999999999</v>
      </c>
      <c r="F126" s="316">
        <f>SUM(F127:F127)</f>
        <v>138.19999999999999</v>
      </c>
      <c r="G126" s="316">
        <f>SUM(G127:G127)</f>
        <v>137.69999999999999</v>
      </c>
      <c r="H126" s="316">
        <f>SUM(H127:H127)</f>
        <v>0.5</v>
      </c>
      <c r="I126" s="315"/>
      <c r="J126" s="72"/>
      <c r="K126" s="404"/>
      <c r="L126" s="404"/>
      <c r="M126" s="317"/>
    </row>
    <row r="127" spans="1:13" ht="25.5" x14ac:dyDescent="0.2">
      <c r="A127" s="313" t="s">
        <v>243</v>
      </c>
      <c r="B127" s="314" t="s">
        <v>242</v>
      </c>
      <c r="C127" s="72"/>
      <c r="D127" s="72"/>
      <c r="E127" s="316">
        <f>SUM(E128:E129)</f>
        <v>138.19999999999999</v>
      </c>
      <c r="F127" s="316">
        <f>SUM(F128:F129)</f>
        <v>138.19999999999999</v>
      </c>
      <c r="G127" s="316">
        <f>SUM(G128:G129)</f>
        <v>137.69999999999999</v>
      </c>
      <c r="H127" s="316">
        <f>SUM(H128:H129)</f>
        <v>0.5</v>
      </c>
      <c r="I127" s="315" t="s">
        <v>601</v>
      </c>
      <c r="J127" s="72" t="s">
        <v>90</v>
      </c>
      <c r="K127" s="404" t="s">
        <v>307</v>
      </c>
      <c r="L127" s="404" t="s">
        <v>307</v>
      </c>
      <c r="M127" s="317" t="s">
        <v>634</v>
      </c>
    </row>
    <row r="128" spans="1:13" x14ac:dyDescent="0.2">
      <c r="A128" s="303"/>
      <c r="B128" s="304"/>
      <c r="C128" s="88" t="s">
        <v>2</v>
      </c>
      <c r="D128" s="88" t="s">
        <v>303</v>
      </c>
      <c r="E128" s="306">
        <v>118.3</v>
      </c>
      <c r="F128" s="306">
        <v>118.3</v>
      </c>
      <c r="G128" s="306">
        <v>117.8</v>
      </c>
      <c r="H128" s="306">
        <v>0.5</v>
      </c>
      <c r="I128" s="305"/>
      <c r="J128" s="88"/>
      <c r="K128" s="402"/>
      <c r="L128" s="402"/>
      <c r="M128" s="307"/>
    </row>
    <row r="129" spans="1:13" ht="13.5" thickBot="1" x14ac:dyDescent="0.25">
      <c r="A129" s="303"/>
      <c r="B129" s="304"/>
      <c r="C129" s="88" t="s">
        <v>37</v>
      </c>
      <c r="D129" s="88" t="s">
        <v>401</v>
      </c>
      <c r="E129" s="306">
        <v>19.899999999999999</v>
      </c>
      <c r="F129" s="306">
        <v>19.899999999999999</v>
      </c>
      <c r="G129" s="306">
        <v>19.899999999999999</v>
      </c>
      <c r="H129" s="306">
        <v>0</v>
      </c>
      <c r="I129" s="305"/>
      <c r="J129" s="88"/>
      <c r="K129" s="402"/>
      <c r="L129" s="402"/>
      <c r="M129" s="307"/>
    </row>
    <row r="130" spans="1:13" ht="39.75" customHeight="1" thickBot="1" x14ac:dyDescent="0.25">
      <c r="A130" s="308" t="s">
        <v>246</v>
      </c>
      <c r="B130" s="309" t="s">
        <v>22</v>
      </c>
      <c r="C130" s="63"/>
      <c r="D130" s="63"/>
      <c r="E130" s="311">
        <f>E131+E141</f>
        <v>137.30000000000001</v>
      </c>
      <c r="F130" s="311">
        <f>F131+F141</f>
        <v>137.30000000000001</v>
      </c>
      <c r="G130" s="311">
        <f>G131+G141</f>
        <v>137.30000000000001</v>
      </c>
      <c r="H130" s="311">
        <f>H131+H141</f>
        <v>0</v>
      </c>
      <c r="I130" s="310"/>
      <c r="J130" s="63"/>
      <c r="K130" s="403"/>
      <c r="L130" s="403"/>
      <c r="M130" s="312"/>
    </row>
    <row r="131" spans="1:13" ht="42" customHeight="1" thickBot="1" x14ac:dyDescent="0.25">
      <c r="A131" s="313" t="s">
        <v>247</v>
      </c>
      <c r="B131" s="314" t="s">
        <v>26</v>
      </c>
      <c r="C131" s="72"/>
      <c r="D131" s="72"/>
      <c r="E131" s="316">
        <f>E132+E134+E135+E139</f>
        <v>126.9</v>
      </c>
      <c r="F131" s="316">
        <f>F132+F134+F135+F139</f>
        <v>126.9</v>
      </c>
      <c r="G131" s="316">
        <f>G132+G134+G135+G139</f>
        <v>126.9</v>
      </c>
      <c r="H131" s="316">
        <f>H132+H134+H135+H139</f>
        <v>0</v>
      </c>
      <c r="I131" s="315"/>
      <c r="J131" s="72"/>
      <c r="K131" s="404"/>
      <c r="L131" s="404"/>
      <c r="M131" s="317"/>
    </row>
    <row r="132" spans="1:13" ht="39" hidden="1" thickBot="1" x14ac:dyDescent="0.25">
      <c r="A132" s="472" t="s">
        <v>248</v>
      </c>
      <c r="B132" s="473" t="s">
        <v>402</v>
      </c>
      <c r="C132" s="475"/>
      <c r="D132" s="475"/>
      <c r="E132" s="457">
        <f>SUM(E133:E133)</f>
        <v>0</v>
      </c>
      <c r="F132" s="457">
        <f>SUM(F133:F133)</f>
        <v>0</v>
      </c>
      <c r="G132" s="457">
        <f>SUM(G133:G133)</f>
        <v>0</v>
      </c>
      <c r="H132" s="457">
        <f>SUM(H133:H133)</f>
        <v>0</v>
      </c>
      <c r="I132" s="474" t="s">
        <v>250</v>
      </c>
      <c r="J132" s="475" t="s">
        <v>79</v>
      </c>
      <c r="K132" s="476" t="s">
        <v>146</v>
      </c>
      <c r="L132" s="476" t="s">
        <v>146</v>
      </c>
      <c r="M132" s="477" t="s">
        <v>617</v>
      </c>
    </row>
    <row r="133" spans="1:13" ht="26.25" hidden="1" thickBot="1" x14ac:dyDescent="0.25">
      <c r="A133" s="478"/>
      <c r="B133" s="479"/>
      <c r="C133" s="481"/>
      <c r="D133" s="481"/>
      <c r="E133" s="456">
        <v>0</v>
      </c>
      <c r="F133" s="456">
        <v>0</v>
      </c>
      <c r="G133" s="456">
        <v>0</v>
      </c>
      <c r="H133" s="456">
        <v>0</v>
      </c>
      <c r="I133" s="480" t="s">
        <v>602</v>
      </c>
      <c r="J133" s="481" t="s">
        <v>95</v>
      </c>
      <c r="K133" s="482" t="s">
        <v>146</v>
      </c>
      <c r="L133" s="482" t="s">
        <v>146</v>
      </c>
      <c r="M133" s="483" t="s">
        <v>618</v>
      </c>
    </row>
    <row r="134" spans="1:13" ht="39" hidden="1" thickBot="1" x14ac:dyDescent="0.25">
      <c r="A134" s="472" t="s">
        <v>252</v>
      </c>
      <c r="B134" s="473" t="s">
        <v>253</v>
      </c>
      <c r="C134" s="475" t="s">
        <v>37</v>
      </c>
      <c r="D134" s="475" t="s">
        <v>321</v>
      </c>
      <c r="E134" s="484">
        <v>0</v>
      </c>
      <c r="F134" s="484">
        <v>0</v>
      </c>
      <c r="G134" s="484">
        <v>0</v>
      </c>
      <c r="H134" s="484">
        <v>0</v>
      </c>
      <c r="I134" s="474" t="s">
        <v>254</v>
      </c>
      <c r="J134" s="475" t="s">
        <v>90</v>
      </c>
      <c r="K134" s="476" t="s">
        <v>146</v>
      </c>
      <c r="L134" s="476" t="s">
        <v>146</v>
      </c>
      <c r="M134" s="477"/>
    </row>
    <row r="135" spans="1:13" ht="38.25" x14ac:dyDescent="0.2">
      <c r="A135" s="313" t="s">
        <v>256</v>
      </c>
      <c r="B135" s="314" t="s">
        <v>257</v>
      </c>
      <c r="C135" s="72" t="s">
        <v>2</v>
      </c>
      <c r="D135" s="72" t="s">
        <v>303</v>
      </c>
      <c r="E135" s="316">
        <f>SUM(E136:E138)+101.9</f>
        <v>101.9</v>
      </c>
      <c r="F135" s="316">
        <f>SUM(F136:F138)+101.9</f>
        <v>101.9</v>
      </c>
      <c r="G135" s="316">
        <f>SUM(G136:G138)+101.9</f>
        <v>101.9</v>
      </c>
      <c r="H135" s="316">
        <f>SUM(H136:H138)</f>
        <v>0</v>
      </c>
      <c r="I135" s="315" t="s">
        <v>258</v>
      </c>
      <c r="J135" s="72" t="s">
        <v>90</v>
      </c>
      <c r="K135" s="404" t="s">
        <v>326</v>
      </c>
      <c r="L135" s="404" t="s">
        <v>326</v>
      </c>
      <c r="M135" s="317" t="s">
        <v>603</v>
      </c>
    </row>
    <row r="136" spans="1:13" ht="25.5" x14ac:dyDescent="0.2">
      <c r="A136" s="303"/>
      <c r="B136" s="304"/>
      <c r="C136" s="88"/>
      <c r="D136" s="88"/>
      <c r="E136" s="456">
        <v>0</v>
      </c>
      <c r="F136" s="456">
        <v>0</v>
      </c>
      <c r="G136" s="456">
        <v>0</v>
      </c>
      <c r="H136" s="456">
        <v>0</v>
      </c>
      <c r="I136" s="305" t="s">
        <v>46</v>
      </c>
      <c r="J136" s="88" t="s">
        <v>95</v>
      </c>
      <c r="K136" s="402" t="s">
        <v>326</v>
      </c>
      <c r="L136" s="402" t="s">
        <v>326</v>
      </c>
      <c r="M136" s="307" t="s">
        <v>700</v>
      </c>
    </row>
    <row r="137" spans="1:13" ht="120" customHeight="1" x14ac:dyDescent="0.2">
      <c r="A137" s="303"/>
      <c r="B137" s="304"/>
      <c r="C137" s="88"/>
      <c r="D137" s="88"/>
      <c r="E137" s="456">
        <v>0</v>
      </c>
      <c r="F137" s="456">
        <v>0</v>
      </c>
      <c r="G137" s="456">
        <v>0</v>
      </c>
      <c r="H137" s="456">
        <v>0</v>
      </c>
      <c r="I137" s="305" t="s">
        <v>261</v>
      </c>
      <c r="J137" s="88" t="s">
        <v>82</v>
      </c>
      <c r="K137" s="402" t="s">
        <v>604</v>
      </c>
      <c r="L137" s="402" t="s">
        <v>605</v>
      </c>
      <c r="M137" s="505" t="s">
        <v>606</v>
      </c>
    </row>
    <row r="138" spans="1:13" ht="51.75" thickBot="1" x14ac:dyDescent="0.25">
      <c r="A138" s="303"/>
      <c r="B138" s="304"/>
      <c r="C138" s="88"/>
      <c r="D138" s="88"/>
      <c r="E138" s="456">
        <v>0</v>
      </c>
      <c r="F138" s="456">
        <v>0</v>
      </c>
      <c r="G138" s="456">
        <v>0</v>
      </c>
      <c r="H138" s="456">
        <v>0</v>
      </c>
      <c r="I138" s="305" t="s">
        <v>264</v>
      </c>
      <c r="J138" s="88" t="s">
        <v>90</v>
      </c>
      <c r="K138" s="402" t="s">
        <v>607</v>
      </c>
      <c r="L138" s="402" t="s">
        <v>608</v>
      </c>
      <c r="M138" s="506" t="s">
        <v>701</v>
      </c>
    </row>
    <row r="139" spans="1:13" ht="25.5" x14ac:dyDescent="0.2">
      <c r="A139" s="313" t="s">
        <v>418</v>
      </c>
      <c r="B139" s="314" t="s">
        <v>419</v>
      </c>
      <c r="C139" s="72"/>
      <c r="D139" s="72"/>
      <c r="E139" s="316">
        <f>SUM(E140:E140)</f>
        <v>25</v>
      </c>
      <c r="F139" s="316">
        <f>SUM(F140:F140)</f>
        <v>25</v>
      </c>
      <c r="G139" s="316">
        <f>SUM(G140:G140)</f>
        <v>25</v>
      </c>
      <c r="H139" s="316">
        <f>SUM(H140:H140)</f>
        <v>0</v>
      </c>
      <c r="I139" s="315" t="s">
        <v>420</v>
      </c>
      <c r="J139" s="72" t="s">
        <v>90</v>
      </c>
      <c r="K139" s="404" t="s">
        <v>326</v>
      </c>
      <c r="L139" s="404" t="s">
        <v>326</v>
      </c>
      <c r="M139" s="317" t="s">
        <v>609</v>
      </c>
    </row>
    <row r="140" spans="1:13" ht="13.5" thickBot="1" x14ac:dyDescent="0.25">
      <c r="A140" s="303"/>
      <c r="B140" s="304"/>
      <c r="C140" s="88" t="s">
        <v>37</v>
      </c>
      <c r="D140" s="88" t="s">
        <v>321</v>
      </c>
      <c r="E140" s="306">
        <v>25</v>
      </c>
      <c r="F140" s="306">
        <v>25</v>
      </c>
      <c r="G140" s="306">
        <v>25</v>
      </c>
      <c r="H140" s="306">
        <v>0</v>
      </c>
      <c r="I140" s="305"/>
      <c r="J140" s="88"/>
      <c r="K140" s="402"/>
      <c r="L140" s="402"/>
      <c r="M140" s="307"/>
    </row>
    <row r="141" spans="1:13" ht="26.25" thickBot="1" x14ac:dyDescent="0.25">
      <c r="A141" s="313" t="s">
        <v>270</v>
      </c>
      <c r="B141" s="314" t="s">
        <v>62</v>
      </c>
      <c r="C141" s="72"/>
      <c r="D141" s="72"/>
      <c r="E141" s="316">
        <f>SUM(E142:E142)</f>
        <v>10.4</v>
      </c>
      <c r="F141" s="316">
        <f>SUM(F142:F142)</f>
        <v>10.4</v>
      </c>
      <c r="G141" s="316">
        <f>SUM(G142:G142)</f>
        <v>10.4</v>
      </c>
      <c r="H141" s="316">
        <f>SUM(H142:H142)</f>
        <v>0</v>
      </c>
      <c r="I141" s="315"/>
      <c r="J141" s="72"/>
      <c r="K141" s="404"/>
      <c r="L141" s="404"/>
      <c r="M141" s="317"/>
    </row>
    <row r="142" spans="1:13" ht="64.5" thickBot="1" x14ac:dyDescent="0.25">
      <c r="A142" s="405" t="s">
        <v>271</v>
      </c>
      <c r="B142" s="406" t="s">
        <v>62</v>
      </c>
      <c r="C142" s="409" t="s">
        <v>2</v>
      </c>
      <c r="D142" s="409" t="s">
        <v>303</v>
      </c>
      <c r="E142" s="408">
        <v>10.4</v>
      </c>
      <c r="F142" s="408">
        <v>10.4</v>
      </c>
      <c r="G142" s="408">
        <v>10.4</v>
      </c>
      <c r="H142" s="408">
        <v>0</v>
      </c>
      <c r="I142" s="407" t="s">
        <v>254</v>
      </c>
      <c r="J142" s="409" t="s">
        <v>90</v>
      </c>
      <c r="K142" s="410" t="s">
        <v>326</v>
      </c>
      <c r="L142" s="410" t="s">
        <v>320</v>
      </c>
      <c r="M142" s="508" t="s">
        <v>630</v>
      </c>
    </row>
    <row r="143" spans="1:13" x14ac:dyDescent="0.2">
      <c r="A143" s="323"/>
      <c r="B143" s="323"/>
      <c r="C143" s="324"/>
      <c r="D143" s="324"/>
      <c r="E143" s="325"/>
      <c r="F143" s="325"/>
      <c r="G143" s="325"/>
      <c r="H143" s="325"/>
      <c r="I143" s="324"/>
      <c r="J143" s="326"/>
      <c r="K143" s="411"/>
      <c r="L143" s="411"/>
      <c r="M143" s="324"/>
    </row>
    <row r="144" spans="1:13" x14ac:dyDescent="0.2">
      <c r="A144" s="323"/>
      <c r="B144" s="323"/>
      <c r="C144" s="324"/>
      <c r="D144" s="324"/>
      <c r="E144" s="325"/>
      <c r="F144" s="325"/>
      <c r="G144" s="325"/>
      <c r="H144" s="325"/>
      <c r="I144" s="324"/>
      <c r="J144" s="326"/>
      <c r="K144" s="411"/>
      <c r="L144" s="411"/>
      <c r="M144" s="324"/>
    </row>
    <row r="145" spans="1:13" x14ac:dyDescent="0.2">
      <c r="A145" s="323"/>
      <c r="B145" s="323"/>
      <c r="C145" s="324"/>
      <c r="D145" s="324"/>
      <c r="E145" s="325"/>
      <c r="F145" s="325"/>
      <c r="G145" s="325"/>
      <c r="H145" s="325"/>
      <c r="I145" s="324"/>
      <c r="J145" s="326"/>
      <c r="K145" s="411"/>
      <c r="L145" s="411"/>
      <c r="M145" s="324"/>
    </row>
    <row r="146" spans="1:13" x14ac:dyDescent="0.2">
      <c r="A146" s="323"/>
      <c r="B146" s="323"/>
      <c r="C146" s="324"/>
      <c r="D146" s="324"/>
      <c r="E146" s="325"/>
      <c r="F146" s="325"/>
      <c r="G146" s="325"/>
      <c r="H146" s="325"/>
      <c r="I146" s="324"/>
      <c r="J146" s="326"/>
      <c r="K146" s="411"/>
      <c r="L146" s="411"/>
      <c r="M146" s="324"/>
    </row>
    <row r="147" spans="1:13" x14ac:dyDescent="0.2">
      <c r="A147" s="323"/>
      <c r="B147" s="323"/>
      <c r="C147" s="324"/>
      <c r="D147" s="324"/>
      <c r="E147" s="325"/>
      <c r="F147" s="325"/>
      <c r="G147" s="325"/>
      <c r="H147" s="325"/>
      <c r="I147" s="324"/>
      <c r="J147" s="326"/>
      <c r="K147" s="411"/>
      <c r="L147" s="411"/>
      <c r="M147" s="324"/>
    </row>
    <row r="148" spans="1:13" ht="38.25" x14ac:dyDescent="0.2">
      <c r="A148" s="532" t="s">
        <v>63</v>
      </c>
      <c r="B148" s="532" t="s">
        <v>64</v>
      </c>
      <c r="C148" s="532" t="s">
        <v>66</v>
      </c>
      <c r="D148" s="532" t="s">
        <v>67</v>
      </c>
      <c r="E148" s="532" t="s">
        <v>68</v>
      </c>
      <c r="F148" s="532" t="s">
        <v>69</v>
      </c>
    </row>
    <row r="149" spans="1:13" x14ac:dyDescent="0.2">
      <c r="A149" s="304" t="s">
        <v>2</v>
      </c>
      <c r="B149" s="304" t="s">
        <v>655</v>
      </c>
      <c r="C149" s="306">
        <v>7531.1</v>
      </c>
      <c r="D149" s="306">
        <v>7625.3</v>
      </c>
      <c r="E149" s="306">
        <v>7290.3</v>
      </c>
      <c r="F149" s="306">
        <v>335</v>
      </c>
    </row>
    <row r="150" spans="1:13" ht="25.5" x14ac:dyDescent="0.2">
      <c r="A150" s="304" t="s">
        <v>533</v>
      </c>
      <c r="B150" s="304" t="s">
        <v>610</v>
      </c>
      <c r="C150" s="306">
        <v>101.3</v>
      </c>
      <c r="D150" s="306">
        <v>101.3</v>
      </c>
      <c r="E150" s="306">
        <v>101.3</v>
      </c>
      <c r="F150" s="306">
        <v>0</v>
      </c>
    </row>
    <row r="151" spans="1:13" ht="25.5" x14ac:dyDescent="0.2">
      <c r="A151" s="304" t="s">
        <v>44</v>
      </c>
      <c r="B151" s="304" t="s">
        <v>454</v>
      </c>
      <c r="C151" s="306">
        <v>44.1</v>
      </c>
      <c r="D151" s="306">
        <v>44.1</v>
      </c>
      <c r="E151" s="306">
        <v>0</v>
      </c>
      <c r="F151" s="306">
        <v>44.1</v>
      </c>
    </row>
    <row r="152" spans="1:13" x14ac:dyDescent="0.2">
      <c r="A152" s="304" t="s">
        <v>5</v>
      </c>
      <c r="B152" s="304" t="s">
        <v>281</v>
      </c>
      <c r="C152" s="306">
        <v>431.2</v>
      </c>
      <c r="D152" s="306">
        <v>431.2</v>
      </c>
      <c r="E152" s="306">
        <v>160.5</v>
      </c>
      <c r="F152" s="306">
        <v>270.7</v>
      </c>
    </row>
    <row r="153" spans="1:13" x14ac:dyDescent="0.2">
      <c r="A153" s="304" t="s">
        <v>20</v>
      </c>
      <c r="B153" s="304" t="s">
        <v>283</v>
      </c>
      <c r="C153" s="306">
        <v>250</v>
      </c>
      <c r="D153" s="306">
        <v>250</v>
      </c>
      <c r="E153" s="306">
        <v>190.7</v>
      </c>
      <c r="F153" s="306">
        <v>59.3</v>
      </c>
    </row>
    <row r="154" spans="1:13" ht="25.5" x14ac:dyDescent="0.2">
      <c r="A154" s="304" t="s">
        <v>60</v>
      </c>
      <c r="B154" s="304" t="s">
        <v>455</v>
      </c>
      <c r="C154" s="306">
        <v>48.1</v>
      </c>
      <c r="D154" s="306">
        <v>48.1</v>
      </c>
      <c r="E154" s="306">
        <v>32.200000000000003</v>
      </c>
      <c r="F154" s="306">
        <v>15.9</v>
      </c>
    </row>
    <row r="155" spans="1:13" ht="38.25" x14ac:dyDescent="0.2">
      <c r="A155" s="304" t="s">
        <v>37</v>
      </c>
      <c r="B155" s="304" t="s">
        <v>280</v>
      </c>
      <c r="C155" s="306">
        <v>247.3</v>
      </c>
      <c r="D155" s="306">
        <v>247.3</v>
      </c>
      <c r="E155" s="306">
        <v>152.4</v>
      </c>
      <c r="F155" s="306">
        <v>94.9</v>
      </c>
    </row>
    <row r="156" spans="1:13" x14ac:dyDescent="0.2">
      <c r="A156" s="304" t="s">
        <v>25</v>
      </c>
      <c r="B156" s="304" t="s">
        <v>282</v>
      </c>
      <c r="C156" s="306">
        <v>57.9</v>
      </c>
      <c r="D156" s="306">
        <v>57.9</v>
      </c>
      <c r="E156" s="306">
        <v>43.7</v>
      </c>
      <c r="F156" s="306">
        <v>14.2</v>
      </c>
    </row>
    <row r="157" spans="1:13" x14ac:dyDescent="0.2">
      <c r="A157" s="304" t="s">
        <v>178</v>
      </c>
      <c r="B157" s="304" t="s">
        <v>286</v>
      </c>
      <c r="C157" s="306">
        <v>0</v>
      </c>
      <c r="D157" s="306">
        <v>6.9</v>
      </c>
      <c r="E157" s="306">
        <v>4.8</v>
      </c>
      <c r="F157" s="306">
        <v>2.1</v>
      </c>
    </row>
    <row r="158" spans="1:13" x14ac:dyDescent="0.2">
      <c r="A158" s="304" t="s">
        <v>24</v>
      </c>
      <c r="B158" s="304" t="s">
        <v>285</v>
      </c>
      <c r="C158" s="306">
        <v>0</v>
      </c>
      <c r="D158" s="306">
        <v>1.2</v>
      </c>
      <c r="E158" s="306">
        <v>0.1</v>
      </c>
      <c r="F158" s="306">
        <v>1.1000000000000001</v>
      </c>
    </row>
    <row r="159" spans="1:13" x14ac:dyDescent="0.2">
      <c r="A159" s="328"/>
      <c r="B159" s="329" t="s">
        <v>289</v>
      </c>
      <c r="C159" s="412">
        <f>SUM(C149:C158)</f>
        <v>8711</v>
      </c>
      <c r="D159" s="412">
        <f>SUM(D149:D158)</f>
        <v>8813.3000000000011</v>
      </c>
      <c r="E159" s="412">
        <f>SUM(E149:E158)</f>
        <v>7976</v>
      </c>
      <c r="F159" s="412">
        <f>SUM(F149:F158)</f>
        <v>837.3</v>
      </c>
    </row>
    <row r="161" spans="6:9" x14ac:dyDescent="0.2">
      <c r="F161" s="537"/>
      <c r="G161" s="537"/>
      <c r="H161" s="537"/>
      <c r="I161" s="537"/>
    </row>
  </sheetData>
  <mergeCells count="15">
    <mergeCell ref="F4:F6"/>
    <mergeCell ref="A1:M1"/>
    <mergeCell ref="A2:M2"/>
    <mergeCell ref="A4:A6"/>
    <mergeCell ref="B4:B6"/>
    <mergeCell ref="C4:C6"/>
    <mergeCell ref="D4:D6"/>
    <mergeCell ref="E4:E6"/>
    <mergeCell ref="G4:G6"/>
    <mergeCell ref="H4:H6"/>
    <mergeCell ref="I4:M4"/>
    <mergeCell ref="I5:I6"/>
    <mergeCell ref="J5:J6"/>
    <mergeCell ref="K5:L5"/>
    <mergeCell ref="M5:M6"/>
  </mergeCells>
  <pageMargins left="0.39370078740157483" right="0.39370078740157483" top="0.39370078740157483" bottom="0.39370078740157483" header="0.31496062992125984" footer="0.31496062992125984"/>
  <pageSetup paperSize="9" scale="65" orientation="landscape" r:id="rId1"/>
  <rowBreaks count="9" manualBreakCount="9">
    <brk id="16" max="16383" man="1"/>
    <brk id="25" max="16383" man="1"/>
    <brk id="43" max="16383" man="1"/>
    <brk id="62" max="16383" man="1"/>
    <brk id="75" max="16383" man="1"/>
    <brk id="87" max="16383" man="1"/>
    <brk id="103" max="12" man="1"/>
    <brk id="123" max="12" man="1"/>
    <brk id="1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topLeftCell="A88" workbookViewId="0">
      <selection activeCell="B101" sqref="B101"/>
    </sheetView>
  </sheetViews>
  <sheetFormatPr defaultRowHeight="15" x14ac:dyDescent="0.2"/>
  <cols>
    <col min="1" max="1" width="7.42578125" customWidth="1"/>
    <col min="2" max="2" width="33.5703125" customWidth="1"/>
    <col min="4" max="4" width="9.28515625" style="291"/>
    <col min="8" max="8" width="0" hidden="1" customWidth="1"/>
    <col min="9" max="9" width="32.28515625" customWidth="1"/>
    <col min="11" max="12" width="7.7109375" customWidth="1"/>
    <col min="13" max="14" width="38" customWidth="1"/>
  </cols>
  <sheetData>
    <row r="1" spans="1:15" ht="15.75" x14ac:dyDescent="0.2">
      <c r="A1" s="617" t="s">
        <v>27</v>
      </c>
      <c r="B1" s="617"/>
      <c r="C1" s="617"/>
      <c r="D1" s="617"/>
      <c r="E1" s="617"/>
      <c r="F1" s="617"/>
      <c r="G1" s="617"/>
      <c r="H1" s="617"/>
      <c r="I1" s="617"/>
      <c r="J1" s="617"/>
      <c r="K1" s="617"/>
      <c r="L1" s="617"/>
      <c r="M1" s="617"/>
      <c r="N1" s="617"/>
      <c r="O1" s="19"/>
    </row>
    <row r="2" spans="1:15" ht="15.75" x14ac:dyDescent="0.2">
      <c r="A2" s="618" t="s">
        <v>48</v>
      </c>
      <c r="B2" s="618"/>
      <c r="C2" s="618"/>
      <c r="D2" s="618"/>
      <c r="E2" s="618"/>
      <c r="F2" s="618"/>
      <c r="G2" s="618"/>
      <c r="H2" s="618"/>
      <c r="I2" s="618"/>
      <c r="J2" s="618"/>
      <c r="K2" s="618"/>
      <c r="L2" s="618"/>
      <c r="M2" s="618"/>
      <c r="N2" s="618"/>
      <c r="O2" s="20"/>
    </row>
    <row r="3" spans="1:15" ht="21" customHeight="1" thickBot="1" x14ac:dyDescent="0.3">
      <c r="A3" s="21"/>
      <c r="B3" s="22"/>
      <c r="C3" s="23"/>
      <c r="D3" s="24"/>
      <c r="E3" s="25"/>
      <c r="F3" s="25"/>
      <c r="G3" s="25"/>
      <c r="H3" s="22"/>
      <c r="I3" s="22"/>
      <c r="J3" s="26"/>
      <c r="K3" s="24"/>
      <c r="L3" s="24"/>
      <c r="M3" s="27"/>
      <c r="N3" s="28" t="s">
        <v>34</v>
      </c>
      <c r="O3" s="22"/>
    </row>
    <row r="4" spans="1:15" ht="18.75" customHeight="1" x14ac:dyDescent="0.25">
      <c r="A4" s="619" t="s">
        <v>63</v>
      </c>
      <c r="B4" s="622" t="s">
        <v>64</v>
      </c>
      <c r="C4" s="625" t="s">
        <v>65</v>
      </c>
      <c r="D4" s="625" t="s">
        <v>1</v>
      </c>
      <c r="E4" s="628" t="s">
        <v>66</v>
      </c>
      <c r="F4" s="628" t="s">
        <v>67</v>
      </c>
      <c r="G4" s="628" t="s">
        <v>68</v>
      </c>
      <c r="H4" s="631" t="s">
        <v>69</v>
      </c>
      <c r="I4" s="634" t="s">
        <v>70</v>
      </c>
      <c r="J4" s="635"/>
      <c r="K4" s="635"/>
      <c r="L4" s="636"/>
      <c r="M4" s="637" t="s">
        <v>28</v>
      </c>
      <c r="N4" s="640" t="s">
        <v>29</v>
      </c>
      <c r="O4" s="29"/>
    </row>
    <row r="5" spans="1:15" ht="18.75" customHeight="1" x14ac:dyDescent="0.25">
      <c r="A5" s="620"/>
      <c r="B5" s="623"/>
      <c r="C5" s="626"/>
      <c r="D5" s="626"/>
      <c r="E5" s="629"/>
      <c r="F5" s="629"/>
      <c r="G5" s="629"/>
      <c r="H5" s="632"/>
      <c r="I5" s="623" t="s">
        <v>71</v>
      </c>
      <c r="J5" s="643" t="s">
        <v>72</v>
      </c>
      <c r="K5" s="623" t="s">
        <v>73</v>
      </c>
      <c r="L5" s="645"/>
      <c r="M5" s="638"/>
      <c r="N5" s="641"/>
      <c r="O5" s="22"/>
    </row>
    <row r="6" spans="1:15" ht="58.5" customHeight="1" thickBot="1" x14ac:dyDescent="0.3">
      <c r="A6" s="621"/>
      <c r="B6" s="624"/>
      <c r="C6" s="627"/>
      <c r="D6" s="627"/>
      <c r="E6" s="630"/>
      <c r="F6" s="630"/>
      <c r="G6" s="630"/>
      <c r="H6" s="633"/>
      <c r="I6" s="624"/>
      <c r="J6" s="644"/>
      <c r="K6" s="30" t="s">
        <v>49</v>
      </c>
      <c r="L6" s="30" t="s">
        <v>74</v>
      </c>
      <c r="M6" s="639"/>
      <c r="N6" s="642"/>
      <c r="O6" s="22"/>
    </row>
    <row r="7" spans="1:15" ht="21" customHeight="1" thickBot="1" x14ac:dyDescent="0.3">
      <c r="A7" s="31" t="s">
        <v>3</v>
      </c>
      <c r="B7" s="32" t="s">
        <v>75</v>
      </c>
      <c r="C7" s="33"/>
      <c r="D7" s="33"/>
      <c r="E7" s="34">
        <f>SUM(E8:E8)</f>
        <v>11389.4</v>
      </c>
      <c r="F7" s="34">
        <f>SUM(F8:F8)</f>
        <v>11336.499999999998</v>
      </c>
      <c r="G7" s="34">
        <f>SUM(G8:G8)</f>
        <v>10542.699999999997</v>
      </c>
      <c r="H7" s="35">
        <f>SUM(H8:H8)</f>
        <v>472.40000000000003</v>
      </c>
      <c r="I7" s="36"/>
      <c r="J7" s="37"/>
      <c r="K7" s="33"/>
      <c r="L7" s="33"/>
      <c r="M7" s="36"/>
      <c r="N7" s="38"/>
      <c r="O7" s="22"/>
    </row>
    <row r="8" spans="1:15" ht="36.75" customHeight="1" x14ac:dyDescent="0.25">
      <c r="A8" s="39" t="s">
        <v>76</v>
      </c>
      <c r="B8" s="646" t="s">
        <v>77</v>
      </c>
      <c r="C8" s="40"/>
      <c r="D8" s="40"/>
      <c r="E8" s="41">
        <f>E9+E10+E35+E128</f>
        <v>11389.4</v>
      </c>
      <c r="F8" s="41">
        <f>F9+F10+F35+F128</f>
        <v>11336.499999999998</v>
      </c>
      <c r="G8" s="41">
        <f>G9+G10+G35+G128-0.1</f>
        <v>10542.699999999997</v>
      </c>
      <c r="H8" s="42">
        <f>H9+H10+H35+H128+0.1</f>
        <v>472.40000000000003</v>
      </c>
      <c r="I8" s="43" t="s">
        <v>78</v>
      </c>
      <c r="J8" s="44" t="s">
        <v>79</v>
      </c>
      <c r="K8" s="45">
        <v>47.2</v>
      </c>
      <c r="L8" s="45">
        <v>68.5</v>
      </c>
      <c r="M8" s="43"/>
      <c r="N8" s="46" t="s">
        <v>80</v>
      </c>
      <c r="O8" s="22"/>
    </row>
    <row r="9" spans="1:15" ht="51" customHeight="1" thickBot="1" x14ac:dyDescent="0.3">
      <c r="A9" s="47"/>
      <c r="B9" s="647"/>
      <c r="C9" s="48"/>
      <c r="D9" s="49"/>
      <c r="E9" s="50"/>
      <c r="F9" s="50"/>
      <c r="G9" s="50"/>
      <c r="H9" s="51">
        <v>0</v>
      </c>
      <c r="I9" s="52" t="s">
        <v>81</v>
      </c>
      <c r="J9" s="53" t="s">
        <v>82</v>
      </c>
      <c r="K9" s="54" t="s">
        <v>83</v>
      </c>
      <c r="L9" s="54" t="s">
        <v>84</v>
      </c>
      <c r="M9" s="55"/>
      <c r="N9" s="56"/>
      <c r="O9" s="22"/>
    </row>
    <row r="10" spans="1:15" ht="51.75" customHeight="1" thickBot="1" x14ac:dyDescent="0.3">
      <c r="A10" s="57" t="s">
        <v>85</v>
      </c>
      <c r="B10" s="58" t="s">
        <v>86</v>
      </c>
      <c r="C10" s="59"/>
      <c r="D10" s="59"/>
      <c r="E10" s="60">
        <f>E11+E16+E18+E20+E23+E25+E29</f>
        <v>1817.3000000000004</v>
      </c>
      <c r="F10" s="60">
        <f>F11+F16+F18+F20+F23+F25+F29</f>
        <v>1839.4000000000003</v>
      </c>
      <c r="G10" s="60">
        <f>G11+G16+G18+G20+G23+G25+G29+0.1</f>
        <v>1819.8000000000002</v>
      </c>
      <c r="H10" s="61">
        <f>H11+H16+H18+H20+H23+H25+H29-0.1</f>
        <v>6.1000000000000005</v>
      </c>
      <c r="I10" s="62"/>
      <c r="J10" s="63"/>
      <c r="K10" s="59"/>
      <c r="L10" s="59"/>
      <c r="M10" s="62"/>
      <c r="N10" s="64"/>
      <c r="O10" s="22"/>
    </row>
    <row r="11" spans="1:15" ht="33" hidden="1" customHeight="1" x14ac:dyDescent="0.25">
      <c r="A11" s="65" t="s">
        <v>87</v>
      </c>
      <c r="B11" s="66" t="s">
        <v>88</v>
      </c>
      <c r="C11" s="67"/>
      <c r="D11" s="68"/>
      <c r="E11" s="69">
        <f>SUM(E12:E12)</f>
        <v>1227.1000000000001</v>
      </c>
      <c r="F11" s="69">
        <f>SUM(F12:F12)</f>
        <v>1240.3000000000002</v>
      </c>
      <c r="G11" s="69">
        <f>SUM(G12:G12)</f>
        <v>1239.8000000000002</v>
      </c>
      <c r="H11" s="70">
        <f>SUM(H12:H12)</f>
        <v>0</v>
      </c>
      <c r="I11" s="71"/>
      <c r="J11" s="72"/>
      <c r="K11" s="68"/>
      <c r="L11" s="68"/>
      <c r="M11" s="71"/>
      <c r="N11" s="73"/>
      <c r="O11" s="22"/>
    </row>
    <row r="12" spans="1:15" ht="37.5" customHeight="1" x14ac:dyDescent="0.25">
      <c r="A12" s="565" t="s">
        <v>87</v>
      </c>
      <c r="B12" s="648" t="s">
        <v>50</v>
      </c>
      <c r="C12" s="74">
        <v>2</v>
      </c>
      <c r="D12" s="75"/>
      <c r="E12" s="76">
        <f>SUM(E13:E15)</f>
        <v>1227.1000000000001</v>
      </c>
      <c r="F12" s="76">
        <f>SUM(F13:F15)</f>
        <v>1240.3000000000002</v>
      </c>
      <c r="G12" s="76">
        <f>SUM(G13:G15)</f>
        <v>1239.8000000000002</v>
      </c>
      <c r="H12" s="70">
        <f>SUM(H13:H15)</f>
        <v>0</v>
      </c>
      <c r="I12" s="71" t="s">
        <v>89</v>
      </c>
      <c r="J12" s="72" t="s">
        <v>90</v>
      </c>
      <c r="K12" s="68">
        <v>10</v>
      </c>
      <c r="L12" s="68">
        <v>10</v>
      </c>
      <c r="M12" s="71"/>
      <c r="N12" s="73" t="s">
        <v>91</v>
      </c>
      <c r="O12" s="22"/>
    </row>
    <row r="13" spans="1:15" ht="51" customHeight="1" x14ac:dyDescent="0.25">
      <c r="A13" s="566"/>
      <c r="B13" s="649"/>
      <c r="C13" s="77"/>
      <c r="D13" s="78" t="s">
        <v>20</v>
      </c>
      <c r="E13" s="79">
        <v>234.9</v>
      </c>
      <c r="F13" s="79">
        <v>234.9</v>
      </c>
      <c r="G13" s="79">
        <v>234.9</v>
      </c>
      <c r="H13" s="80">
        <v>0</v>
      </c>
      <c r="I13" s="81" t="s">
        <v>92</v>
      </c>
      <c r="J13" s="82" t="s">
        <v>90</v>
      </c>
      <c r="K13" s="83">
        <v>80</v>
      </c>
      <c r="L13" s="83">
        <v>76</v>
      </c>
      <c r="M13" s="81"/>
      <c r="N13" s="84" t="s">
        <v>93</v>
      </c>
      <c r="O13" s="22"/>
    </row>
    <row r="14" spans="1:15" ht="85.5" customHeight="1" x14ac:dyDescent="0.25">
      <c r="A14" s="85"/>
      <c r="B14" s="86"/>
      <c r="C14" s="77"/>
      <c r="D14" s="78" t="s">
        <v>2</v>
      </c>
      <c r="E14" s="79">
        <v>981</v>
      </c>
      <c r="F14" s="79">
        <v>994.2</v>
      </c>
      <c r="G14" s="79">
        <v>993.7</v>
      </c>
      <c r="H14" s="80">
        <v>0</v>
      </c>
      <c r="I14" s="87" t="s">
        <v>94</v>
      </c>
      <c r="J14" s="88" t="s">
        <v>95</v>
      </c>
      <c r="K14" s="78">
        <v>218</v>
      </c>
      <c r="L14" s="78">
        <v>232</v>
      </c>
      <c r="M14" s="87"/>
      <c r="N14" s="89" t="s">
        <v>96</v>
      </c>
      <c r="O14" s="22"/>
    </row>
    <row r="15" spans="1:15" ht="50.25" customHeight="1" thickBot="1" x14ac:dyDescent="0.3">
      <c r="A15" s="85"/>
      <c r="B15" s="86"/>
      <c r="C15" s="90"/>
      <c r="D15" s="78" t="s">
        <v>41</v>
      </c>
      <c r="E15" s="79">
        <v>11.2</v>
      </c>
      <c r="F15" s="79">
        <v>11.2</v>
      </c>
      <c r="G15" s="79">
        <v>11.2</v>
      </c>
      <c r="H15" s="80">
        <v>0</v>
      </c>
      <c r="I15" s="87" t="s">
        <v>40</v>
      </c>
      <c r="J15" s="88" t="s">
        <v>95</v>
      </c>
      <c r="K15" s="78">
        <v>35</v>
      </c>
      <c r="L15" s="78">
        <v>33</v>
      </c>
      <c r="M15" s="87"/>
      <c r="N15" s="89" t="s">
        <v>97</v>
      </c>
      <c r="O15" s="22"/>
    </row>
    <row r="16" spans="1:15" ht="33" hidden="1" customHeight="1" x14ac:dyDescent="0.25">
      <c r="A16" s="65" t="s">
        <v>98</v>
      </c>
      <c r="B16" s="66" t="s">
        <v>99</v>
      </c>
      <c r="C16" s="67"/>
      <c r="D16" s="68"/>
      <c r="E16" s="69">
        <f>SUM(E17:E17)</f>
        <v>71.2</v>
      </c>
      <c r="F16" s="69">
        <f>SUM(F17:F17)</f>
        <v>71.2</v>
      </c>
      <c r="G16" s="69">
        <f>SUM(G17:G17)</f>
        <v>71.2</v>
      </c>
      <c r="H16" s="70">
        <f>SUM(H17:H17)</f>
        <v>0</v>
      </c>
      <c r="I16" s="71"/>
      <c r="J16" s="72"/>
      <c r="K16" s="68"/>
      <c r="L16" s="68"/>
      <c r="M16" s="71"/>
      <c r="N16" s="73"/>
      <c r="O16" s="22"/>
    </row>
    <row r="17" spans="1:15" ht="39" customHeight="1" thickBot="1" x14ac:dyDescent="0.3">
      <c r="A17" s="65" t="s">
        <v>98</v>
      </c>
      <c r="B17" s="66" t="s">
        <v>51</v>
      </c>
      <c r="C17" s="67">
        <v>2</v>
      </c>
      <c r="D17" s="68" t="s">
        <v>2</v>
      </c>
      <c r="E17" s="91">
        <v>71.2</v>
      </c>
      <c r="F17" s="91">
        <v>71.2</v>
      </c>
      <c r="G17" s="91">
        <v>71.2</v>
      </c>
      <c r="H17" s="92">
        <v>0</v>
      </c>
      <c r="I17" s="71" t="s">
        <v>100</v>
      </c>
      <c r="J17" s="72" t="s">
        <v>79</v>
      </c>
      <c r="K17" s="68">
        <v>30</v>
      </c>
      <c r="L17" s="68">
        <v>30</v>
      </c>
      <c r="M17" s="71"/>
      <c r="N17" s="73" t="s">
        <v>101</v>
      </c>
      <c r="O17" s="22"/>
    </row>
    <row r="18" spans="1:15" ht="38.25" hidden="1" customHeight="1" x14ac:dyDescent="0.25">
      <c r="A18" s="65" t="s">
        <v>102</v>
      </c>
      <c r="B18" s="66" t="s">
        <v>103</v>
      </c>
      <c r="C18" s="67"/>
      <c r="D18" s="68"/>
      <c r="E18" s="69">
        <f>SUM(E19:E19)</f>
        <v>8</v>
      </c>
      <c r="F18" s="69">
        <f>SUM(F19:F19)</f>
        <v>0</v>
      </c>
      <c r="G18" s="69">
        <f>SUM(G19:G19)</f>
        <v>0</v>
      </c>
      <c r="H18" s="70">
        <f>SUM(H19:H19)</f>
        <v>0</v>
      </c>
      <c r="I18" s="71"/>
      <c r="J18" s="72"/>
      <c r="K18" s="68"/>
      <c r="L18" s="68"/>
      <c r="M18" s="71"/>
      <c r="N18" s="73"/>
      <c r="O18" s="22"/>
    </row>
    <row r="19" spans="1:15" ht="54.75" customHeight="1" thickBot="1" x14ac:dyDescent="0.3">
      <c r="A19" s="65" t="s">
        <v>102</v>
      </c>
      <c r="B19" s="66" t="s">
        <v>39</v>
      </c>
      <c r="C19" s="67">
        <v>2</v>
      </c>
      <c r="D19" s="68" t="s">
        <v>2</v>
      </c>
      <c r="E19" s="91">
        <v>8</v>
      </c>
      <c r="F19" s="91">
        <v>0</v>
      </c>
      <c r="G19" s="91">
        <v>0</v>
      </c>
      <c r="H19" s="92">
        <v>0</v>
      </c>
      <c r="I19" s="71"/>
      <c r="J19" s="72"/>
      <c r="K19" s="68"/>
      <c r="L19" s="68"/>
      <c r="M19" s="71"/>
      <c r="N19" s="73" t="s">
        <v>104</v>
      </c>
      <c r="O19" s="22"/>
    </row>
    <row r="20" spans="1:15" ht="36.75" hidden="1" customHeight="1" x14ac:dyDescent="0.25">
      <c r="A20" s="65" t="s">
        <v>105</v>
      </c>
      <c r="B20" s="66" t="s">
        <v>23</v>
      </c>
      <c r="C20" s="67"/>
      <c r="D20" s="68"/>
      <c r="E20" s="69">
        <f>SUM(E21:E21)</f>
        <v>200</v>
      </c>
      <c r="F20" s="69">
        <f>SUM(F21:F21)</f>
        <v>200</v>
      </c>
      <c r="G20" s="69">
        <f>SUM(G21:G21)</f>
        <v>200</v>
      </c>
      <c r="H20" s="70">
        <f>SUM(H21:H21)</f>
        <v>0</v>
      </c>
      <c r="I20" s="71"/>
      <c r="J20" s="72"/>
      <c r="K20" s="68"/>
      <c r="L20" s="68"/>
      <c r="M20" s="71"/>
      <c r="N20" s="73"/>
      <c r="O20" s="22"/>
    </row>
    <row r="21" spans="1:15" ht="20.25" customHeight="1" x14ac:dyDescent="0.25">
      <c r="A21" s="565" t="s">
        <v>105</v>
      </c>
      <c r="B21" s="648" t="s">
        <v>23</v>
      </c>
      <c r="C21" s="74">
        <v>2</v>
      </c>
      <c r="D21" s="75" t="s">
        <v>2</v>
      </c>
      <c r="E21" s="93">
        <f>SUM(E22:E22)+200</f>
        <v>200</v>
      </c>
      <c r="F21" s="93">
        <f>SUM(F22:F22)+200</f>
        <v>200</v>
      </c>
      <c r="G21" s="93">
        <f>SUM(G22:G22)+200</f>
        <v>200</v>
      </c>
      <c r="H21" s="70">
        <f>SUM(H22:H22)</f>
        <v>0</v>
      </c>
      <c r="I21" s="71" t="s">
        <v>106</v>
      </c>
      <c r="J21" s="72" t="s">
        <v>90</v>
      </c>
      <c r="K21" s="68">
        <v>7</v>
      </c>
      <c r="L21" s="68">
        <v>7</v>
      </c>
      <c r="M21" s="71"/>
      <c r="N21" s="73"/>
      <c r="O21" s="22"/>
    </row>
    <row r="22" spans="1:15" ht="20.25" customHeight="1" thickBot="1" x14ac:dyDescent="0.3">
      <c r="A22" s="567"/>
      <c r="B22" s="650"/>
      <c r="C22" s="90"/>
      <c r="D22" s="94"/>
      <c r="E22" s="95"/>
      <c r="F22" s="95"/>
      <c r="G22" s="95"/>
      <c r="H22" s="80">
        <v>0</v>
      </c>
      <c r="I22" s="87" t="s">
        <v>107</v>
      </c>
      <c r="J22" s="88" t="s">
        <v>90</v>
      </c>
      <c r="K22" s="78">
        <v>7</v>
      </c>
      <c r="L22" s="78">
        <v>7</v>
      </c>
      <c r="M22" s="87"/>
      <c r="N22" s="89"/>
      <c r="O22" s="22"/>
    </row>
    <row r="23" spans="1:15" ht="51" hidden="1" customHeight="1" x14ac:dyDescent="0.25">
      <c r="A23" s="65" t="s">
        <v>108</v>
      </c>
      <c r="B23" s="66" t="s">
        <v>109</v>
      </c>
      <c r="C23" s="67"/>
      <c r="D23" s="68"/>
      <c r="E23" s="69">
        <f>SUM(E24:E24)</f>
        <v>75.400000000000006</v>
      </c>
      <c r="F23" s="69">
        <f>SUM(F24:F24)</f>
        <v>75.400000000000006</v>
      </c>
      <c r="G23" s="69">
        <f>SUM(G24:G24)</f>
        <v>75.2</v>
      </c>
      <c r="H23" s="70">
        <f>SUM(H24:H24)</f>
        <v>0.2</v>
      </c>
      <c r="I23" s="71"/>
      <c r="J23" s="72"/>
      <c r="K23" s="68"/>
      <c r="L23" s="68"/>
      <c r="M23" s="71"/>
      <c r="N23" s="73"/>
      <c r="O23" s="22"/>
    </row>
    <row r="24" spans="1:15" ht="36.75" customHeight="1" thickBot="1" x14ac:dyDescent="0.3">
      <c r="A24" s="65" t="s">
        <v>108</v>
      </c>
      <c r="B24" s="66" t="s">
        <v>110</v>
      </c>
      <c r="C24" s="67">
        <v>2</v>
      </c>
      <c r="D24" s="68" t="s">
        <v>2</v>
      </c>
      <c r="E24" s="91">
        <v>75.400000000000006</v>
      </c>
      <c r="F24" s="91">
        <v>75.400000000000006</v>
      </c>
      <c r="G24" s="91">
        <v>75.2</v>
      </c>
      <c r="H24" s="92">
        <v>0.2</v>
      </c>
      <c r="I24" s="71" t="s">
        <v>111</v>
      </c>
      <c r="J24" s="72" t="s">
        <v>90</v>
      </c>
      <c r="K24" s="68">
        <v>15</v>
      </c>
      <c r="L24" s="68">
        <v>15</v>
      </c>
      <c r="M24" s="71"/>
      <c r="N24" s="73" t="s">
        <v>112</v>
      </c>
      <c r="O24" s="22"/>
    </row>
    <row r="25" spans="1:15" ht="31.5" hidden="1" customHeight="1" x14ac:dyDescent="0.25">
      <c r="A25" s="65" t="s">
        <v>113</v>
      </c>
      <c r="B25" s="66" t="s">
        <v>21</v>
      </c>
      <c r="C25" s="67"/>
      <c r="D25" s="68"/>
      <c r="E25" s="69">
        <f>SUM(E26:E26)</f>
        <v>173.7</v>
      </c>
      <c r="F25" s="69">
        <f>SUM(F26:F26)</f>
        <v>198.3</v>
      </c>
      <c r="G25" s="69">
        <f>SUM(G26:G26)</f>
        <v>185.3</v>
      </c>
      <c r="H25" s="70">
        <f>SUM(H26:H26)</f>
        <v>0</v>
      </c>
      <c r="I25" s="71"/>
      <c r="J25" s="72"/>
      <c r="K25" s="68"/>
      <c r="L25" s="68"/>
      <c r="M25" s="71"/>
      <c r="N25" s="73"/>
      <c r="O25" s="22"/>
    </row>
    <row r="26" spans="1:15" ht="208.5" customHeight="1" x14ac:dyDescent="0.25">
      <c r="A26" s="96" t="s">
        <v>114</v>
      </c>
      <c r="B26" s="97" t="s">
        <v>52</v>
      </c>
      <c r="C26" s="74">
        <v>2</v>
      </c>
      <c r="D26" s="68"/>
      <c r="E26" s="98">
        <f>SUM(E27:E28)</f>
        <v>173.7</v>
      </c>
      <c r="F26" s="98">
        <f>SUM(F27:F28)</f>
        <v>198.3</v>
      </c>
      <c r="G26" s="98">
        <f>SUM(G27:G28)</f>
        <v>185.3</v>
      </c>
      <c r="H26" s="70">
        <f>SUM(H27:H28)</f>
        <v>0</v>
      </c>
      <c r="I26" s="99" t="s">
        <v>115</v>
      </c>
      <c r="J26" s="100" t="s">
        <v>90</v>
      </c>
      <c r="K26" s="101">
        <v>9</v>
      </c>
      <c r="L26" s="101">
        <v>8</v>
      </c>
      <c r="M26" s="102" t="s">
        <v>116</v>
      </c>
      <c r="N26" s="103" t="s">
        <v>117</v>
      </c>
      <c r="O26" s="22"/>
    </row>
    <row r="27" spans="1:15" ht="127.5" customHeight="1" x14ac:dyDescent="0.25">
      <c r="A27" s="85"/>
      <c r="B27" s="104"/>
      <c r="C27" s="77"/>
      <c r="D27" s="78" t="s">
        <v>2</v>
      </c>
      <c r="E27" s="79">
        <v>137.69999999999999</v>
      </c>
      <c r="F27" s="79">
        <v>147.30000000000001</v>
      </c>
      <c r="G27" s="79">
        <v>134.30000000000001</v>
      </c>
      <c r="H27" s="80">
        <v>0</v>
      </c>
      <c r="I27" s="55" t="s">
        <v>118</v>
      </c>
      <c r="J27" s="105" t="s">
        <v>95</v>
      </c>
      <c r="K27" s="106">
        <v>4</v>
      </c>
      <c r="L27" s="106">
        <v>3</v>
      </c>
      <c r="M27" s="107" t="s">
        <v>119</v>
      </c>
      <c r="N27" s="108" t="s">
        <v>117</v>
      </c>
      <c r="O27" s="22"/>
    </row>
    <row r="28" spans="1:15" ht="118.5" customHeight="1" thickBot="1" x14ac:dyDescent="0.3">
      <c r="A28" s="109"/>
      <c r="B28" s="110"/>
      <c r="C28" s="111"/>
      <c r="D28" s="78" t="s">
        <v>37</v>
      </c>
      <c r="E28" s="79">
        <v>36</v>
      </c>
      <c r="F28" s="79">
        <v>51</v>
      </c>
      <c r="G28" s="79">
        <v>51</v>
      </c>
      <c r="H28" s="80">
        <v>0</v>
      </c>
      <c r="I28" s="55" t="s">
        <v>120</v>
      </c>
      <c r="J28" s="105" t="s">
        <v>95</v>
      </c>
      <c r="K28" s="106">
        <v>13</v>
      </c>
      <c r="L28" s="106">
        <v>8</v>
      </c>
      <c r="M28" s="107" t="s">
        <v>121</v>
      </c>
      <c r="N28" s="108" t="s">
        <v>122</v>
      </c>
      <c r="O28" s="22"/>
    </row>
    <row r="29" spans="1:15" ht="38.25" hidden="1" customHeight="1" x14ac:dyDescent="0.25">
      <c r="A29" s="65" t="s">
        <v>123</v>
      </c>
      <c r="B29" s="66" t="s">
        <v>124</v>
      </c>
      <c r="C29" s="67"/>
      <c r="D29" s="68"/>
      <c r="E29" s="98">
        <f>SUM(E30:E30)</f>
        <v>61.9</v>
      </c>
      <c r="F29" s="98">
        <f>SUM(F30:F30)</f>
        <v>54.2</v>
      </c>
      <c r="G29" s="98">
        <f>SUM(G30:G30)</f>
        <v>48.2</v>
      </c>
      <c r="H29" s="70">
        <f>SUM(H30:H30)</f>
        <v>6</v>
      </c>
      <c r="I29" s="71"/>
      <c r="J29" s="72"/>
      <c r="K29" s="68"/>
      <c r="L29" s="68"/>
      <c r="M29" s="71"/>
      <c r="N29" s="73"/>
      <c r="O29" s="22"/>
    </row>
    <row r="30" spans="1:15" ht="101.25" customHeight="1" x14ac:dyDescent="0.25">
      <c r="A30" s="96" t="s">
        <v>113</v>
      </c>
      <c r="B30" s="112" t="s">
        <v>53</v>
      </c>
      <c r="C30" s="74">
        <v>2</v>
      </c>
      <c r="D30" s="75" t="s">
        <v>2</v>
      </c>
      <c r="E30" s="93">
        <f>SUM(E31:E34)+61.9</f>
        <v>61.9</v>
      </c>
      <c r="F30" s="93">
        <f>SUM(F31:F34)+54.2</f>
        <v>54.2</v>
      </c>
      <c r="G30" s="93">
        <f>SUM(G31:G34)+48.2</f>
        <v>48.2</v>
      </c>
      <c r="H30" s="70">
        <f>SUM(H31:H34)+6</f>
        <v>6</v>
      </c>
      <c r="I30" s="113" t="s">
        <v>125</v>
      </c>
      <c r="J30" s="114" t="s">
        <v>90</v>
      </c>
      <c r="K30" s="115">
        <v>3</v>
      </c>
      <c r="L30" s="115">
        <v>3</v>
      </c>
      <c r="M30" s="113" t="s">
        <v>126</v>
      </c>
      <c r="N30" s="116"/>
      <c r="O30" s="22"/>
    </row>
    <row r="31" spans="1:15" ht="18" customHeight="1" x14ac:dyDescent="0.25">
      <c r="A31" s="85"/>
      <c r="B31" s="86"/>
      <c r="C31" s="77"/>
      <c r="D31" s="117"/>
      <c r="E31" s="118"/>
      <c r="F31" s="118"/>
      <c r="G31" s="118"/>
      <c r="H31" s="80">
        <v>0</v>
      </c>
      <c r="I31" s="119" t="s">
        <v>127</v>
      </c>
      <c r="J31" s="120" t="s">
        <v>90</v>
      </c>
      <c r="K31" s="121">
        <v>3</v>
      </c>
      <c r="L31" s="121">
        <v>3</v>
      </c>
      <c r="M31" s="119"/>
      <c r="N31" s="122" t="s">
        <v>128</v>
      </c>
      <c r="O31" s="22"/>
    </row>
    <row r="32" spans="1:15" ht="51" customHeight="1" x14ac:dyDescent="0.25">
      <c r="A32" s="85"/>
      <c r="B32" s="86"/>
      <c r="C32" s="77"/>
      <c r="D32" s="117"/>
      <c r="E32" s="118"/>
      <c r="F32" s="118"/>
      <c r="G32" s="118"/>
      <c r="H32" s="80">
        <v>0</v>
      </c>
      <c r="I32" s="119" t="s">
        <v>129</v>
      </c>
      <c r="J32" s="120" t="s">
        <v>90</v>
      </c>
      <c r="K32" s="121">
        <v>10</v>
      </c>
      <c r="L32" s="121">
        <v>10</v>
      </c>
      <c r="M32" s="119" t="s">
        <v>130</v>
      </c>
      <c r="N32" s="122"/>
      <c r="O32" s="22"/>
    </row>
    <row r="33" spans="1:17" ht="113.25" customHeight="1" x14ac:dyDescent="0.25">
      <c r="A33" s="85"/>
      <c r="B33" s="86"/>
      <c r="C33" s="77"/>
      <c r="D33" s="117"/>
      <c r="E33" s="118"/>
      <c r="F33" s="118"/>
      <c r="G33" s="118"/>
      <c r="H33" s="80">
        <v>0</v>
      </c>
      <c r="I33" s="87" t="s">
        <v>131</v>
      </c>
      <c r="J33" s="88" t="s">
        <v>79</v>
      </c>
      <c r="K33" s="78">
        <v>50</v>
      </c>
      <c r="L33" s="78">
        <v>50</v>
      </c>
      <c r="M33" s="81" t="s">
        <v>132</v>
      </c>
      <c r="N33" s="89" t="s">
        <v>133</v>
      </c>
      <c r="O33" s="22"/>
    </row>
    <row r="34" spans="1:17" ht="66.75" customHeight="1" thickBot="1" x14ac:dyDescent="0.3">
      <c r="A34" s="109"/>
      <c r="B34" s="123"/>
      <c r="C34" s="90"/>
      <c r="D34" s="94"/>
      <c r="E34" s="95"/>
      <c r="F34" s="95"/>
      <c r="G34" s="95"/>
      <c r="H34" s="80">
        <v>0</v>
      </c>
      <c r="I34" s="119" t="s">
        <v>134</v>
      </c>
      <c r="J34" s="120" t="s">
        <v>90</v>
      </c>
      <c r="K34" s="121">
        <v>2</v>
      </c>
      <c r="L34" s="121">
        <v>2</v>
      </c>
      <c r="M34" s="119" t="s">
        <v>135</v>
      </c>
      <c r="N34" s="122"/>
      <c r="O34" s="22"/>
    </row>
    <row r="35" spans="1:17" ht="51.75" customHeight="1" thickBot="1" x14ac:dyDescent="0.3">
      <c r="A35" s="57" t="s">
        <v>136</v>
      </c>
      <c r="B35" s="58" t="s">
        <v>19</v>
      </c>
      <c r="C35" s="59"/>
      <c r="D35" s="59"/>
      <c r="E35" s="60">
        <f>E36+E85+E103+E124</f>
        <v>9413.0999999999985</v>
      </c>
      <c r="F35" s="60">
        <f>F36+F85+F103+F124</f>
        <v>9346.0999999999985</v>
      </c>
      <c r="G35" s="60">
        <f>G36+G85+G103+G124</f>
        <v>8586.5999999999985</v>
      </c>
      <c r="H35" s="61">
        <f>H36+H85+H103+H124</f>
        <v>451.59999999999997</v>
      </c>
      <c r="I35" s="62"/>
      <c r="J35" s="63"/>
      <c r="K35" s="59"/>
      <c r="L35" s="59"/>
      <c r="M35" s="62"/>
      <c r="N35" s="64"/>
      <c r="O35" s="22"/>
    </row>
    <row r="36" spans="1:17" ht="21.75" customHeight="1" x14ac:dyDescent="0.25">
      <c r="A36" s="565" t="s">
        <v>137</v>
      </c>
      <c r="B36" s="112" t="s">
        <v>138</v>
      </c>
      <c r="C36" s="74">
        <v>2</v>
      </c>
      <c r="D36" s="75"/>
      <c r="E36" s="93">
        <f>E37+E38+E39+E40+E45+E51+E55+E60+E64+E66+E67+E69+E74+E76+E82+E83</f>
        <v>5454.5999999999995</v>
      </c>
      <c r="F36" s="93">
        <f>F37+F38+F39+F40+F45+F51+F55+F60+F64+F66+F67+F69+F74+F76+F82+F83-0.1</f>
        <v>5630.4999999999991</v>
      </c>
      <c r="G36" s="93">
        <f>G37+G38+G39+G40+G45+G51+G55+G60+G64+G66+G67+G69+G74+G76+G82+G83</f>
        <v>5501.4999999999982</v>
      </c>
      <c r="H36" s="70">
        <f>H37+H38+H39+H40+H45+H51+H55+H60+H64+H66+H67+H69+H74+H76+H82+H83</f>
        <v>55.4</v>
      </c>
      <c r="I36" s="71" t="s">
        <v>139</v>
      </c>
      <c r="J36" s="72" t="s">
        <v>90</v>
      </c>
      <c r="K36" s="68" t="s">
        <v>140</v>
      </c>
      <c r="L36" s="68" t="s">
        <v>141</v>
      </c>
      <c r="M36" s="71"/>
      <c r="N36" s="73"/>
      <c r="O36" s="22"/>
    </row>
    <row r="37" spans="1:17" ht="21" customHeight="1" x14ac:dyDescent="0.25">
      <c r="A37" s="566"/>
      <c r="B37" s="86"/>
      <c r="C37" s="77"/>
      <c r="D37" s="117"/>
      <c r="E37" s="118"/>
      <c r="F37" s="118"/>
      <c r="G37" s="118"/>
      <c r="H37" s="80">
        <v>0</v>
      </c>
      <c r="I37" s="87" t="s">
        <v>142</v>
      </c>
      <c r="J37" s="88" t="s">
        <v>82</v>
      </c>
      <c r="K37" s="78">
        <v>657</v>
      </c>
      <c r="L37" s="78">
        <v>715.34</v>
      </c>
      <c r="M37" s="87"/>
      <c r="N37" s="89"/>
      <c r="O37" s="22"/>
    </row>
    <row r="38" spans="1:17" ht="66.75" customHeight="1" thickBot="1" x14ac:dyDescent="0.3">
      <c r="A38" s="109"/>
      <c r="B38" s="123"/>
      <c r="C38" s="90"/>
      <c r="D38" s="94"/>
      <c r="E38" s="95"/>
      <c r="F38" s="95"/>
      <c r="G38" s="95"/>
      <c r="H38" s="80">
        <v>0</v>
      </c>
      <c r="I38" s="87" t="s">
        <v>143</v>
      </c>
      <c r="J38" s="88" t="s">
        <v>90</v>
      </c>
      <c r="K38" s="78">
        <v>29</v>
      </c>
      <c r="L38" s="78">
        <v>158</v>
      </c>
      <c r="M38" s="87" t="s">
        <v>144</v>
      </c>
      <c r="N38" s="89"/>
      <c r="O38" s="22"/>
    </row>
    <row r="39" spans="1:17" ht="35.25" hidden="1" customHeight="1" x14ac:dyDescent="0.25">
      <c r="A39" s="124"/>
      <c r="B39" s="125"/>
      <c r="C39" s="126"/>
      <c r="D39" s="78"/>
      <c r="E39" s="79"/>
      <c r="F39" s="79"/>
      <c r="G39" s="79"/>
      <c r="H39" s="80">
        <v>0</v>
      </c>
      <c r="I39" s="87" t="s">
        <v>145</v>
      </c>
      <c r="J39" s="88" t="s">
        <v>90</v>
      </c>
      <c r="K39" s="78" t="s">
        <v>146</v>
      </c>
      <c r="L39" s="78" t="s">
        <v>146</v>
      </c>
      <c r="M39" s="87"/>
      <c r="N39" s="89"/>
      <c r="O39" s="22"/>
    </row>
    <row r="40" spans="1:17" ht="19.5" customHeight="1" x14ac:dyDescent="0.25">
      <c r="A40" s="565" t="s">
        <v>147</v>
      </c>
      <c r="B40" s="651" t="s">
        <v>148</v>
      </c>
      <c r="C40" s="74">
        <v>2</v>
      </c>
      <c r="D40" s="67"/>
      <c r="E40" s="98">
        <f>SUM(E41:E44)</f>
        <v>909.80000000000007</v>
      </c>
      <c r="F40" s="98">
        <f>SUM(F41:F44)</f>
        <v>944.6</v>
      </c>
      <c r="G40" s="98">
        <f>SUM(G41:G44)</f>
        <v>939.3</v>
      </c>
      <c r="H40" s="70">
        <f>SUM(H41:H44)</f>
        <v>5.3</v>
      </c>
      <c r="I40" s="71" t="s">
        <v>139</v>
      </c>
      <c r="J40" s="72" t="s">
        <v>95</v>
      </c>
      <c r="K40" s="68">
        <v>269</v>
      </c>
      <c r="L40" s="68">
        <v>264</v>
      </c>
      <c r="M40" s="71"/>
      <c r="N40" s="73"/>
      <c r="O40" s="22"/>
    </row>
    <row r="41" spans="1:17" ht="18.75" customHeight="1" x14ac:dyDescent="0.25">
      <c r="A41" s="566"/>
      <c r="B41" s="652"/>
      <c r="C41" s="77"/>
      <c r="D41" s="78" t="s">
        <v>25</v>
      </c>
      <c r="E41" s="79">
        <v>28.1</v>
      </c>
      <c r="F41" s="79">
        <v>28.1</v>
      </c>
      <c r="G41" s="79">
        <v>28.1</v>
      </c>
      <c r="H41" s="80">
        <v>0</v>
      </c>
      <c r="I41" s="127" t="s">
        <v>142</v>
      </c>
      <c r="J41" s="128" t="s">
        <v>82</v>
      </c>
      <c r="K41" s="129">
        <v>98.7</v>
      </c>
      <c r="L41" s="129" t="s">
        <v>149</v>
      </c>
      <c r="M41" s="127"/>
      <c r="N41" s="130"/>
      <c r="O41" s="22"/>
    </row>
    <row r="42" spans="1:17" ht="15.75" x14ac:dyDescent="0.25">
      <c r="A42" s="85"/>
      <c r="B42" s="652"/>
      <c r="C42" s="77"/>
      <c r="D42" s="78" t="s">
        <v>5</v>
      </c>
      <c r="E42" s="79">
        <v>110.5</v>
      </c>
      <c r="F42" s="79">
        <v>138.5</v>
      </c>
      <c r="G42" s="79">
        <v>133.80000000000001</v>
      </c>
      <c r="H42" s="80">
        <v>4.7</v>
      </c>
      <c r="I42" s="131"/>
      <c r="J42" s="132"/>
      <c r="K42" s="117"/>
      <c r="L42" s="117"/>
      <c r="M42" s="131"/>
      <c r="N42" s="133"/>
      <c r="O42" s="22"/>
    </row>
    <row r="43" spans="1:17" ht="15.75" x14ac:dyDescent="0.25">
      <c r="A43" s="85"/>
      <c r="B43" s="652"/>
      <c r="C43" s="77"/>
      <c r="D43" s="78" t="s">
        <v>2</v>
      </c>
      <c r="E43" s="79">
        <v>771.2</v>
      </c>
      <c r="F43" s="79">
        <v>777.6</v>
      </c>
      <c r="G43" s="79">
        <v>777</v>
      </c>
      <c r="H43" s="80">
        <v>0.6</v>
      </c>
      <c r="I43" s="131"/>
      <c r="J43" s="132"/>
      <c r="K43" s="117"/>
      <c r="L43" s="117"/>
      <c r="M43" s="131"/>
      <c r="N43" s="133"/>
      <c r="O43" s="22"/>
    </row>
    <row r="44" spans="1:17" ht="16.5" thickBot="1" x14ac:dyDescent="0.3">
      <c r="A44" s="109"/>
      <c r="B44" s="653"/>
      <c r="C44" s="90"/>
      <c r="D44" s="78" t="s">
        <v>24</v>
      </c>
      <c r="E44" s="79">
        <v>0</v>
      </c>
      <c r="F44" s="79">
        <v>0.4</v>
      </c>
      <c r="G44" s="79">
        <v>0.4</v>
      </c>
      <c r="H44" s="80">
        <v>0</v>
      </c>
      <c r="I44" s="134"/>
      <c r="J44" s="135"/>
      <c r="K44" s="94"/>
      <c r="L44" s="94"/>
      <c r="M44" s="134"/>
      <c r="N44" s="136"/>
      <c r="O44" s="22"/>
    </row>
    <row r="45" spans="1:17" ht="15.75" x14ac:dyDescent="0.25">
      <c r="A45" s="565" t="s">
        <v>150</v>
      </c>
      <c r="B45" s="648" t="s">
        <v>151</v>
      </c>
      <c r="C45" s="74">
        <v>2</v>
      </c>
      <c r="D45" s="68"/>
      <c r="E45" s="98">
        <f>SUM(E46:E50)</f>
        <v>1728.7</v>
      </c>
      <c r="F45" s="98">
        <f>SUM(F46:F50)</f>
        <v>1775.6</v>
      </c>
      <c r="G45" s="98">
        <f>SUM(G46:G50)+0.1</f>
        <v>1691.8999999999996</v>
      </c>
      <c r="H45" s="70">
        <f>SUM(H46:H50)-0.1</f>
        <v>20.799999999999997</v>
      </c>
      <c r="I45" s="71" t="s">
        <v>139</v>
      </c>
      <c r="J45" s="72" t="s">
        <v>95</v>
      </c>
      <c r="K45" s="68">
        <v>437</v>
      </c>
      <c r="L45" s="68">
        <v>485</v>
      </c>
      <c r="M45" s="71"/>
      <c r="N45" s="73"/>
      <c r="O45" s="22"/>
    </row>
    <row r="46" spans="1:17" ht="18" customHeight="1" x14ac:dyDescent="0.25">
      <c r="A46" s="566"/>
      <c r="B46" s="649"/>
      <c r="C46" s="77"/>
      <c r="D46" s="78" t="s">
        <v>5</v>
      </c>
      <c r="E46" s="79">
        <v>270.89999999999998</v>
      </c>
      <c r="F46" s="79">
        <v>270.89999999999998</v>
      </c>
      <c r="G46" s="79">
        <v>208</v>
      </c>
      <c r="H46" s="80">
        <v>0</v>
      </c>
      <c r="I46" s="127" t="s">
        <v>142</v>
      </c>
      <c r="J46" s="128" t="s">
        <v>82</v>
      </c>
      <c r="K46" s="129">
        <v>77</v>
      </c>
      <c r="L46" s="129" t="s">
        <v>152</v>
      </c>
      <c r="M46" s="127"/>
      <c r="N46" s="130"/>
      <c r="O46" s="22"/>
    </row>
    <row r="47" spans="1:17" ht="15.75" x14ac:dyDescent="0.25">
      <c r="A47" s="85"/>
      <c r="B47" s="649"/>
      <c r="C47" s="77"/>
      <c r="D47" s="78" t="s">
        <v>25</v>
      </c>
      <c r="E47" s="79">
        <v>33.4</v>
      </c>
      <c r="F47" s="79">
        <v>33.4</v>
      </c>
      <c r="G47" s="79">
        <v>29.7</v>
      </c>
      <c r="H47" s="80">
        <v>3.7</v>
      </c>
      <c r="I47" s="131"/>
      <c r="J47" s="132"/>
      <c r="K47" s="117"/>
      <c r="L47" s="117"/>
      <c r="M47" s="131"/>
      <c r="N47" s="133"/>
      <c r="O47" s="22"/>
    </row>
    <row r="48" spans="1:17" ht="15.75" x14ac:dyDescent="0.25">
      <c r="A48" s="85"/>
      <c r="B48" s="86"/>
      <c r="C48" s="77"/>
      <c r="D48" s="78" t="s">
        <v>37</v>
      </c>
      <c r="E48" s="79">
        <v>39.5</v>
      </c>
      <c r="F48" s="79">
        <v>39.5</v>
      </c>
      <c r="G48" s="79">
        <v>39.4</v>
      </c>
      <c r="H48" s="80">
        <v>0.1</v>
      </c>
      <c r="I48" s="131"/>
      <c r="J48" s="132"/>
      <c r="K48" s="117"/>
      <c r="L48" s="117"/>
      <c r="M48" s="131"/>
      <c r="N48" s="133"/>
      <c r="O48" s="22"/>
      <c r="P48" s="137"/>
      <c r="Q48" s="137"/>
    </row>
    <row r="49" spans="1:17" ht="15.75" x14ac:dyDescent="0.25">
      <c r="A49" s="85"/>
      <c r="B49" s="86"/>
      <c r="C49" s="77"/>
      <c r="D49" s="78" t="s">
        <v>2</v>
      </c>
      <c r="E49" s="79">
        <v>1384.9</v>
      </c>
      <c r="F49" s="79">
        <v>1407.7</v>
      </c>
      <c r="G49" s="79">
        <v>1405.6</v>
      </c>
      <c r="H49" s="80">
        <v>2.1</v>
      </c>
      <c r="I49" s="131"/>
      <c r="J49" s="132"/>
      <c r="K49" s="117"/>
      <c r="L49" s="117"/>
      <c r="M49" s="131"/>
      <c r="N49" s="133"/>
      <c r="O49" s="22"/>
    </row>
    <row r="50" spans="1:17" ht="16.5" thickBot="1" x14ac:dyDescent="0.3">
      <c r="A50" s="109"/>
      <c r="B50" s="123"/>
      <c r="C50" s="90"/>
      <c r="D50" s="78" t="s">
        <v>24</v>
      </c>
      <c r="E50" s="79">
        <v>0</v>
      </c>
      <c r="F50" s="79">
        <v>24.1</v>
      </c>
      <c r="G50" s="79">
        <v>9.1</v>
      </c>
      <c r="H50" s="80">
        <v>15</v>
      </c>
      <c r="I50" s="134"/>
      <c r="J50" s="135"/>
      <c r="K50" s="94"/>
      <c r="L50" s="94"/>
      <c r="M50" s="134"/>
      <c r="N50" s="136"/>
      <c r="O50" s="22"/>
    </row>
    <row r="51" spans="1:17" ht="17.25" customHeight="1" x14ac:dyDescent="0.25">
      <c r="A51" s="565" t="s">
        <v>153</v>
      </c>
      <c r="B51" s="648" t="s">
        <v>7</v>
      </c>
      <c r="C51" s="654">
        <v>2</v>
      </c>
      <c r="D51" s="68"/>
      <c r="E51" s="98">
        <f>SUM(E52:E54)</f>
        <v>96</v>
      </c>
      <c r="F51" s="98">
        <f>SUM(F52:F54)</f>
        <v>100</v>
      </c>
      <c r="G51" s="98">
        <f>SUM(G52:G54)-0.1</f>
        <v>99.600000000000009</v>
      </c>
      <c r="H51" s="70">
        <f>SUM(H52:H54)</f>
        <v>0.3</v>
      </c>
      <c r="I51" s="71" t="s">
        <v>139</v>
      </c>
      <c r="J51" s="72" t="s">
        <v>95</v>
      </c>
      <c r="K51" s="68">
        <v>91</v>
      </c>
      <c r="L51" s="68">
        <v>123</v>
      </c>
      <c r="M51" s="71"/>
      <c r="N51" s="73"/>
      <c r="O51" s="22"/>
    </row>
    <row r="52" spans="1:17" ht="18" customHeight="1" x14ac:dyDescent="0.25">
      <c r="A52" s="566"/>
      <c r="B52" s="649"/>
      <c r="C52" s="658"/>
      <c r="D52" s="78" t="s">
        <v>5</v>
      </c>
      <c r="E52" s="79">
        <v>0</v>
      </c>
      <c r="F52" s="79">
        <v>0.5</v>
      </c>
      <c r="G52" s="79">
        <v>0.5</v>
      </c>
      <c r="H52" s="80">
        <v>0</v>
      </c>
      <c r="I52" s="127" t="s">
        <v>154</v>
      </c>
      <c r="J52" s="128" t="s">
        <v>90</v>
      </c>
      <c r="K52" s="129">
        <v>11</v>
      </c>
      <c r="L52" s="129">
        <v>15</v>
      </c>
      <c r="M52" s="127"/>
      <c r="N52" s="130"/>
      <c r="O52" s="22"/>
    </row>
    <row r="53" spans="1:17" ht="15.75" x14ac:dyDescent="0.25">
      <c r="A53" s="85"/>
      <c r="B53" s="649"/>
      <c r="C53" s="658"/>
      <c r="D53" s="78" t="s">
        <v>2</v>
      </c>
      <c r="E53" s="79">
        <v>96</v>
      </c>
      <c r="F53" s="79">
        <v>98.9</v>
      </c>
      <c r="G53" s="79">
        <v>98.9</v>
      </c>
      <c r="H53" s="80">
        <v>0</v>
      </c>
      <c r="I53" s="131"/>
      <c r="J53" s="132"/>
      <c r="K53" s="117"/>
      <c r="L53" s="117"/>
      <c r="M53" s="131"/>
      <c r="N53" s="133"/>
      <c r="O53" s="22"/>
    </row>
    <row r="54" spans="1:17" ht="16.5" thickBot="1" x14ac:dyDescent="0.3">
      <c r="A54" s="138"/>
      <c r="B54" s="650"/>
      <c r="C54" s="655"/>
      <c r="D54" s="78" t="s">
        <v>24</v>
      </c>
      <c r="E54" s="79">
        <v>0</v>
      </c>
      <c r="F54" s="79">
        <v>0.6</v>
      </c>
      <c r="G54" s="79">
        <v>0.3</v>
      </c>
      <c r="H54" s="80">
        <v>0.3</v>
      </c>
      <c r="I54" s="134"/>
      <c r="J54" s="135"/>
      <c r="K54" s="94"/>
      <c r="L54" s="94"/>
      <c r="M54" s="134"/>
      <c r="N54" s="136"/>
      <c r="O54" s="22"/>
    </row>
    <row r="55" spans="1:17" ht="15.75" x14ac:dyDescent="0.25">
      <c r="A55" s="565" t="s">
        <v>155</v>
      </c>
      <c r="B55" s="648" t="s">
        <v>156</v>
      </c>
      <c r="C55" s="654">
        <v>2</v>
      </c>
      <c r="D55" s="67"/>
      <c r="E55" s="98">
        <f>SUM(E56:E59)</f>
        <v>999.4</v>
      </c>
      <c r="F55" s="98">
        <f>SUM(F56:F59)</f>
        <v>1034.7</v>
      </c>
      <c r="G55" s="98">
        <f>SUM(G56:G59)</f>
        <v>1025.9000000000001</v>
      </c>
      <c r="H55" s="70">
        <f>SUM(H56:H59)</f>
        <v>8.7999999999999989</v>
      </c>
      <c r="I55" s="71" t="s">
        <v>142</v>
      </c>
      <c r="J55" s="72" t="s">
        <v>82</v>
      </c>
      <c r="K55" s="68">
        <v>400</v>
      </c>
      <c r="L55" s="68">
        <v>402.5</v>
      </c>
      <c r="M55" s="71"/>
      <c r="N55" s="73"/>
      <c r="O55" s="22"/>
    </row>
    <row r="56" spans="1:17" ht="18.75" customHeight="1" x14ac:dyDescent="0.25">
      <c r="A56" s="566"/>
      <c r="B56" s="649"/>
      <c r="C56" s="658"/>
      <c r="D56" s="78" t="s">
        <v>5</v>
      </c>
      <c r="E56" s="79">
        <v>11</v>
      </c>
      <c r="F56" s="79">
        <v>13.5</v>
      </c>
      <c r="G56" s="79">
        <v>13.5</v>
      </c>
      <c r="H56" s="80">
        <v>0</v>
      </c>
      <c r="I56" s="127" t="s">
        <v>157</v>
      </c>
      <c r="J56" s="128" t="s">
        <v>158</v>
      </c>
      <c r="K56" s="129">
        <v>700</v>
      </c>
      <c r="L56" s="129">
        <v>698.5</v>
      </c>
      <c r="M56" s="127"/>
      <c r="N56" s="130"/>
      <c r="O56" s="22"/>
    </row>
    <row r="57" spans="1:17" ht="15.75" x14ac:dyDescent="0.25">
      <c r="A57" s="85"/>
      <c r="B57" s="649"/>
      <c r="C57" s="658"/>
      <c r="D57" s="78" t="s">
        <v>2</v>
      </c>
      <c r="E57" s="79">
        <v>987.9</v>
      </c>
      <c r="F57" s="79">
        <v>1007.8</v>
      </c>
      <c r="G57" s="79">
        <v>1007.7</v>
      </c>
      <c r="H57" s="80">
        <v>0.1</v>
      </c>
      <c r="I57" s="131"/>
      <c r="J57" s="132"/>
      <c r="K57" s="117"/>
      <c r="L57" s="117"/>
      <c r="M57" s="131"/>
      <c r="N57" s="133"/>
      <c r="O57" s="22"/>
    </row>
    <row r="58" spans="1:17" ht="15.75" x14ac:dyDescent="0.25">
      <c r="A58" s="85"/>
      <c r="B58" s="86"/>
      <c r="C58" s="658"/>
      <c r="D58" s="78" t="s">
        <v>25</v>
      </c>
      <c r="E58" s="79">
        <v>0.5</v>
      </c>
      <c r="F58" s="79">
        <v>0.5</v>
      </c>
      <c r="G58" s="79">
        <v>0.5</v>
      </c>
      <c r="H58" s="80">
        <v>0</v>
      </c>
      <c r="I58" s="131"/>
      <c r="J58" s="132"/>
      <c r="K58" s="117"/>
      <c r="L58" s="117"/>
      <c r="M58" s="131"/>
      <c r="N58" s="133"/>
      <c r="O58" s="22"/>
    </row>
    <row r="59" spans="1:17" ht="16.5" thickBot="1" x14ac:dyDescent="0.3">
      <c r="A59" s="109"/>
      <c r="B59" s="123"/>
      <c r="C59" s="655"/>
      <c r="D59" s="78" t="s">
        <v>24</v>
      </c>
      <c r="E59" s="79">
        <v>0</v>
      </c>
      <c r="F59" s="79">
        <v>12.9</v>
      </c>
      <c r="G59" s="79">
        <v>4.2</v>
      </c>
      <c r="H59" s="80">
        <v>8.6999999999999993</v>
      </c>
      <c r="I59" s="134"/>
      <c r="J59" s="135"/>
      <c r="K59" s="94"/>
      <c r="L59" s="94"/>
      <c r="M59" s="134"/>
      <c r="N59" s="136"/>
      <c r="O59" s="22"/>
    </row>
    <row r="60" spans="1:17" ht="16.5" customHeight="1" x14ac:dyDescent="0.25">
      <c r="A60" s="656" t="s">
        <v>159</v>
      </c>
      <c r="B60" s="651" t="s">
        <v>160</v>
      </c>
      <c r="C60" s="654">
        <v>2</v>
      </c>
      <c r="D60" s="68"/>
      <c r="E60" s="98">
        <f>SUM(E61:E63)</f>
        <v>410.8</v>
      </c>
      <c r="F60" s="98">
        <f>SUM(F61:F63)</f>
        <v>414.3</v>
      </c>
      <c r="G60" s="98">
        <f>SUM(G61:G63)</f>
        <v>411.2</v>
      </c>
      <c r="H60" s="70">
        <f>SUM(H61:H63)</f>
        <v>2.9</v>
      </c>
      <c r="I60" s="71" t="s">
        <v>139</v>
      </c>
      <c r="J60" s="72" t="s">
        <v>95</v>
      </c>
      <c r="K60" s="68">
        <v>46</v>
      </c>
      <c r="L60" s="68">
        <v>40</v>
      </c>
      <c r="M60" s="71"/>
      <c r="N60" s="73"/>
      <c r="O60" s="22"/>
    </row>
    <row r="61" spans="1:17" ht="16.5" customHeight="1" x14ac:dyDescent="0.25">
      <c r="A61" s="659"/>
      <c r="B61" s="652"/>
      <c r="C61" s="658"/>
      <c r="D61" s="78" t="s">
        <v>2</v>
      </c>
      <c r="E61" s="79">
        <v>403.3</v>
      </c>
      <c r="F61" s="79">
        <v>406.8</v>
      </c>
      <c r="G61" s="79">
        <v>406.6</v>
      </c>
      <c r="H61" s="80">
        <v>0</v>
      </c>
      <c r="I61" s="127" t="s">
        <v>142</v>
      </c>
      <c r="J61" s="128" t="s">
        <v>82</v>
      </c>
      <c r="K61" s="129">
        <v>12.2</v>
      </c>
      <c r="L61" s="129">
        <v>13.85</v>
      </c>
      <c r="M61" s="127"/>
      <c r="N61" s="130"/>
      <c r="O61" s="22"/>
      <c r="Q61" s="137"/>
    </row>
    <row r="62" spans="1:17" ht="15.75" x14ac:dyDescent="0.25">
      <c r="A62" s="659"/>
      <c r="B62" s="652"/>
      <c r="C62" s="658"/>
      <c r="D62" s="78" t="s">
        <v>25</v>
      </c>
      <c r="E62" s="79">
        <v>0.9</v>
      </c>
      <c r="F62" s="79">
        <v>0.9</v>
      </c>
      <c r="G62" s="79">
        <v>0.9</v>
      </c>
      <c r="H62" s="80">
        <v>0</v>
      </c>
      <c r="I62" s="131"/>
      <c r="J62" s="132"/>
      <c r="K62" s="117"/>
      <c r="L62" s="117"/>
      <c r="M62" s="131"/>
      <c r="N62" s="133"/>
      <c r="O62" s="22"/>
    </row>
    <row r="63" spans="1:17" ht="16.5" thickBot="1" x14ac:dyDescent="0.3">
      <c r="A63" s="109"/>
      <c r="B63" s="123"/>
      <c r="C63" s="655"/>
      <c r="D63" s="78" t="s">
        <v>5</v>
      </c>
      <c r="E63" s="79">
        <v>6.6</v>
      </c>
      <c r="F63" s="79">
        <v>6.6</v>
      </c>
      <c r="G63" s="79">
        <v>3.7</v>
      </c>
      <c r="H63" s="80">
        <v>2.9</v>
      </c>
      <c r="I63" s="134"/>
      <c r="J63" s="135"/>
      <c r="K63" s="94"/>
      <c r="L63" s="94"/>
      <c r="M63" s="134"/>
      <c r="N63" s="136"/>
      <c r="O63" s="22"/>
    </row>
    <row r="64" spans="1:17" ht="34.5" customHeight="1" x14ac:dyDescent="0.25">
      <c r="A64" s="565" t="s">
        <v>161</v>
      </c>
      <c r="B64" s="648" t="s">
        <v>162</v>
      </c>
      <c r="C64" s="654">
        <v>2</v>
      </c>
      <c r="D64" s="74" t="s">
        <v>2</v>
      </c>
      <c r="E64" s="76">
        <f>SUM(E65:E65)+7.9</f>
        <v>7.9</v>
      </c>
      <c r="F64" s="76">
        <f>SUM(F65:F65)+7.9</f>
        <v>7.9</v>
      </c>
      <c r="G64" s="76">
        <f>SUM(G65:G65)+7.9</f>
        <v>7.9</v>
      </c>
      <c r="H64" s="70">
        <f>SUM(H65:H65)</f>
        <v>0</v>
      </c>
      <c r="I64" s="71" t="s">
        <v>163</v>
      </c>
      <c r="J64" s="72" t="s">
        <v>95</v>
      </c>
      <c r="K64" s="68">
        <v>1</v>
      </c>
      <c r="L64" s="68">
        <v>1</v>
      </c>
      <c r="M64" s="71"/>
      <c r="N64" s="73"/>
      <c r="O64" s="22"/>
    </row>
    <row r="65" spans="1:16" ht="35.25" customHeight="1" thickBot="1" x14ac:dyDescent="0.3">
      <c r="A65" s="567"/>
      <c r="B65" s="650"/>
      <c r="C65" s="655"/>
      <c r="D65" s="94"/>
      <c r="E65" s="95"/>
      <c r="F65" s="95"/>
      <c r="G65" s="95"/>
      <c r="H65" s="80">
        <v>0</v>
      </c>
      <c r="I65" s="87" t="s">
        <v>164</v>
      </c>
      <c r="J65" s="88" t="s">
        <v>95</v>
      </c>
      <c r="K65" s="78">
        <v>1</v>
      </c>
      <c r="L65" s="78">
        <v>1</v>
      </c>
      <c r="M65" s="87" t="s">
        <v>165</v>
      </c>
      <c r="N65" s="89"/>
      <c r="O65" s="22"/>
    </row>
    <row r="66" spans="1:16" ht="54" customHeight="1" thickBot="1" x14ac:dyDescent="0.3">
      <c r="A66" s="65" t="s">
        <v>166</v>
      </c>
      <c r="B66" s="66" t="s">
        <v>167</v>
      </c>
      <c r="C66" s="67">
        <v>2</v>
      </c>
      <c r="D66" s="68" t="s">
        <v>2</v>
      </c>
      <c r="E66" s="91">
        <v>20</v>
      </c>
      <c r="F66" s="91">
        <v>27</v>
      </c>
      <c r="G66" s="91">
        <v>27</v>
      </c>
      <c r="H66" s="92">
        <v>0</v>
      </c>
      <c r="I66" s="71" t="s">
        <v>168</v>
      </c>
      <c r="J66" s="72" t="s">
        <v>79</v>
      </c>
      <c r="K66" s="68">
        <v>25</v>
      </c>
      <c r="L66" s="68">
        <v>100</v>
      </c>
      <c r="M66" s="71"/>
      <c r="N66" s="73"/>
      <c r="O66" s="22"/>
    </row>
    <row r="67" spans="1:16" ht="25.5" customHeight="1" x14ac:dyDescent="0.25">
      <c r="A67" s="656" t="s">
        <v>169</v>
      </c>
      <c r="B67" s="648" t="s">
        <v>170</v>
      </c>
      <c r="C67" s="654">
        <v>2</v>
      </c>
      <c r="D67" s="75" t="s">
        <v>2</v>
      </c>
      <c r="E67" s="93">
        <f>SUM(E68:E68)+28.2</f>
        <v>28.2</v>
      </c>
      <c r="F67" s="93">
        <f>SUM(F68:F68)+28.2</f>
        <v>28.2</v>
      </c>
      <c r="G67" s="93">
        <f>SUM(G68:G68)+28.2</f>
        <v>28.2</v>
      </c>
      <c r="H67" s="70">
        <f>SUM(H68:H68)</f>
        <v>0</v>
      </c>
      <c r="I67" s="71" t="s">
        <v>56</v>
      </c>
      <c r="J67" s="72" t="s">
        <v>90</v>
      </c>
      <c r="K67" s="68">
        <v>10</v>
      </c>
      <c r="L67" s="68">
        <v>10</v>
      </c>
      <c r="M67" s="71"/>
      <c r="N67" s="73"/>
      <c r="O67" s="22"/>
      <c r="P67" s="137"/>
    </row>
    <row r="68" spans="1:16" ht="25.5" customHeight="1" thickBot="1" x14ac:dyDescent="0.3">
      <c r="A68" s="657"/>
      <c r="B68" s="650"/>
      <c r="C68" s="655"/>
      <c r="D68" s="94"/>
      <c r="E68" s="95"/>
      <c r="F68" s="95"/>
      <c r="G68" s="95"/>
      <c r="H68" s="80">
        <v>0</v>
      </c>
      <c r="I68" s="87" t="s">
        <v>55</v>
      </c>
      <c r="J68" s="88" t="s">
        <v>90</v>
      </c>
      <c r="K68" s="78">
        <v>8</v>
      </c>
      <c r="L68" s="78">
        <v>8</v>
      </c>
      <c r="M68" s="87"/>
      <c r="N68" s="89"/>
      <c r="O68" s="22"/>
    </row>
    <row r="69" spans="1:16" ht="16.5" customHeight="1" x14ac:dyDescent="0.25">
      <c r="A69" s="656" t="s">
        <v>171</v>
      </c>
      <c r="B69" s="651" t="s">
        <v>172</v>
      </c>
      <c r="C69" s="654">
        <v>2</v>
      </c>
      <c r="D69" s="67"/>
      <c r="E69" s="98">
        <f>SUM(E70:E73)</f>
        <v>721.6</v>
      </c>
      <c r="F69" s="98">
        <f>SUM(F70:F73)</f>
        <v>745</v>
      </c>
      <c r="G69" s="98">
        <f>SUM(G70:G73)</f>
        <v>722.09999999999991</v>
      </c>
      <c r="H69" s="70">
        <f>SUM(H70:H73)</f>
        <v>12.4</v>
      </c>
      <c r="I69" s="71" t="s">
        <v>139</v>
      </c>
      <c r="J69" s="72" t="s">
        <v>95</v>
      </c>
      <c r="K69" s="68">
        <v>63</v>
      </c>
      <c r="L69" s="68">
        <v>66</v>
      </c>
      <c r="M69" s="71"/>
      <c r="N69" s="73"/>
      <c r="O69" s="22"/>
    </row>
    <row r="70" spans="1:16" ht="16.5" customHeight="1" x14ac:dyDescent="0.25">
      <c r="A70" s="659"/>
      <c r="B70" s="652"/>
      <c r="C70" s="658"/>
      <c r="D70" s="78" t="s">
        <v>2</v>
      </c>
      <c r="E70" s="79">
        <v>677.7</v>
      </c>
      <c r="F70" s="79">
        <v>684.4</v>
      </c>
      <c r="G70" s="79">
        <v>673.9</v>
      </c>
      <c r="H70" s="80">
        <v>0</v>
      </c>
      <c r="I70" s="127" t="s">
        <v>142</v>
      </c>
      <c r="J70" s="128" t="s">
        <v>82</v>
      </c>
      <c r="K70" s="129">
        <v>29.2</v>
      </c>
      <c r="L70" s="129">
        <v>47674</v>
      </c>
      <c r="M70" s="127"/>
      <c r="N70" s="130"/>
      <c r="O70" s="22"/>
    </row>
    <row r="71" spans="1:16" ht="15.75" x14ac:dyDescent="0.25">
      <c r="A71" s="659"/>
      <c r="B71" s="652"/>
      <c r="C71" s="658"/>
      <c r="D71" s="78" t="s">
        <v>24</v>
      </c>
      <c r="E71" s="79">
        <v>0</v>
      </c>
      <c r="F71" s="79">
        <v>6.7</v>
      </c>
      <c r="G71" s="79">
        <v>0.3</v>
      </c>
      <c r="H71" s="80">
        <v>6.4</v>
      </c>
      <c r="I71" s="131"/>
      <c r="J71" s="132"/>
      <c r="K71" s="117"/>
      <c r="L71" s="117"/>
      <c r="M71" s="131"/>
      <c r="N71" s="133"/>
      <c r="O71" s="22"/>
    </row>
    <row r="72" spans="1:16" ht="15.75" x14ac:dyDescent="0.25">
      <c r="A72" s="659"/>
      <c r="B72" s="652"/>
      <c r="C72" s="658"/>
      <c r="D72" s="78" t="s">
        <v>25</v>
      </c>
      <c r="E72" s="79">
        <v>18.899999999999999</v>
      </c>
      <c r="F72" s="79">
        <v>18.899999999999999</v>
      </c>
      <c r="G72" s="79">
        <v>18.899999999999999</v>
      </c>
      <c r="H72" s="80">
        <v>0</v>
      </c>
      <c r="I72" s="131"/>
      <c r="J72" s="132"/>
      <c r="K72" s="117"/>
      <c r="L72" s="117"/>
      <c r="M72" s="131"/>
      <c r="N72" s="133"/>
      <c r="O72" s="22"/>
    </row>
    <row r="73" spans="1:16" ht="16.5" thickBot="1" x14ac:dyDescent="0.3">
      <c r="A73" s="659"/>
      <c r="B73" s="663"/>
      <c r="C73" s="658"/>
      <c r="D73" s="129" t="s">
        <v>5</v>
      </c>
      <c r="E73" s="139">
        <v>25</v>
      </c>
      <c r="F73" s="139">
        <v>35</v>
      </c>
      <c r="G73" s="139">
        <v>29</v>
      </c>
      <c r="H73" s="140">
        <v>6</v>
      </c>
      <c r="I73" s="131"/>
      <c r="J73" s="132"/>
      <c r="K73" s="117"/>
      <c r="L73" s="117"/>
      <c r="M73" s="131"/>
      <c r="N73" s="133"/>
      <c r="O73" s="22"/>
    </row>
    <row r="74" spans="1:16" ht="69" customHeight="1" thickBot="1" x14ac:dyDescent="0.3">
      <c r="A74" s="141" t="s">
        <v>173</v>
      </c>
      <c r="B74" s="664" t="s">
        <v>174</v>
      </c>
      <c r="C74" s="142">
        <v>2</v>
      </c>
      <c r="D74" s="143" t="s">
        <v>37</v>
      </c>
      <c r="E74" s="144">
        <f>SUM(E75:E75)</f>
        <v>32.299999999999997</v>
      </c>
      <c r="F74" s="144">
        <f>SUM(F75:F75)</f>
        <v>32.299999999999997</v>
      </c>
      <c r="G74" s="144">
        <f>SUM(G75:G75)</f>
        <v>32.299999999999997</v>
      </c>
      <c r="H74" s="145">
        <f>SUM(H75:H75)</f>
        <v>0</v>
      </c>
      <c r="I74" s="146" t="s">
        <v>175</v>
      </c>
      <c r="J74" s="147" t="s">
        <v>90</v>
      </c>
      <c r="K74" s="148">
        <v>1</v>
      </c>
      <c r="L74" s="148">
        <v>1</v>
      </c>
      <c r="M74" s="660" t="s">
        <v>176</v>
      </c>
      <c r="N74" s="149"/>
      <c r="O74" s="22"/>
    </row>
    <row r="75" spans="1:16" ht="16.5" hidden="1" thickBot="1" x14ac:dyDescent="0.3">
      <c r="A75" s="150"/>
      <c r="B75" s="649"/>
      <c r="C75" s="151"/>
      <c r="D75" s="152"/>
      <c r="E75" s="139">
        <v>32.299999999999997</v>
      </c>
      <c r="F75" s="139">
        <v>32.299999999999997</v>
      </c>
      <c r="G75" s="139">
        <v>32.299999999999997</v>
      </c>
      <c r="H75" s="140">
        <v>0</v>
      </c>
      <c r="I75" s="131"/>
      <c r="J75" s="132"/>
      <c r="K75" s="117"/>
      <c r="L75" s="117"/>
      <c r="M75" s="652"/>
      <c r="N75" s="153"/>
      <c r="O75" s="22"/>
    </row>
    <row r="76" spans="1:16" ht="15.75" x14ac:dyDescent="0.25">
      <c r="A76" s="665" t="s">
        <v>177</v>
      </c>
      <c r="B76" s="664" t="s">
        <v>8</v>
      </c>
      <c r="C76" s="142">
        <v>2</v>
      </c>
      <c r="D76" s="143"/>
      <c r="E76" s="154">
        <f>SUM(E77:E81)</f>
        <v>445.2</v>
      </c>
      <c r="F76" s="154">
        <f>SUM(F77:F81)</f>
        <v>465.8</v>
      </c>
      <c r="G76" s="154">
        <f>SUM(G77:G81)</f>
        <v>461</v>
      </c>
      <c r="H76" s="145">
        <f>SUM(H77:H81)</f>
        <v>4.8000000000000007</v>
      </c>
      <c r="I76" s="146"/>
      <c r="J76" s="147"/>
      <c r="K76" s="148"/>
      <c r="L76" s="148"/>
      <c r="M76" s="146"/>
      <c r="N76" s="149"/>
      <c r="O76" s="22"/>
    </row>
    <row r="77" spans="1:16" ht="15.75" x14ac:dyDescent="0.25">
      <c r="A77" s="666"/>
      <c r="B77" s="649"/>
      <c r="C77" s="77"/>
      <c r="D77" s="78" t="s">
        <v>2</v>
      </c>
      <c r="E77" s="79">
        <v>439.3</v>
      </c>
      <c r="F77" s="79">
        <v>447.1</v>
      </c>
      <c r="G77" s="79">
        <v>447</v>
      </c>
      <c r="H77" s="80">
        <v>0.1</v>
      </c>
      <c r="I77" s="131"/>
      <c r="J77" s="132"/>
      <c r="K77" s="117"/>
      <c r="L77" s="117"/>
      <c r="M77" s="131"/>
      <c r="N77" s="153"/>
      <c r="O77" s="22"/>
    </row>
    <row r="78" spans="1:16" ht="15.75" x14ac:dyDescent="0.25">
      <c r="A78" s="666"/>
      <c r="B78" s="649"/>
      <c r="C78" s="77"/>
      <c r="D78" s="78" t="s">
        <v>25</v>
      </c>
      <c r="E78" s="79">
        <v>0.9</v>
      </c>
      <c r="F78" s="79">
        <v>0.9</v>
      </c>
      <c r="G78" s="79">
        <v>0.9</v>
      </c>
      <c r="H78" s="80">
        <v>0</v>
      </c>
      <c r="I78" s="131"/>
      <c r="J78" s="132"/>
      <c r="K78" s="117"/>
      <c r="L78" s="117"/>
      <c r="M78" s="131"/>
      <c r="N78" s="153"/>
      <c r="O78" s="22"/>
    </row>
    <row r="79" spans="1:16" ht="15.75" x14ac:dyDescent="0.25">
      <c r="A79" s="18"/>
      <c r="B79" s="86"/>
      <c r="C79" s="77"/>
      <c r="D79" s="78" t="s">
        <v>5</v>
      </c>
      <c r="E79" s="79">
        <v>5</v>
      </c>
      <c r="F79" s="79">
        <v>7.5</v>
      </c>
      <c r="G79" s="79">
        <v>5.7</v>
      </c>
      <c r="H79" s="80">
        <v>1.8</v>
      </c>
      <c r="I79" s="131"/>
      <c r="J79" s="132"/>
      <c r="K79" s="117"/>
      <c r="L79" s="117"/>
      <c r="M79" s="131"/>
      <c r="N79" s="153"/>
      <c r="O79" s="22"/>
    </row>
    <row r="80" spans="1:16" ht="15.75" x14ac:dyDescent="0.25">
      <c r="A80" s="18"/>
      <c r="B80" s="86"/>
      <c r="C80" s="77"/>
      <c r="D80" s="78" t="s">
        <v>24</v>
      </c>
      <c r="E80" s="79">
        <v>0</v>
      </c>
      <c r="F80" s="79">
        <v>3</v>
      </c>
      <c r="G80" s="79">
        <v>2.8</v>
      </c>
      <c r="H80" s="80">
        <v>0.2</v>
      </c>
      <c r="I80" s="131"/>
      <c r="J80" s="132"/>
      <c r="K80" s="117"/>
      <c r="L80" s="117"/>
      <c r="M80" s="131"/>
      <c r="N80" s="153"/>
      <c r="O80" s="22"/>
    </row>
    <row r="81" spans="1:15" ht="16.5" thickBot="1" x14ac:dyDescent="0.3">
      <c r="A81" s="150"/>
      <c r="B81" s="155"/>
      <c r="C81" s="156"/>
      <c r="D81" s="157" t="s">
        <v>178</v>
      </c>
      <c r="E81" s="158">
        <v>0</v>
      </c>
      <c r="F81" s="158">
        <v>7.3</v>
      </c>
      <c r="G81" s="158">
        <v>4.5999999999999996</v>
      </c>
      <c r="H81" s="159">
        <v>2.7</v>
      </c>
      <c r="I81" s="160"/>
      <c r="J81" s="161"/>
      <c r="K81" s="162"/>
      <c r="L81" s="162"/>
      <c r="M81" s="160"/>
      <c r="N81" s="163"/>
      <c r="O81" s="22"/>
    </row>
    <row r="82" spans="1:15" ht="51" customHeight="1" thickBot="1" x14ac:dyDescent="0.3">
      <c r="A82" s="109" t="s">
        <v>179</v>
      </c>
      <c r="B82" s="123" t="s">
        <v>35</v>
      </c>
      <c r="C82" s="90">
        <v>2</v>
      </c>
      <c r="D82" s="94" t="s">
        <v>2</v>
      </c>
      <c r="E82" s="95">
        <v>3.5</v>
      </c>
      <c r="F82" s="95">
        <v>4</v>
      </c>
      <c r="G82" s="95">
        <v>3.9</v>
      </c>
      <c r="H82" s="164">
        <v>0.1</v>
      </c>
      <c r="I82" s="134" t="s">
        <v>180</v>
      </c>
      <c r="J82" s="135" t="s">
        <v>90</v>
      </c>
      <c r="K82" s="94">
        <v>7</v>
      </c>
      <c r="L82" s="94">
        <v>7</v>
      </c>
      <c r="M82" s="134"/>
      <c r="N82" s="136"/>
      <c r="O82" s="22"/>
    </row>
    <row r="83" spans="1:15" ht="34.5" customHeight="1" x14ac:dyDescent="0.25">
      <c r="A83" s="656" t="s">
        <v>181</v>
      </c>
      <c r="B83" s="648" t="s">
        <v>182</v>
      </c>
      <c r="C83" s="74">
        <v>2</v>
      </c>
      <c r="D83" s="75" t="s">
        <v>2</v>
      </c>
      <c r="E83" s="93">
        <f>SUM(E84:E84)+51.2</f>
        <v>51.2</v>
      </c>
      <c r="F83" s="93">
        <f>SUM(F84:F84)+51.2</f>
        <v>51.2</v>
      </c>
      <c r="G83" s="93">
        <f>SUM(G84:G84)+51.2</f>
        <v>51.2</v>
      </c>
      <c r="H83" s="70">
        <f>SUM(H84:H84)</f>
        <v>0</v>
      </c>
      <c r="I83" s="71" t="s">
        <v>183</v>
      </c>
      <c r="J83" s="72" t="s">
        <v>90</v>
      </c>
      <c r="K83" s="68">
        <v>9.56</v>
      </c>
      <c r="L83" s="68" t="s">
        <v>184</v>
      </c>
      <c r="M83" s="71"/>
      <c r="N83" s="73"/>
      <c r="O83" s="22"/>
    </row>
    <row r="84" spans="1:15" ht="52.5" customHeight="1" thickBot="1" x14ac:dyDescent="0.3">
      <c r="A84" s="657"/>
      <c r="B84" s="650"/>
      <c r="C84" s="90"/>
      <c r="D84" s="94"/>
      <c r="E84" s="95"/>
      <c r="F84" s="95"/>
      <c r="G84" s="95"/>
      <c r="H84" s="80">
        <v>0</v>
      </c>
      <c r="I84" s="87" t="s">
        <v>185</v>
      </c>
      <c r="J84" s="88" t="s">
        <v>186</v>
      </c>
      <c r="K84" s="78">
        <v>10</v>
      </c>
      <c r="L84" s="78">
        <v>10</v>
      </c>
      <c r="M84" s="87"/>
      <c r="N84" s="89"/>
      <c r="O84" s="22"/>
    </row>
    <row r="85" spans="1:15" ht="34.5" customHeight="1" thickBot="1" x14ac:dyDescent="0.3">
      <c r="A85" s="165" t="s">
        <v>187</v>
      </c>
      <c r="B85" s="166" t="s">
        <v>18</v>
      </c>
      <c r="C85" s="67"/>
      <c r="D85" s="67"/>
      <c r="E85" s="98">
        <f>E86+E88+E93+E99+E101</f>
        <v>3539.5</v>
      </c>
      <c r="F85" s="98">
        <f>F86+F88+F93+F99+F101</f>
        <v>3282.1</v>
      </c>
      <c r="G85" s="98">
        <f>G86+G88+G93+G99+G101</f>
        <v>2684.6</v>
      </c>
      <c r="H85" s="70">
        <f>H86+H88+H93+H99+H101</f>
        <v>376.3</v>
      </c>
      <c r="I85" s="71"/>
      <c r="J85" s="72"/>
      <c r="K85" s="68"/>
      <c r="L85" s="68"/>
      <c r="M85" s="71"/>
      <c r="N85" s="73"/>
      <c r="O85" s="22"/>
    </row>
    <row r="86" spans="1:15" ht="133.5" customHeight="1" thickBot="1" x14ac:dyDescent="0.3">
      <c r="A86" s="65" t="s">
        <v>188</v>
      </c>
      <c r="B86" s="661" t="s">
        <v>189</v>
      </c>
      <c r="C86" s="67">
        <v>5</v>
      </c>
      <c r="D86" s="68" t="s">
        <v>37</v>
      </c>
      <c r="E86" s="69">
        <f>SUM(E87:E87)</f>
        <v>20</v>
      </c>
      <c r="F86" s="69">
        <f>SUM(F87:F87)</f>
        <v>20</v>
      </c>
      <c r="G86" s="69">
        <f>SUM(G87:G87)</f>
        <v>0</v>
      </c>
      <c r="H86" s="70">
        <f>SUM(H87:H87)</f>
        <v>20</v>
      </c>
      <c r="I86" s="167" t="s">
        <v>190</v>
      </c>
      <c r="J86" s="168" t="s">
        <v>95</v>
      </c>
      <c r="K86" s="169">
        <v>1</v>
      </c>
      <c r="L86" s="169">
        <v>0</v>
      </c>
      <c r="M86" s="167"/>
      <c r="N86" s="170" t="s">
        <v>191</v>
      </c>
      <c r="O86" s="22"/>
    </row>
    <row r="87" spans="1:15" ht="16.5" hidden="1" thickBot="1" x14ac:dyDescent="0.3">
      <c r="A87" s="171"/>
      <c r="B87" s="662"/>
      <c r="C87" s="172"/>
      <c r="D87" s="129"/>
      <c r="E87" s="139">
        <v>20</v>
      </c>
      <c r="F87" s="139">
        <v>20</v>
      </c>
      <c r="G87" s="139">
        <v>0</v>
      </c>
      <c r="H87" s="140">
        <v>20</v>
      </c>
      <c r="I87" s="127"/>
      <c r="J87" s="128"/>
      <c r="K87" s="129"/>
      <c r="L87" s="129"/>
      <c r="M87" s="127"/>
      <c r="N87" s="130"/>
      <c r="O87" s="22"/>
    </row>
    <row r="88" spans="1:15" ht="20.25" customHeight="1" x14ac:dyDescent="0.25">
      <c r="A88" s="669" t="s">
        <v>192</v>
      </c>
      <c r="B88" s="672" t="s">
        <v>193</v>
      </c>
      <c r="C88" s="142">
        <v>5</v>
      </c>
      <c r="D88" s="173"/>
      <c r="E88" s="154">
        <f>SUM(E89:E92)</f>
        <v>2116.6</v>
      </c>
      <c r="F88" s="154">
        <f>SUM(F89:F92)</f>
        <v>1781.8</v>
      </c>
      <c r="G88" s="154">
        <f>SUM(G89:G92)</f>
        <v>1436.3</v>
      </c>
      <c r="H88" s="145">
        <f>SUM(H89:H92)</f>
        <v>124.3</v>
      </c>
      <c r="I88" s="174" t="s">
        <v>194</v>
      </c>
      <c r="J88" s="175" t="s">
        <v>79</v>
      </c>
      <c r="K88" s="176">
        <v>100</v>
      </c>
      <c r="L88" s="176">
        <v>100</v>
      </c>
      <c r="M88" s="677" t="s">
        <v>195</v>
      </c>
      <c r="N88" s="177"/>
      <c r="O88" s="22"/>
    </row>
    <row r="89" spans="1:15" ht="15.75" x14ac:dyDescent="0.25">
      <c r="A89" s="670"/>
      <c r="B89" s="667"/>
      <c r="C89" s="77"/>
      <c r="D89" s="78" t="s">
        <v>37</v>
      </c>
      <c r="E89" s="79">
        <v>928.5</v>
      </c>
      <c r="F89" s="79">
        <v>776.5</v>
      </c>
      <c r="G89" s="79">
        <v>555.29999999999995</v>
      </c>
      <c r="H89" s="80">
        <v>0</v>
      </c>
      <c r="I89" s="178"/>
      <c r="J89" s="179"/>
      <c r="K89" s="180"/>
      <c r="L89" s="180"/>
      <c r="M89" s="678"/>
      <c r="N89" s="682"/>
      <c r="O89" s="22"/>
    </row>
    <row r="90" spans="1:15" ht="15.75" x14ac:dyDescent="0.25">
      <c r="A90" s="670"/>
      <c r="B90" s="667"/>
      <c r="C90" s="77"/>
      <c r="D90" s="78" t="s">
        <v>2</v>
      </c>
      <c r="E90" s="79">
        <v>44.4</v>
      </c>
      <c r="F90" s="79">
        <v>6.4</v>
      </c>
      <c r="G90" s="79">
        <v>4.4000000000000004</v>
      </c>
      <c r="H90" s="80">
        <v>2</v>
      </c>
      <c r="I90" s="178"/>
      <c r="J90" s="179"/>
      <c r="K90" s="180"/>
      <c r="L90" s="180"/>
      <c r="M90" s="678"/>
      <c r="N90" s="682"/>
      <c r="O90" s="22"/>
    </row>
    <row r="91" spans="1:15" ht="15.75" x14ac:dyDescent="0.25">
      <c r="A91" s="670"/>
      <c r="B91" s="667"/>
      <c r="C91" s="77"/>
      <c r="D91" s="78" t="s">
        <v>44</v>
      </c>
      <c r="E91" s="79">
        <v>1135</v>
      </c>
      <c r="F91" s="79">
        <v>990.2</v>
      </c>
      <c r="G91" s="79">
        <v>869.6</v>
      </c>
      <c r="H91" s="80">
        <v>120.6</v>
      </c>
      <c r="I91" s="178"/>
      <c r="J91" s="179"/>
      <c r="K91" s="180"/>
      <c r="L91" s="180"/>
      <c r="M91" s="678"/>
      <c r="N91" s="682"/>
      <c r="O91" s="22"/>
    </row>
    <row r="92" spans="1:15" ht="16.5" thickBot="1" x14ac:dyDescent="0.3">
      <c r="A92" s="671"/>
      <c r="B92" s="681"/>
      <c r="C92" s="156"/>
      <c r="D92" s="157" t="s">
        <v>60</v>
      </c>
      <c r="E92" s="158">
        <v>8.6999999999999993</v>
      </c>
      <c r="F92" s="158">
        <v>8.6999999999999993</v>
      </c>
      <c r="G92" s="158">
        <v>7</v>
      </c>
      <c r="H92" s="159">
        <v>1.7</v>
      </c>
      <c r="I92" s="181"/>
      <c r="J92" s="182"/>
      <c r="K92" s="183"/>
      <c r="L92" s="183"/>
      <c r="M92" s="679"/>
      <c r="N92" s="683"/>
      <c r="O92" s="22"/>
    </row>
    <row r="93" spans="1:15" ht="18.75" customHeight="1" x14ac:dyDescent="0.25">
      <c r="A93" s="184" t="s">
        <v>196</v>
      </c>
      <c r="B93" s="649" t="s">
        <v>197</v>
      </c>
      <c r="C93" s="77">
        <v>5</v>
      </c>
      <c r="D93" s="90"/>
      <c r="E93" s="185">
        <f>SUM(E94:E98)</f>
        <v>1287.9000000000001</v>
      </c>
      <c r="F93" s="185">
        <f>SUM(F94:F98)</f>
        <v>1380.3</v>
      </c>
      <c r="G93" s="185">
        <f>SUM(G94:G98)</f>
        <v>1248.3</v>
      </c>
      <c r="H93" s="186">
        <f>SUM(H94:H98)</f>
        <v>132</v>
      </c>
      <c r="I93" s="146" t="s">
        <v>198</v>
      </c>
      <c r="J93" s="147" t="s">
        <v>79</v>
      </c>
      <c r="K93" s="148">
        <v>100</v>
      </c>
      <c r="L93" s="148">
        <v>100</v>
      </c>
      <c r="M93" s="146"/>
      <c r="N93" s="684"/>
      <c r="O93" s="22"/>
    </row>
    <row r="94" spans="1:15" ht="15.75" x14ac:dyDescent="0.25">
      <c r="A94" s="85"/>
      <c r="B94" s="649"/>
      <c r="C94" s="77"/>
      <c r="D94" s="78" t="s">
        <v>44</v>
      </c>
      <c r="E94" s="79">
        <v>631</v>
      </c>
      <c r="F94" s="79">
        <v>631</v>
      </c>
      <c r="G94" s="79">
        <v>546</v>
      </c>
      <c r="H94" s="80">
        <v>85</v>
      </c>
      <c r="I94" s="131"/>
      <c r="J94" s="132"/>
      <c r="K94" s="117"/>
      <c r="L94" s="117"/>
      <c r="M94" s="131"/>
      <c r="N94" s="684"/>
      <c r="O94" s="22"/>
    </row>
    <row r="95" spans="1:15" ht="15.75" x14ac:dyDescent="0.25">
      <c r="A95" s="85"/>
      <c r="B95" s="649"/>
      <c r="C95" s="77"/>
      <c r="D95" s="78" t="s">
        <v>60</v>
      </c>
      <c r="E95" s="79">
        <v>142.9</v>
      </c>
      <c r="F95" s="79">
        <v>142.9</v>
      </c>
      <c r="G95" s="79">
        <v>142.80000000000001</v>
      </c>
      <c r="H95" s="80">
        <v>0.1</v>
      </c>
      <c r="I95" s="131"/>
      <c r="J95" s="132"/>
      <c r="K95" s="117"/>
      <c r="L95" s="117"/>
      <c r="M95" s="131"/>
      <c r="N95" s="684"/>
      <c r="O95" s="22"/>
    </row>
    <row r="96" spans="1:15" ht="15.75" x14ac:dyDescent="0.25">
      <c r="A96" s="85"/>
      <c r="B96" s="649"/>
      <c r="C96" s="77"/>
      <c r="D96" s="78" t="s">
        <v>37</v>
      </c>
      <c r="E96" s="79">
        <v>100.6</v>
      </c>
      <c r="F96" s="79">
        <v>100.6</v>
      </c>
      <c r="G96" s="79">
        <v>100.6</v>
      </c>
      <c r="H96" s="80">
        <v>0</v>
      </c>
      <c r="I96" s="131"/>
      <c r="J96" s="132"/>
      <c r="K96" s="117"/>
      <c r="L96" s="117"/>
      <c r="M96" s="131"/>
      <c r="N96" s="684"/>
      <c r="O96" s="22"/>
    </row>
    <row r="97" spans="1:15" ht="15.75" x14ac:dyDescent="0.25">
      <c r="A97" s="85"/>
      <c r="B97" s="649"/>
      <c r="C97" s="77"/>
      <c r="D97" s="78" t="s">
        <v>2</v>
      </c>
      <c r="E97" s="79">
        <v>413.4</v>
      </c>
      <c r="F97" s="79">
        <v>459.2</v>
      </c>
      <c r="G97" s="79">
        <v>458.9</v>
      </c>
      <c r="H97" s="80">
        <v>0.3</v>
      </c>
      <c r="I97" s="131"/>
      <c r="J97" s="132"/>
      <c r="K97" s="117"/>
      <c r="L97" s="117"/>
      <c r="M97" s="131"/>
      <c r="N97" s="684"/>
      <c r="O97" s="22"/>
    </row>
    <row r="98" spans="1:15" ht="16.5" thickBot="1" x14ac:dyDescent="0.3">
      <c r="A98" s="85"/>
      <c r="B98" s="649"/>
      <c r="C98" s="77"/>
      <c r="D98" s="129" t="s">
        <v>24</v>
      </c>
      <c r="E98" s="139">
        <v>0</v>
      </c>
      <c r="F98" s="139">
        <v>46.6</v>
      </c>
      <c r="G98" s="139">
        <v>0</v>
      </c>
      <c r="H98" s="140">
        <v>46.6</v>
      </c>
      <c r="I98" s="131"/>
      <c r="J98" s="132"/>
      <c r="K98" s="117"/>
      <c r="L98" s="117"/>
      <c r="M98" s="131"/>
      <c r="N98" s="684"/>
      <c r="O98" s="22"/>
    </row>
    <row r="99" spans="1:15" ht="48" customHeight="1" thickBot="1" x14ac:dyDescent="0.3">
      <c r="A99" s="187" t="s">
        <v>199</v>
      </c>
      <c r="B99" s="188" t="s">
        <v>38</v>
      </c>
      <c r="C99" s="189">
        <v>2</v>
      </c>
      <c r="D99" s="190" t="s">
        <v>2</v>
      </c>
      <c r="E99" s="191">
        <f>SUM(E100:E100)</f>
        <v>100</v>
      </c>
      <c r="F99" s="191">
        <f>SUM(F100:F100)</f>
        <v>100</v>
      </c>
      <c r="G99" s="191">
        <f>SUM(G100:G100)</f>
        <v>0</v>
      </c>
      <c r="H99" s="192">
        <f>SUM(H100:H100)</f>
        <v>100</v>
      </c>
      <c r="I99" s="193" t="s">
        <v>200</v>
      </c>
      <c r="J99" s="194" t="s">
        <v>79</v>
      </c>
      <c r="K99" s="190">
        <v>10</v>
      </c>
      <c r="L99" s="190">
        <v>10</v>
      </c>
      <c r="M99" s="193" t="s">
        <v>201</v>
      </c>
      <c r="N99" s="195"/>
      <c r="O99" s="22"/>
    </row>
    <row r="100" spans="1:15" ht="16.5" hidden="1" thickBot="1" x14ac:dyDescent="0.3">
      <c r="A100" s="109"/>
      <c r="B100" s="123"/>
      <c r="C100" s="196"/>
      <c r="D100" s="22"/>
      <c r="E100" s="95">
        <v>100</v>
      </c>
      <c r="F100" s="95">
        <v>100</v>
      </c>
      <c r="G100" s="95">
        <v>0</v>
      </c>
      <c r="H100" s="164">
        <v>100</v>
      </c>
      <c r="I100" s="134"/>
      <c r="J100" s="135"/>
      <c r="K100" s="94"/>
      <c r="L100" s="94"/>
      <c r="M100" s="134"/>
      <c r="N100" s="136"/>
      <c r="O100" s="22"/>
    </row>
    <row r="101" spans="1:15" ht="32.25" thickBot="1" x14ac:dyDescent="0.3">
      <c r="A101" s="65" t="s">
        <v>202</v>
      </c>
      <c r="B101" s="197" t="s">
        <v>45</v>
      </c>
      <c r="C101" s="126">
        <v>2</v>
      </c>
      <c r="D101" s="78" t="s">
        <v>37</v>
      </c>
      <c r="E101" s="69">
        <f>SUM(E102:E102)</f>
        <v>15</v>
      </c>
      <c r="F101" s="69">
        <f>SUM(F102:F102)</f>
        <v>0</v>
      </c>
      <c r="G101" s="69">
        <f>SUM(G102:G102)</f>
        <v>0</v>
      </c>
      <c r="H101" s="70">
        <f>SUM(H102:H102)</f>
        <v>0</v>
      </c>
      <c r="I101" s="167" t="s">
        <v>203</v>
      </c>
      <c r="J101" s="168" t="s">
        <v>95</v>
      </c>
      <c r="K101" s="169">
        <v>1</v>
      </c>
      <c r="L101" s="169">
        <v>0</v>
      </c>
      <c r="M101" s="167"/>
      <c r="N101" s="685" t="s">
        <v>204</v>
      </c>
      <c r="O101" s="22"/>
    </row>
    <row r="102" spans="1:15" ht="16.5" hidden="1" thickBot="1" x14ac:dyDescent="0.3">
      <c r="A102" s="124"/>
      <c r="B102" s="125"/>
      <c r="C102" s="196"/>
      <c r="D102" s="22"/>
      <c r="E102" s="79">
        <v>15</v>
      </c>
      <c r="F102" s="79">
        <v>0</v>
      </c>
      <c r="G102" s="79">
        <v>0</v>
      </c>
      <c r="H102" s="80">
        <v>0</v>
      </c>
      <c r="I102" s="198"/>
      <c r="J102" s="199"/>
      <c r="K102" s="200"/>
      <c r="L102" s="200"/>
      <c r="M102" s="198"/>
      <c r="N102" s="686"/>
      <c r="O102" s="22"/>
    </row>
    <row r="103" spans="1:15" ht="28.5" customHeight="1" x14ac:dyDescent="0.25">
      <c r="A103" s="201" t="s">
        <v>205</v>
      </c>
      <c r="B103" s="202" t="s">
        <v>206</v>
      </c>
      <c r="C103" s="74"/>
      <c r="D103" s="74"/>
      <c r="E103" s="76">
        <f>E104+E107+E110+E112+E113+E115+E118+E121+E123</f>
        <v>272.3</v>
      </c>
      <c r="F103" s="76">
        <f>F104+F107+F110+F112+F113+F115+F118+F121+F123</f>
        <v>286.79999999999995</v>
      </c>
      <c r="G103" s="76">
        <f>G104+G107+G110+G112+G113+G115+G118+G121+G123-0.1</f>
        <v>272.49999999999994</v>
      </c>
      <c r="H103" s="203">
        <f>H104+H107+H110+H112+H113+H115+H118+H121+H123+0.1</f>
        <v>1.2000000000000002</v>
      </c>
      <c r="I103" s="204"/>
      <c r="J103" s="205"/>
      <c r="K103" s="75"/>
      <c r="L103" s="75"/>
      <c r="M103" s="204"/>
      <c r="N103" s="206"/>
      <c r="O103" s="22"/>
    </row>
    <row r="104" spans="1:15" ht="35.25" customHeight="1" x14ac:dyDescent="0.25">
      <c r="A104" s="207" t="s">
        <v>207</v>
      </c>
      <c r="B104" s="687" t="s">
        <v>57</v>
      </c>
      <c r="C104" s="208"/>
      <c r="D104" s="208"/>
      <c r="E104" s="209">
        <f>SUM(E105:E106)</f>
        <v>36.9</v>
      </c>
      <c r="F104" s="209">
        <f>SUM(F105:F106)</f>
        <v>36.9</v>
      </c>
      <c r="G104" s="209">
        <f>SUM(G105:G106)</f>
        <v>26.9</v>
      </c>
      <c r="H104" s="210">
        <f>SUM(H105:H106)</f>
        <v>0</v>
      </c>
      <c r="I104" s="211" t="s">
        <v>208</v>
      </c>
      <c r="J104" s="212" t="s">
        <v>79</v>
      </c>
      <c r="K104" s="213">
        <v>100</v>
      </c>
      <c r="L104" s="213">
        <v>100</v>
      </c>
      <c r="M104" s="211"/>
      <c r="N104" s="214"/>
      <c r="O104" s="22"/>
    </row>
    <row r="105" spans="1:15" ht="83.25" customHeight="1" x14ac:dyDescent="0.25">
      <c r="A105" s="85"/>
      <c r="B105" s="652"/>
      <c r="C105" s="126">
        <v>6</v>
      </c>
      <c r="D105" s="78" t="s">
        <v>2</v>
      </c>
      <c r="E105" s="79">
        <v>10</v>
      </c>
      <c r="F105" s="79">
        <v>10</v>
      </c>
      <c r="G105" s="79">
        <v>0</v>
      </c>
      <c r="H105" s="80">
        <v>0</v>
      </c>
      <c r="I105" s="198" t="s">
        <v>209</v>
      </c>
      <c r="J105" s="199" t="s">
        <v>79</v>
      </c>
      <c r="K105" s="200">
        <v>100</v>
      </c>
      <c r="L105" s="200">
        <v>30</v>
      </c>
      <c r="M105" s="198"/>
      <c r="N105" s="215" t="s">
        <v>210</v>
      </c>
      <c r="O105" s="22"/>
    </row>
    <row r="106" spans="1:15" ht="34.5" customHeight="1" thickBot="1" x14ac:dyDescent="0.3">
      <c r="A106" s="109"/>
      <c r="B106" s="123"/>
      <c r="C106" s="126">
        <v>2</v>
      </c>
      <c r="D106" s="78" t="s">
        <v>2</v>
      </c>
      <c r="E106" s="79">
        <v>26.9</v>
      </c>
      <c r="F106" s="79">
        <v>26.9</v>
      </c>
      <c r="G106" s="79">
        <v>26.9</v>
      </c>
      <c r="H106" s="80">
        <v>0</v>
      </c>
      <c r="I106" s="87" t="s">
        <v>211</v>
      </c>
      <c r="J106" s="88" t="s">
        <v>212</v>
      </c>
      <c r="K106" s="78">
        <v>84</v>
      </c>
      <c r="L106" s="78">
        <v>84</v>
      </c>
      <c r="M106" s="87"/>
      <c r="N106" s="216"/>
      <c r="O106" s="22"/>
    </row>
    <row r="107" spans="1:15" ht="36" customHeight="1" x14ac:dyDescent="0.25">
      <c r="A107" s="96" t="s">
        <v>213</v>
      </c>
      <c r="B107" s="668" t="s">
        <v>42</v>
      </c>
      <c r="C107" s="67"/>
      <c r="D107" s="67"/>
      <c r="E107" s="98">
        <f>SUM(E108:E109)</f>
        <v>13.7</v>
      </c>
      <c r="F107" s="98">
        <f>SUM(F108:F109)</f>
        <v>13.7</v>
      </c>
      <c r="G107" s="98">
        <f>SUM(G108:G109)</f>
        <v>10.6</v>
      </c>
      <c r="H107" s="70">
        <f>SUM(H108:H109)</f>
        <v>0</v>
      </c>
      <c r="I107" s="113" t="s">
        <v>214</v>
      </c>
      <c r="J107" s="114" t="s">
        <v>79</v>
      </c>
      <c r="K107" s="115">
        <v>100</v>
      </c>
      <c r="L107" s="115">
        <v>100</v>
      </c>
      <c r="M107" s="217" t="s">
        <v>215</v>
      </c>
      <c r="N107" s="218"/>
      <c r="O107" s="22"/>
    </row>
    <row r="108" spans="1:15" ht="65.25" customHeight="1" x14ac:dyDescent="0.25">
      <c r="A108" s="85"/>
      <c r="B108" s="667"/>
      <c r="C108" s="126">
        <v>6</v>
      </c>
      <c r="D108" s="78" t="s">
        <v>2</v>
      </c>
      <c r="E108" s="79">
        <v>12</v>
      </c>
      <c r="F108" s="79">
        <v>12</v>
      </c>
      <c r="G108" s="79">
        <v>8.9</v>
      </c>
      <c r="H108" s="80">
        <v>0</v>
      </c>
      <c r="I108" s="219" t="s">
        <v>216</v>
      </c>
      <c r="J108" s="220" t="s">
        <v>79</v>
      </c>
      <c r="K108" s="221">
        <v>27</v>
      </c>
      <c r="L108" s="221">
        <v>70</v>
      </c>
      <c r="M108" s="673" t="s">
        <v>217</v>
      </c>
      <c r="N108" s="675"/>
      <c r="O108" s="22"/>
    </row>
    <row r="109" spans="1:15" ht="16.5" thickBot="1" x14ac:dyDescent="0.3">
      <c r="A109" s="109"/>
      <c r="B109" s="222"/>
      <c r="C109" s="126">
        <v>2</v>
      </c>
      <c r="D109" s="78" t="s">
        <v>2</v>
      </c>
      <c r="E109" s="79">
        <v>1.7</v>
      </c>
      <c r="F109" s="79">
        <v>1.7</v>
      </c>
      <c r="G109" s="79">
        <v>1.7</v>
      </c>
      <c r="H109" s="80">
        <v>0</v>
      </c>
      <c r="I109" s="223"/>
      <c r="J109" s="224"/>
      <c r="K109" s="225"/>
      <c r="L109" s="226"/>
      <c r="M109" s="674"/>
      <c r="N109" s="676"/>
      <c r="O109" s="22"/>
    </row>
    <row r="110" spans="1:15" ht="68.25" customHeight="1" thickBot="1" x14ac:dyDescent="0.3">
      <c r="A110" s="96" t="s">
        <v>218</v>
      </c>
      <c r="B110" s="668" t="s">
        <v>36</v>
      </c>
      <c r="C110" s="67">
        <v>6</v>
      </c>
      <c r="D110" s="68" t="s">
        <v>2</v>
      </c>
      <c r="E110" s="69">
        <f>SUM(E111:E111)+15</f>
        <v>15</v>
      </c>
      <c r="F110" s="69">
        <f>SUM(F111:F111)+12.1</f>
        <v>12.1</v>
      </c>
      <c r="G110" s="69">
        <f>SUM(G111:G111)+12.1</f>
        <v>12.1</v>
      </c>
      <c r="H110" s="70">
        <f>SUM(H111:H111)</f>
        <v>0</v>
      </c>
      <c r="I110" s="219" t="s">
        <v>219</v>
      </c>
      <c r="J110" s="220" t="s">
        <v>95</v>
      </c>
      <c r="K110" s="221">
        <v>1</v>
      </c>
      <c r="L110" s="221">
        <v>1</v>
      </c>
      <c r="M110" s="227" t="s">
        <v>220</v>
      </c>
      <c r="N110" s="228"/>
      <c r="O110" s="22"/>
    </row>
    <row r="111" spans="1:15" ht="16.5" hidden="1" thickBot="1" x14ac:dyDescent="0.3">
      <c r="A111" s="109"/>
      <c r="B111" s="680"/>
      <c r="C111" s="126"/>
      <c r="D111" s="78"/>
      <c r="E111" s="79"/>
      <c r="F111" s="79"/>
      <c r="G111" s="79"/>
      <c r="H111" s="80">
        <v>0</v>
      </c>
      <c r="I111" s="223"/>
      <c r="J111" s="224"/>
      <c r="K111" s="225"/>
      <c r="L111" s="225"/>
      <c r="M111" s="223"/>
      <c r="N111" s="229"/>
      <c r="O111" s="22"/>
    </row>
    <row r="112" spans="1:15" ht="36.75" customHeight="1" thickBot="1" x14ac:dyDescent="0.3">
      <c r="A112" s="96" t="s">
        <v>221</v>
      </c>
      <c r="B112" s="230" t="s">
        <v>222</v>
      </c>
      <c r="C112" s="74">
        <v>6</v>
      </c>
      <c r="D112" s="75" t="s">
        <v>2</v>
      </c>
      <c r="E112" s="231">
        <v>16</v>
      </c>
      <c r="F112" s="231">
        <v>16</v>
      </c>
      <c r="G112" s="231">
        <v>16</v>
      </c>
      <c r="H112" s="232">
        <v>0</v>
      </c>
      <c r="I112" s="227" t="s">
        <v>223</v>
      </c>
      <c r="J112" s="233" t="s">
        <v>79</v>
      </c>
      <c r="K112" s="234">
        <v>100</v>
      </c>
      <c r="L112" s="234">
        <v>100</v>
      </c>
      <c r="M112" s="227" t="s">
        <v>224</v>
      </c>
      <c r="N112" s="228"/>
      <c r="O112" s="22"/>
    </row>
    <row r="113" spans="1:16" ht="52.5" customHeight="1" thickBot="1" x14ac:dyDescent="0.3">
      <c r="A113" s="669" t="s">
        <v>225</v>
      </c>
      <c r="B113" s="672" t="s">
        <v>226</v>
      </c>
      <c r="C113" s="173">
        <v>5</v>
      </c>
      <c r="D113" s="143" t="s">
        <v>37</v>
      </c>
      <c r="E113" s="144">
        <f>SUM(E114:E114)</f>
        <v>4.2</v>
      </c>
      <c r="F113" s="144">
        <f>SUM(F114:F114)</f>
        <v>4.2</v>
      </c>
      <c r="G113" s="144">
        <f>SUM(G114:G114)</f>
        <v>3.9</v>
      </c>
      <c r="H113" s="145">
        <f>SUM(H114:H114)</f>
        <v>0.3</v>
      </c>
      <c r="I113" s="174" t="s">
        <v>227</v>
      </c>
      <c r="J113" s="175" t="s">
        <v>95</v>
      </c>
      <c r="K113" s="176">
        <v>1</v>
      </c>
      <c r="L113" s="176">
        <v>1</v>
      </c>
      <c r="M113" s="174" t="s">
        <v>228</v>
      </c>
      <c r="N113" s="177"/>
      <c r="O113" s="22"/>
    </row>
    <row r="114" spans="1:16" ht="16.5" hidden="1" thickBot="1" x14ac:dyDescent="0.3">
      <c r="A114" s="671"/>
      <c r="B114" s="681"/>
      <c r="C114" s="235"/>
      <c r="D114" s="236"/>
      <c r="E114" s="158">
        <v>4.2</v>
      </c>
      <c r="F114" s="158">
        <v>4.2</v>
      </c>
      <c r="G114" s="158">
        <v>3.9</v>
      </c>
      <c r="H114" s="159">
        <v>0.3</v>
      </c>
      <c r="I114" s="181"/>
      <c r="J114" s="182"/>
      <c r="K114" s="183"/>
      <c r="L114" s="183"/>
      <c r="M114" s="181"/>
      <c r="N114" s="237"/>
      <c r="O114" s="22"/>
    </row>
    <row r="115" spans="1:16" ht="15.75" x14ac:dyDescent="0.25">
      <c r="A115" s="669" t="s">
        <v>229</v>
      </c>
      <c r="B115" s="672" t="s">
        <v>230</v>
      </c>
      <c r="C115" s="173"/>
      <c r="D115" s="143"/>
      <c r="E115" s="154">
        <f>SUM(E116:E117)</f>
        <v>33.5</v>
      </c>
      <c r="F115" s="154">
        <f>SUM(F116:F117)</f>
        <v>36.4</v>
      </c>
      <c r="G115" s="154">
        <f>SUM(G116:G117)</f>
        <v>36.200000000000003</v>
      </c>
      <c r="H115" s="145">
        <f>SUM(H116:H117)</f>
        <v>0.2</v>
      </c>
      <c r="I115" s="238"/>
      <c r="J115" s="239"/>
      <c r="K115" s="240"/>
      <c r="L115" s="240"/>
      <c r="M115" s="238"/>
      <c r="N115" s="241"/>
      <c r="O115" s="22"/>
    </row>
    <row r="116" spans="1:16" ht="20.25" customHeight="1" x14ac:dyDescent="0.25">
      <c r="A116" s="670"/>
      <c r="B116" s="667"/>
      <c r="C116" s="126">
        <v>2</v>
      </c>
      <c r="D116" s="78" t="s">
        <v>2</v>
      </c>
      <c r="E116" s="79">
        <v>13.5</v>
      </c>
      <c r="F116" s="79">
        <v>13.5</v>
      </c>
      <c r="G116" s="79">
        <v>13.5</v>
      </c>
      <c r="H116" s="80">
        <v>0</v>
      </c>
      <c r="I116" s="219" t="s">
        <v>231</v>
      </c>
      <c r="J116" s="220" t="s">
        <v>79</v>
      </c>
      <c r="K116" s="221">
        <v>100</v>
      </c>
      <c r="L116" s="221">
        <v>100</v>
      </c>
      <c r="M116" s="119"/>
      <c r="N116" s="242"/>
      <c r="O116" s="22"/>
    </row>
    <row r="117" spans="1:16" ht="20.25" customHeight="1" thickBot="1" x14ac:dyDescent="0.3">
      <c r="A117" s="671"/>
      <c r="B117" s="243"/>
      <c r="C117" s="244">
        <v>6</v>
      </c>
      <c r="D117" s="157" t="s">
        <v>2</v>
      </c>
      <c r="E117" s="158">
        <v>20</v>
      </c>
      <c r="F117" s="158">
        <v>22.9</v>
      </c>
      <c r="G117" s="158">
        <v>22.7</v>
      </c>
      <c r="H117" s="159">
        <v>0.2</v>
      </c>
      <c r="I117" s="245" t="s">
        <v>232</v>
      </c>
      <c r="J117" s="246" t="s">
        <v>79</v>
      </c>
      <c r="K117" s="247">
        <v>100</v>
      </c>
      <c r="L117" s="247">
        <v>100</v>
      </c>
      <c r="M117" s="248"/>
      <c r="N117" s="249"/>
      <c r="O117" s="22"/>
    </row>
    <row r="118" spans="1:16" ht="15.75" x14ac:dyDescent="0.25">
      <c r="A118" s="659" t="s">
        <v>233</v>
      </c>
      <c r="B118" s="667" t="s">
        <v>43</v>
      </c>
      <c r="C118" s="90"/>
      <c r="D118" s="94"/>
      <c r="E118" s="185">
        <f>SUM(E119:E120)</f>
        <v>98</v>
      </c>
      <c r="F118" s="185">
        <f>SUM(F119:F120)</f>
        <v>112.5</v>
      </c>
      <c r="G118" s="185">
        <f>SUM(G119:G120)</f>
        <v>112.5</v>
      </c>
      <c r="H118" s="186">
        <f>SUM(H119:H120)</f>
        <v>0</v>
      </c>
      <c r="I118" s="178" t="s">
        <v>234</v>
      </c>
      <c r="J118" s="179" t="s">
        <v>95</v>
      </c>
      <c r="K118" s="180">
        <v>1</v>
      </c>
      <c r="L118" s="180">
        <v>1</v>
      </c>
      <c r="M118" s="178" t="s">
        <v>235</v>
      </c>
      <c r="N118" s="250"/>
      <c r="O118" s="22"/>
    </row>
    <row r="119" spans="1:16" ht="15.75" x14ac:dyDescent="0.25">
      <c r="A119" s="659"/>
      <c r="B119" s="667"/>
      <c r="C119" s="126">
        <v>5</v>
      </c>
      <c r="D119" s="78" t="s">
        <v>2</v>
      </c>
      <c r="E119" s="79">
        <v>96.7</v>
      </c>
      <c r="F119" s="79">
        <v>111.2</v>
      </c>
      <c r="G119" s="79">
        <v>111.2</v>
      </c>
      <c r="H119" s="80">
        <v>0</v>
      </c>
      <c r="I119" s="178"/>
      <c r="J119" s="179"/>
      <c r="K119" s="180"/>
      <c r="L119" s="180"/>
      <c r="M119" s="178"/>
      <c r="N119" s="250"/>
      <c r="O119" s="22"/>
    </row>
    <row r="120" spans="1:16" ht="16.5" thickBot="1" x14ac:dyDescent="0.3">
      <c r="A120" s="657"/>
      <c r="B120" s="222"/>
      <c r="C120" s="126">
        <v>5</v>
      </c>
      <c r="D120" s="78" t="s">
        <v>37</v>
      </c>
      <c r="E120" s="79">
        <v>1.3</v>
      </c>
      <c r="F120" s="79">
        <v>1.3</v>
      </c>
      <c r="G120" s="79">
        <v>1.3</v>
      </c>
      <c r="H120" s="80">
        <v>0</v>
      </c>
      <c r="I120" s="223"/>
      <c r="J120" s="224"/>
      <c r="K120" s="225"/>
      <c r="L120" s="225"/>
      <c r="M120" s="223"/>
      <c r="N120" s="251"/>
      <c r="O120" s="22"/>
      <c r="P120" s="137"/>
    </row>
    <row r="121" spans="1:16" ht="21.75" customHeight="1" x14ac:dyDescent="0.25">
      <c r="A121" s="656" t="s">
        <v>236</v>
      </c>
      <c r="B121" s="648" t="s">
        <v>58</v>
      </c>
      <c r="C121" s="74">
        <v>2</v>
      </c>
      <c r="D121" s="75" t="s">
        <v>2</v>
      </c>
      <c r="E121" s="93">
        <f>SUM(E122:E122)+50</f>
        <v>50</v>
      </c>
      <c r="F121" s="93">
        <f>SUM(F122:F122)+50</f>
        <v>50</v>
      </c>
      <c r="G121" s="93">
        <f>SUM(G122:G122)+50</f>
        <v>50</v>
      </c>
      <c r="H121" s="70">
        <f>SUM(H122:H122)</f>
        <v>0</v>
      </c>
      <c r="I121" s="71" t="s">
        <v>231</v>
      </c>
      <c r="J121" s="72" t="s">
        <v>79</v>
      </c>
      <c r="K121" s="68">
        <v>0</v>
      </c>
      <c r="L121" s="68">
        <v>0</v>
      </c>
      <c r="M121" s="71"/>
      <c r="N121" s="73"/>
      <c r="O121" s="22"/>
    </row>
    <row r="122" spans="1:16" ht="79.5" thickBot="1" x14ac:dyDescent="0.3">
      <c r="A122" s="657"/>
      <c r="B122" s="650"/>
      <c r="C122" s="90"/>
      <c r="D122" s="94"/>
      <c r="E122" s="95"/>
      <c r="F122" s="95"/>
      <c r="G122" s="95"/>
      <c r="H122" s="80">
        <v>0</v>
      </c>
      <c r="I122" s="119" t="s">
        <v>216</v>
      </c>
      <c r="J122" s="88" t="s">
        <v>79</v>
      </c>
      <c r="K122" s="78">
        <v>100</v>
      </c>
      <c r="L122" s="78">
        <v>100</v>
      </c>
      <c r="M122" s="119" t="s">
        <v>237</v>
      </c>
      <c r="N122" s="122"/>
      <c r="O122" s="22"/>
    </row>
    <row r="123" spans="1:16" ht="37.5" customHeight="1" thickBot="1" x14ac:dyDescent="0.3">
      <c r="A123" s="65" t="s">
        <v>238</v>
      </c>
      <c r="B123" s="66" t="s">
        <v>59</v>
      </c>
      <c r="C123" s="67">
        <v>6</v>
      </c>
      <c r="D123" s="68" t="s">
        <v>2</v>
      </c>
      <c r="E123" s="91">
        <v>5</v>
      </c>
      <c r="F123" s="91">
        <v>5</v>
      </c>
      <c r="G123" s="91">
        <v>4.4000000000000004</v>
      </c>
      <c r="H123" s="92">
        <v>0.6</v>
      </c>
      <c r="I123" s="71" t="s">
        <v>239</v>
      </c>
      <c r="J123" s="72" t="s">
        <v>212</v>
      </c>
      <c r="K123" s="68">
        <v>15</v>
      </c>
      <c r="L123" s="68">
        <v>15</v>
      </c>
      <c r="M123" s="71" t="s">
        <v>240</v>
      </c>
      <c r="N123" s="73"/>
      <c r="O123" s="22"/>
    </row>
    <row r="124" spans="1:16" ht="50.25" hidden="1" customHeight="1" x14ac:dyDescent="0.25">
      <c r="A124" s="65" t="s">
        <v>241</v>
      </c>
      <c r="B124" s="66" t="s">
        <v>242</v>
      </c>
      <c r="C124" s="67"/>
      <c r="D124" s="68"/>
      <c r="E124" s="69">
        <f>SUM(E125:E125)</f>
        <v>146.69999999999999</v>
      </c>
      <c r="F124" s="69">
        <f>SUM(F125:F125)</f>
        <v>146.69999999999999</v>
      </c>
      <c r="G124" s="69">
        <f>SUM(G125:G125)</f>
        <v>128</v>
      </c>
      <c r="H124" s="70">
        <f>SUM(H125:H125)</f>
        <v>18.7</v>
      </c>
      <c r="I124" s="71"/>
      <c r="J124" s="72"/>
      <c r="K124" s="68"/>
      <c r="L124" s="68"/>
      <c r="M124" s="71"/>
      <c r="N124" s="73"/>
      <c r="O124" s="22"/>
    </row>
    <row r="125" spans="1:16" ht="20.25" customHeight="1" x14ac:dyDescent="0.25">
      <c r="A125" s="656" t="s">
        <v>243</v>
      </c>
      <c r="B125" s="648" t="s">
        <v>242</v>
      </c>
      <c r="C125" s="654">
        <v>6</v>
      </c>
      <c r="D125" s="68"/>
      <c r="E125" s="98">
        <f>SUM(E126:E127)</f>
        <v>146.69999999999999</v>
      </c>
      <c r="F125" s="98">
        <f>SUM(F126:F127)</f>
        <v>146.69999999999999</v>
      </c>
      <c r="G125" s="98">
        <f>SUM(G126:G127)</f>
        <v>128</v>
      </c>
      <c r="H125" s="70">
        <f>SUM(H126:H127)</f>
        <v>18.7</v>
      </c>
      <c r="I125" s="204" t="s">
        <v>244</v>
      </c>
      <c r="J125" s="205" t="s">
        <v>90</v>
      </c>
      <c r="K125" s="75">
        <v>7</v>
      </c>
      <c r="L125" s="75">
        <v>7</v>
      </c>
      <c r="M125" s="204" t="s">
        <v>245</v>
      </c>
      <c r="N125" s="206"/>
      <c r="O125" s="22"/>
    </row>
    <row r="126" spans="1:16" ht="15.75" x14ac:dyDescent="0.25">
      <c r="A126" s="659"/>
      <c r="B126" s="649"/>
      <c r="C126" s="658"/>
      <c r="D126" s="78" t="s">
        <v>37</v>
      </c>
      <c r="E126" s="79">
        <v>21.9</v>
      </c>
      <c r="F126" s="79">
        <v>21.9</v>
      </c>
      <c r="G126" s="79">
        <v>21.9</v>
      </c>
      <c r="H126" s="80">
        <v>0</v>
      </c>
      <c r="I126" s="131"/>
      <c r="J126" s="132"/>
      <c r="K126" s="117"/>
      <c r="L126" s="117"/>
      <c r="M126" s="131"/>
      <c r="N126" s="133"/>
      <c r="O126" s="22"/>
    </row>
    <row r="127" spans="1:16" ht="16.5" thickBot="1" x14ac:dyDescent="0.3">
      <c r="A127" s="657"/>
      <c r="B127" s="650"/>
      <c r="C127" s="655"/>
      <c r="D127" s="78" t="s">
        <v>2</v>
      </c>
      <c r="E127" s="79">
        <v>124.8</v>
      </c>
      <c r="F127" s="79">
        <v>124.8</v>
      </c>
      <c r="G127" s="79">
        <v>106.1</v>
      </c>
      <c r="H127" s="80">
        <v>18.7</v>
      </c>
      <c r="I127" s="134"/>
      <c r="J127" s="135"/>
      <c r="K127" s="94"/>
      <c r="L127" s="94"/>
      <c r="M127" s="134"/>
      <c r="N127" s="136"/>
      <c r="O127" s="22"/>
    </row>
    <row r="128" spans="1:16" ht="55.5" customHeight="1" thickBot="1" x14ac:dyDescent="0.3">
      <c r="A128" s="57" t="s">
        <v>246</v>
      </c>
      <c r="B128" s="58" t="s">
        <v>22</v>
      </c>
      <c r="C128" s="252"/>
      <c r="D128" s="252"/>
      <c r="E128" s="253">
        <f>E129+E138</f>
        <v>159</v>
      </c>
      <c r="F128" s="253">
        <f>F129+F138</f>
        <v>151</v>
      </c>
      <c r="G128" s="253">
        <f>G129+G138+0.1</f>
        <v>136.4</v>
      </c>
      <c r="H128" s="61">
        <f>H129+H138-0.1</f>
        <v>14.6</v>
      </c>
      <c r="I128" s="62"/>
      <c r="J128" s="63"/>
      <c r="K128" s="59"/>
      <c r="L128" s="59"/>
      <c r="M128" s="62"/>
      <c r="N128" s="64"/>
      <c r="O128" s="22"/>
    </row>
    <row r="129" spans="1:15" ht="35.25" customHeight="1" thickBot="1" x14ac:dyDescent="0.3">
      <c r="A129" s="65" t="s">
        <v>247</v>
      </c>
      <c r="B129" s="66" t="s">
        <v>26</v>
      </c>
      <c r="C129" s="67"/>
      <c r="D129" s="68"/>
      <c r="E129" s="98">
        <f>E130+E131+E133+E137</f>
        <v>148</v>
      </c>
      <c r="F129" s="98">
        <f>F130+F131+F133+F137</f>
        <v>145</v>
      </c>
      <c r="G129" s="98">
        <f>G130+G131+G133+G137</f>
        <v>131.5</v>
      </c>
      <c r="H129" s="70">
        <f>H130+H131+H133+H137</f>
        <v>13.5</v>
      </c>
      <c r="I129" s="71"/>
      <c r="J129" s="72"/>
      <c r="K129" s="68"/>
      <c r="L129" s="68"/>
      <c r="M129" s="71"/>
      <c r="N129" s="73"/>
      <c r="O129" s="22"/>
    </row>
    <row r="130" spans="1:15" ht="64.5" customHeight="1" thickBot="1" x14ac:dyDescent="0.3">
      <c r="A130" s="96" t="s">
        <v>248</v>
      </c>
      <c r="B130" s="112" t="s">
        <v>249</v>
      </c>
      <c r="C130" s="74">
        <v>2</v>
      </c>
      <c r="D130" s="75" t="s">
        <v>2</v>
      </c>
      <c r="E130" s="231">
        <v>35</v>
      </c>
      <c r="F130" s="231">
        <v>35</v>
      </c>
      <c r="G130" s="231">
        <v>35</v>
      </c>
      <c r="H130" s="232">
        <v>0</v>
      </c>
      <c r="I130" s="204" t="s">
        <v>250</v>
      </c>
      <c r="J130" s="205" t="s">
        <v>79</v>
      </c>
      <c r="K130" s="75">
        <v>70</v>
      </c>
      <c r="L130" s="75">
        <v>70</v>
      </c>
      <c r="M130" s="204"/>
      <c r="N130" s="206" t="s">
        <v>251</v>
      </c>
      <c r="O130" s="22"/>
    </row>
    <row r="131" spans="1:15" ht="68.25" customHeight="1" thickBot="1" x14ac:dyDescent="0.3">
      <c r="A131" s="187" t="s">
        <v>252</v>
      </c>
      <c r="B131" s="254" t="s">
        <v>253</v>
      </c>
      <c r="C131" s="189">
        <v>2</v>
      </c>
      <c r="D131" s="190" t="s">
        <v>2</v>
      </c>
      <c r="E131" s="191">
        <f>SUM(E132:E132)</f>
        <v>13</v>
      </c>
      <c r="F131" s="191">
        <f>SUM(F132:F132)</f>
        <v>13</v>
      </c>
      <c r="G131" s="191">
        <f>SUM(G132:G132)</f>
        <v>0</v>
      </c>
      <c r="H131" s="192">
        <f>SUM(H132:H132)</f>
        <v>13</v>
      </c>
      <c r="I131" s="255" t="s">
        <v>254</v>
      </c>
      <c r="J131" s="256" t="s">
        <v>95</v>
      </c>
      <c r="K131" s="257">
        <v>1</v>
      </c>
      <c r="L131" s="257">
        <v>0</v>
      </c>
      <c r="M131" s="255"/>
      <c r="N131" s="258" t="s">
        <v>255</v>
      </c>
      <c r="O131" s="22"/>
    </row>
    <row r="132" spans="1:15" ht="16.5" hidden="1" thickBot="1" x14ac:dyDescent="0.3">
      <c r="A132" s="109"/>
      <c r="B132" s="123"/>
      <c r="C132" s="23"/>
      <c r="D132" s="24"/>
      <c r="E132" s="95">
        <v>13</v>
      </c>
      <c r="F132" s="95">
        <v>13</v>
      </c>
      <c r="G132" s="95">
        <v>0</v>
      </c>
      <c r="H132" s="164">
        <v>13</v>
      </c>
      <c r="I132" s="134"/>
      <c r="J132" s="135"/>
      <c r="K132" s="94"/>
      <c r="L132" s="94"/>
      <c r="M132" s="134"/>
      <c r="N132" s="136"/>
      <c r="O132" s="22"/>
    </row>
    <row r="133" spans="1:15" ht="31.5" x14ac:dyDescent="0.25">
      <c r="A133" s="656" t="s">
        <v>256</v>
      </c>
      <c r="B133" s="648" t="s">
        <v>257</v>
      </c>
      <c r="C133" s="75">
        <v>2</v>
      </c>
      <c r="D133" s="75" t="s">
        <v>2</v>
      </c>
      <c r="E133" s="93">
        <f>SUM(E134:E136)+97</f>
        <v>97</v>
      </c>
      <c r="F133" s="93">
        <f>SUM(F134:F136)+97</f>
        <v>97</v>
      </c>
      <c r="G133" s="93">
        <f>SUM(G134:G136)+96.5</f>
        <v>96.5</v>
      </c>
      <c r="H133" s="70">
        <f>SUM(H134:H136)+0.5</f>
        <v>0.5</v>
      </c>
      <c r="I133" s="71" t="s">
        <v>258</v>
      </c>
      <c r="J133" s="72" t="s">
        <v>90</v>
      </c>
      <c r="K133" s="68">
        <v>0</v>
      </c>
      <c r="L133" s="68">
        <v>1</v>
      </c>
      <c r="M133" s="71"/>
      <c r="N133" s="73" t="s">
        <v>259</v>
      </c>
      <c r="O133" s="22"/>
    </row>
    <row r="134" spans="1:15" ht="18.75" customHeight="1" x14ac:dyDescent="0.25">
      <c r="A134" s="659"/>
      <c r="B134" s="649"/>
      <c r="C134" s="77"/>
      <c r="D134" s="117"/>
      <c r="E134" s="118"/>
      <c r="F134" s="118"/>
      <c r="G134" s="118"/>
      <c r="H134" s="80">
        <v>0</v>
      </c>
      <c r="I134" s="87" t="s">
        <v>260</v>
      </c>
      <c r="J134" s="88" t="s">
        <v>95</v>
      </c>
      <c r="K134" s="78">
        <v>1</v>
      </c>
      <c r="L134" s="78">
        <v>1</v>
      </c>
      <c r="M134" s="689" t="s">
        <v>46</v>
      </c>
      <c r="N134" s="130" t="s">
        <v>128</v>
      </c>
      <c r="O134" s="22"/>
    </row>
    <row r="135" spans="1:15" ht="35.25" customHeight="1" x14ac:dyDescent="0.25">
      <c r="A135" s="85"/>
      <c r="B135" s="86"/>
      <c r="C135" s="77"/>
      <c r="D135" s="117"/>
      <c r="E135" s="118"/>
      <c r="F135" s="118"/>
      <c r="G135" s="118"/>
      <c r="H135" s="80">
        <v>0</v>
      </c>
      <c r="I135" s="87" t="s">
        <v>261</v>
      </c>
      <c r="J135" s="88" t="s">
        <v>90</v>
      </c>
      <c r="K135" s="78" t="s">
        <v>262</v>
      </c>
      <c r="L135" s="78" t="s">
        <v>263</v>
      </c>
      <c r="M135" s="652"/>
      <c r="N135" s="133"/>
      <c r="O135" s="22"/>
    </row>
    <row r="136" spans="1:15" ht="34.5" customHeight="1" thickBot="1" x14ac:dyDescent="0.3">
      <c r="A136" s="109"/>
      <c r="B136" s="123"/>
      <c r="C136" s="90"/>
      <c r="D136" s="94"/>
      <c r="E136" s="95"/>
      <c r="F136" s="95"/>
      <c r="G136" s="95"/>
      <c r="H136" s="80">
        <v>0</v>
      </c>
      <c r="I136" s="87" t="s">
        <v>264</v>
      </c>
      <c r="J136" s="88" t="s">
        <v>90</v>
      </c>
      <c r="K136" s="78" t="s">
        <v>265</v>
      </c>
      <c r="L136" s="78" t="s">
        <v>266</v>
      </c>
      <c r="M136" s="134"/>
      <c r="N136" s="136"/>
      <c r="O136" s="22"/>
    </row>
    <row r="137" spans="1:15" ht="54" customHeight="1" thickBot="1" x14ac:dyDescent="0.3">
      <c r="A137" s="65" t="s">
        <v>267</v>
      </c>
      <c r="B137" s="66" t="s">
        <v>268</v>
      </c>
      <c r="C137" s="67">
        <v>2</v>
      </c>
      <c r="D137" s="68" t="s">
        <v>2</v>
      </c>
      <c r="E137" s="91">
        <v>3</v>
      </c>
      <c r="F137" s="91">
        <v>0</v>
      </c>
      <c r="G137" s="91">
        <v>0</v>
      </c>
      <c r="H137" s="92">
        <v>0</v>
      </c>
      <c r="I137" s="71"/>
      <c r="J137" s="72"/>
      <c r="K137" s="68"/>
      <c r="L137" s="68"/>
      <c r="M137" s="71"/>
      <c r="N137" s="73" t="s">
        <v>269</v>
      </c>
      <c r="O137" s="22"/>
    </row>
    <row r="138" spans="1:15" ht="33.75" hidden="1" customHeight="1" x14ac:dyDescent="0.25">
      <c r="A138" s="65" t="s">
        <v>270</v>
      </c>
      <c r="B138" s="66" t="s">
        <v>62</v>
      </c>
      <c r="C138" s="67"/>
      <c r="D138" s="68"/>
      <c r="E138" s="69">
        <f>SUM(E139:E139)</f>
        <v>11</v>
      </c>
      <c r="F138" s="69">
        <f>SUM(F139:F139)</f>
        <v>6</v>
      </c>
      <c r="G138" s="69">
        <f>SUM(G139:G139)</f>
        <v>4.8</v>
      </c>
      <c r="H138" s="70">
        <f>SUM(H139:H139)</f>
        <v>1.2</v>
      </c>
      <c r="I138" s="71"/>
      <c r="J138" s="72"/>
      <c r="K138" s="68"/>
      <c r="L138" s="68"/>
      <c r="M138" s="71"/>
      <c r="N138" s="73"/>
      <c r="O138" s="22"/>
    </row>
    <row r="139" spans="1:15" ht="34.5" customHeight="1" x14ac:dyDescent="0.25">
      <c r="A139" s="96" t="s">
        <v>271</v>
      </c>
      <c r="B139" s="112" t="s">
        <v>62</v>
      </c>
      <c r="C139" s="654">
        <v>2</v>
      </c>
      <c r="D139" s="75" t="s">
        <v>2</v>
      </c>
      <c r="E139" s="93">
        <f>SUM(E140:E141)+11</f>
        <v>11</v>
      </c>
      <c r="F139" s="93">
        <f>SUM(F140:F141)+6</f>
        <v>6</v>
      </c>
      <c r="G139" s="93">
        <f>SUM(G140:G141)+4.8</f>
        <v>4.8</v>
      </c>
      <c r="H139" s="70">
        <f>SUM(H140:H141)+1.2</f>
        <v>1.2</v>
      </c>
      <c r="I139" s="167" t="s">
        <v>272</v>
      </c>
      <c r="J139" s="168" t="s">
        <v>90</v>
      </c>
      <c r="K139" s="169">
        <v>1</v>
      </c>
      <c r="L139" s="169">
        <v>0</v>
      </c>
      <c r="M139" s="167"/>
      <c r="N139" s="170" t="s">
        <v>273</v>
      </c>
      <c r="O139" s="22"/>
    </row>
    <row r="140" spans="1:15" ht="18" customHeight="1" x14ac:dyDescent="0.25">
      <c r="A140" s="85"/>
      <c r="B140" s="86"/>
      <c r="C140" s="658"/>
      <c r="D140" s="117"/>
      <c r="E140" s="118"/>
      <c r="F140" s="118"/>
      <c r="G140" s="118"/>
      <c r="H140" s="80">
        <v>0</v>
      </c>
      <c r="I140" s="87" t="s">
        <v>274</v>
      </c>
      <c r="J140" s="88" t="s">
        <v>90</v>
      </c>
      <c r="K140" s="78">
        <v>100</v>
      </c>
      <c r="L140" s="78">
        <v>130</v>
      </c>
      <c r="M140" s="87"/>
      <c r="N140" s="89"/>
      <c r="O140" s="22"/>
    </row>
    <row r="141" spans="1:15" ht="49.5" customHeight="1" thickBot="1" x14ac:dyDescent="0.3">
      <c r="A141" s="138"/>
      <c r="B141" s="259"/>
      <c r="C141" s="655"/>
      <c r="D141" s="260"/>
      <c r="E141" s="261"/>
      <c r="F141" s="261"/>
      <c r="G141" s="261"/>
      <c r="H141" s="262">
        <v>0</v>
      </c>
      <c r="I141" s="263" t="s">
        <v>275</v>
      </c>
      <c r="J141" s="264" t="s">
        <v>90</v>
      </c>
      <c r="K141" s="265">
        <v>4</v>
      </c>
      <c r="L141" s="265">
        <v>2</v>
      </c>
      <c r="M141" s="266"/>
      <c r="N141" s="267" t="s">
        <v>276</v>
      </c>
      <c r="O141" s="29"/>
    </row>
    <row r="142" spans="1:15" ht="17.25" customHeight="1" x14ac:dyDescent="0.2">
      <c r="A142" s="690" t="s">
        <v>277</v>
      </c>
      <c r="B142" s="691"/>
      <c r="C142" s="691"/>
      <c r="D142" s="691"/>
      <c r="E142" s="691"/>
      <c r="F142" s="691"/>
      <c r="G142" s="691"/>
      <c r="H142" s="691"/>
      <c r="I142" s="691"/>
      <c r="J142" s="691"/>
      <c r="K142" s="691"/>
      <c r="L142" s="691"/>
      <c r="M142" s="691"/>
      <c r="N142" s="691"/>
      <c r="O142" s="692"/>
    </row>
    <row r="143" spans="1:15" ht="17.25" customHeight="1" x14ac:dyDescent="0.2">
      <c r="A143" s="693" t="s">
        <v>278</v>
      </c>
      <c r="B143" s="692"/>
      <c r="C143" s="692"/>
      <c r="D143" s="692"/>
      <c r="E143" s="692"/>
      <c r="F143" s="692"/>
      <c r="G143" s="692"/>
      <c r="H143" s="692"/>
      <c r="I143" s="692"/>
      <c r="J143" s="692"/>
      <c r="K143" s="692"/>
      <c r="L143" s="692"/>
      <c r="M143" s="692"/>
      <c r="N143" s="692"/>
      <c r="O143" s="692"/>
    </row>
    <row r="144" spans="1:15" ht="17.25" customHeight="1" x14ac:dyDescent="0.2">
      <c r="A144" s="694" t="s">
        <v>4</v>
      </c>
      <c r="B144" s="694"/>
      <c r="C144" s="694"/>
      <c r="D144" s="694"/>
      <c r="E144" s="694"/>
      <c r="F144" s="694"/>
      <c r="G144" s="694"/>
      <c r="H144" s="268"/>
      <c r="I144" s="268"/>
      <c r="J144" s="268"/>
      <c r="K144" s="4"/>
      <c r="L144" s="17"/>
      <c r="M144" s="17"/>
      <c r="N144" s="17"/>
      <c r="O144" s="17"/>
    </row>
    <row r="145" spans="1:15" ht="98.25" x14ac:dyDescent="0.25">
      <c r="A145" s="269" t="s">
        <v>63</v>
      </c>
      <c r="B145" s="688" t="s">
        <v>64</v>
      </c>
      <c r="C145" s="688"/>
      <c r="D145" s="688"/>
      <c r="E145" s="270" t="s">
        <v>66</v>
      </c>
      <c r="F145" s="271" t="s">
        <v>67</v>
      </c>
      <c r="G145" s="272" t="s">
        <v>68</v>
      </c>
      <c r="H145" s="273" t="s">
        <v>69</v>
      </c>
      <c r="I145" s="274"/>
      <c r="J145" s="275"/>
      <c r="K145" s="152"/>
      <c r="L145" s="24"/>
      <c r="M145" s="27"/>
      <c r="N145" s="276"/>
      <c r="O145" s="277"/>
    </row>
    <row r="146" spans="1:15" ht="34.5" customHeight="1" x14ac:dyDescent="0.25">
      <c r="A146" s="278" t="s">
        <v>60</v>
      </c>
      <c r="B146" s="695" t="s">
        <v>279</v>
      </c>
      <c r="C146" s="695"/>
      <c r="D146" s="695"/>
      <c r="E146" s="279">
        <v>151.6</v>
      </c>
      <c r="F146" s="280">
        <v>151.6</v>
      </c>
      <c r="G146" s="281">
        <v>149.80000000000001</v>
      </c>
      <c r="H146" s="282">
        <v>1.8</v>
      </c>
      <c r="I146" s="22"/>
      <c r="J146" s="26"/>
      <c r="K146" s="24"/>
      <c r="L146" s="152"/>
      <c r="M146" s="27"/>
      <c r="N146" s="27"/>
      <c r="O146" s="22"/>
    </row>
    <row r="147" spans="1:15" ht="15.75" x14ac:dyDescent="0.25">
      <c r="A147" s="278" t="s">
        <v>37</v>
      </c>
      <c r="B147" s="695" t="s">
        <v>280</v>
      </c>
      <c r="C147" s="695"/>
      <c r="D147" s="695"/>
      <c r="E147" s="279">
        <v>1199.3</v>
      </c>
      <c r="F147" s="280">
        <v>1047.3</v>
      </c>
      <c r="G147" s="281">
        <v>805.7</v>
      </c>
      <c r="H147" s="282">
        <v>241.6</v>
      </c>
      <c r="I147" s="22"/>
      <c r="J147" s="26"/>
      <c r="K147" s="24"/>
      <c r="L147" s="24"/>
      <c r="M147" s="27"/>
      <c r="N147" s="27"/>
      <c r="O147" s="22"/>
    </row>
    <row r="148" spans="1:15" ht="20.25" customHeight="1" x14ac:dyDescent="0.25">
      <c r="A148" s="278" t="s">
        <v>5</v>
      </c>
      <c r="B148" s="283" t="s">
        <v>281</v>
      </c>
      <c r="C148" s="284"/>
      <c r="D148" s="285"/>
      <c r="E148" s="279">
        <v>429</v>
      </c>
      <c r="F148" s="280">
        <v>472.5</v>
      </c>
      <c r="G148" s="281">
        <v>394.3</v>
      </c>
      <c r="H148" s="282">
        <v>78.3</v>
      </c>
      <c r="I148" s="22"/>
      <c r="J148" s="26"/>
      <c r="K148" s="24"/>
      <c r="L148" s="24"/>
      <c r="M148" s="27"/>
      <c r="N148" s="27"/>
      <c r="O148" s="22"/>
    </row>
    <row r="149" spans="1:15" ht="15.75" x14ac:dyDescent="0.25">
      <c r="A149" s="278" t="s">
        <v>25</v>
      </c>
      <c r="B149" s="695" t="s">
        <v>282</v>
      </c>
      <c r="C149" s="695"/>
      <c r="D149" s="695"/>
      <c r="E149" s="279">
        <v>82.7</v>
      </c>
      <c r="F149" s="280">
        <v>82.7</v>
      </c>
      <c r="G149" s="281">
        <v>79</v>
      </c>
      <c r="H149" s="282">
        <v>3.7</v>
      </c>
      <c r="I149" s="22"/>
      <c r="J149" s="26"/>
      <c r="K149" s="24"/>
      <c r="L149" s="24"/>
      <c r="M149" s="27"/>
      <c r="N149" s="27"/>
      <c r="O149" s="22"/>
    </row>
    <row r="150" spans="1:15" ht="18" customHeight="1" x14ac:dyDescent="0.25">
      <c r="A150" s="278" t="s">
        <v>20</v>
      </c>
      <c r="B150" s="283" t="s">
        <v>283</v>
      </c>
      <c r="C150" s="284"/>
      <c r="D150" s="285"/>
      <c r="E150" s="279">
        <v>234.9</v>
      </c>
      <c r="F150" s="280">
        <v>234.9</v>
      </c>
      <c r="G150" s="281">
        <v>234.9</v>
      </c>
      <c r="H150" s="282">
        <v>0</v>
      </c>
      <c r="I150" s="22"/>
      <c r="J150" s="26"/>
      <c r="K150" s="24"/>
      <c r="L150" s="24"/>
      <c r="M150" s="27"/>
      <c r="N150" s="27"/>
      <c r="O150" s="22"/>
    </row>
    <row r="151" spans="1:15" ht="18" customHeight="1" x14ac:dyDescent="0.25">
      <c r="A151" s="278" t="s">
        <v>41</v>
      </c>
      <c r="B151" s="283" t="s">
        <v>284</v>
      </c>
      <c r="C151" s="284"/>
      <c r="D151" s="285"/>
      <c r="E151" s="279">
        <v>11.2</v>
      </c>
      <c r="F151" s="280">
        <v>11.2</v>
      </c>
      <c r="G151" s="281">
        <v>11.2</v>
      </c>
      <c r="H151" s="282">
        <v>0</v>
      </c>
      <c r="I151" s="22"/>
      <c r="J151" s="26"/>
      <c r="K151" s="24"/>
      <c r="L151" s="24"/>
      <c r="M151" s="27"/>
      <c r="N151" s="27"/>
      <c r="O151" s="22"/>
    </row>
    <row r="152" spans="1:15" ht="15.75" customHeight="1" x14ac:dyDescent="0.25">
      <c r="A152" s="278" t="s">
        <v>24</v>
      </c>
      <c r="B152" s="283" t="s">
        <v>285</v>
      </c>
      <c r="C152" s="284"/>
      <c r="D152" s="285"/>
      <c r="E152" s="279">
        <v>0</v>
      </c>
      <c r="F152" s="280">
        <v>94.1</v>
      </c>
      <c r="G152" s="281">
        <v>16.899999999999999</v>
      </c>
      <c r="H152" s="282">
        <v>77.2</v>
      </c>
      <c r="I152" s="22"/>
      <c r="J152" s="26"/>
      <c r="K152" s="24"/>
      <c r="L152" s="24"/>
      <c r="M152" s="27"/>
      <c r="N152" s="27"/>
      <c r="O152" s="22"/>
    </row>
    <row r="153" spans="1:15" ht="18" customHeight="1" x14ac:dyDescent="0.25">
      <c r="A153" s="278" t="s">
        <v>178</v>
      </c>
      <c r="B153" s="283" t="s">
        <v>286</v>
      </c>
      <c r="C153" s="284"/>
      <c r="D153" s="285"/>
      <c r="E153" s="279">
        <v>0</v>
      </c>
      <c r="F153" s="280">
        <v>7.3</v>
      </c>
      <c r="G153" s="281">
        <v>4.5999999999999996</v>
      </c>
      <c r="H153" s="282">
        <v>2.7</v>
      </c>
      <c r="I153" s="22"/>
      <c r="J153" s="26"/>
      <c r="K153" s="24"/>
      <c r="L153" s="24"/>
      <c r="M153" s="27"/>
      <c r="N153" s="27"/>
      <c r="O153" s="22"/>
    </row>
    <row r="154" spans="1:15" ht="17.25" customHeight="1" x14ac:dyDescent="0.25">
      <c r="A154" s="278" t="s">
        <v>2</v>
      </c>
      <c r="B154" s="283" t="s">
        <v>287</v>
      </c>
      <c r="C154" s="284"/>
      <c r="D154" s="285"/>
      <c r="E154" s="279">
        <v>7514.7</v>
      </c>
      <c r="F154" s="280">
        <v>7613.6</v>
      </c>
      <c r="G154" s="281">
        <v>7430.8</v>
      </c>
      <c r="H154" s="282">
        <v>182.8</v>
      </c>
      <c r="I154" s="22"/>
      <c r="J154" s="26"/>
      <c r="K154" s="24"/>
      <c r="L154" s="24"/>
      <c r="M154" s="27"/>
      <c r="N154" s="27"/>
      <c r="O154" s="22"/>
    </row>
    <row r="155" spans="1:15" ht="15.75" x14ac:dyDescent="0.25">
      <c r="A155" s="278" t="s">
        <v>44</v>
      </c>
      <c r="B155" s="695" t="s">
        <v>288</v>
      </c>
      <c r="C155" s="695"/>
      <c r="D155" s="695"/>
      <c r="E155" s="279">
        <v>1766</v>
      </c>
      <c r="F155" s="280">
        <v>1621.2</v>
      </c>
      <c r="G155" s="281">
        <v>1415.6</v>
      </c>
      <c r="H155" s="282">
        <v>205.6</v>
      </c>
      <c r="I155" s="22"/>
      <c r="J155" s="26"/>
      <c r="K155" s="24"/>
      <c r="L155" s="24"/>
      <c r="M155" s="27"/>
      <c r="N155" s="27"/>
      <c r="O155" s="22"/>
    </row>
    <row r="156" spans="1:15" ht="15.75" x14ac:dyDescent="0.25">
      <c r="A156" s="286"/>
      <c r="B156" s="696" t="s">
        <v>289</v>
      </c>
      <c r="C156" s="697"/>
      <c r="D156" s="698"/>
      <c r="E156" s="287">
        <f>SUM(E146:E155)</f>
        <v>11389.4</v>
      </c>
      <c r="F156" s="288">
        <f>SUM(F146:F155)</f>
        <v>11336.400000000001</v>
      </c>
      <c r="G156" s="289">
        <f>SUM(G146:G155)</f>
        <v>10542.800000000001</v>
      </c>
      <c r="H156" s="290">
        <f>SUM(H146:H155)</f>
        <v>793.69999999999993</v>
      </c>
      <c r="I156" s="22"/>
      <c r="J156" s="26"/>
      <c r="K156" s="24"/>
      <c r="L156" s="24"/>
      <c r="M156" s="27"/>
      <c r="N156" s="27"/>
      <c r="O156" s="22"/>
    </row>
  </sheetData>
  <mergeCells count="87">
    <mergeCell ref="B146:D146"/>
    <mergeCell ref="B147:D147"/>
    <mergeCell ref="B149:D149"/>
    <mergeCell ref="B155:D155"/>
    <mergeCell ref="B156:D156"/>
    <mergeCell ref="M134:M135"/>
    <mergeCell ref="C139:C141"/>
    <mergeCell ref="A142:O142"/>
    <mergeCell ref="A143:O143"/>
    <mergeCell ref="A144:G144"/>
    <mergeCell ref="B145:D145"/>
    <mergeCell ref="A121:A122"/>
    <mergeCell ref="B121:B122"/>
    <mergeCell ref="A125:A127"/>
    <mergeCell ref="B125:B127"/>
    <mergeCell ref="C125:C127"/>
    <mergeCell ref="A133:A134"/>
    <mergeCell ref="B133:B134"/>
    <mergeCell ref="M108:M109"/>
    <mergeCell ref="N108:N109"/>
    <mergeCell ref="M88:M92"/>
    <mergeCell ref="B110:B111"/>
    <mergeCell ref="A113:A114"/>
    <mergeCell ref="B113:B114"/>
    <mergeCell ref="N89:N92"/>
    <mergeCell ref="B93:B98"/>
    <mergeCell ref="N93:N98"/>
    <mergeCell ref="N101:N102"/>
    <mergeCell ref="B104:B105"/>
    <mergeCell ref="A88:A92"/>
    <mergeCell ref="B88:B92"/>
    <mergeCell ref="A118:A120"/>
    <mergeCell ref="B118:B119"/>
    <mergeCell ref="B107:B108"/>
    <mergeCell ref="A115:A117"/>
    <mergeCell ref="B115:B116"/>
    <mergeCell ref="M74:M75"/>
    <mergeCell ref="A83:A84"/>
    <mergeCell ref="B83:B84"/>
    <mergeCell ref="B86:B87"/>
    <mergeCell ref="A69:A73"/>
    <mergeCell ref="B69:B73"/>
    <mergeCell ref="C69:C73"/>
    <mergeCell ref="B74:B75"/>
    <mergeCell ref="A76:A78"/>
    <mergeCell ref="B76:B78"/>
    <mergeCell ref="C51:C54"/>
    <mergeCell ref="A55:A56"/>
    <mergeCell ref="B55:B57"/>
    <mergeCell ref="C55:C59"/>
    <mergeCell ref="A60:A62"/>
    <mergeCell ref="B60:B62"/>
    <mergeCell ref="C60:C63"/>
    <mergeCell ref="A64:A65"/>
    <mergeCell ref="B64:B65"/>
    <mergeCell ref="C64:C65"/>
    <mergeCell ref="A67:A68"/>
    <mergeCell ref="B67:B68"/>
    <mergeCell ref="C67:C68"/>
    <mergeCell ref="A40:A41"/>
    <mergeCell ref="B40:B44"/>
    <mergeCell ref="A45:A46"/>
    <mergeCell ref="B45:B47"/>
    <mergeCell ref="A51:A52"/>
    <mergeCell ref="B51:B54"/>
    <mergeCell ref="A36:A37"/>
    <mergeCell ref="I4:L4"/>
    <mergeCell ref="M4:M6"/>
    <mergeCell ref="N4:N6"/>
    <mergeCell ref="I5:I6"/>
    <mergeCell ref="J5:J6"/>
    <mergeCell ref="K5:L5"/>
    <mergeCell ref="B8:B9"/>
    <mergeCell ref="A12:A13"/>
    <mergeCell ref="B12:B13"/>
    <mergeCell ref="A21:A22"/>
    <mergeCell ref="B21:B22"/>
    <mergeCell ref="A1:N1"/>
    <mergeCell ref="A2:N2"/>
    <mergeCell ref="A4:A6"/>
    <mergeCell ref="B4:B6"/>
    <mergeCell ref="C4:C6"/>
    <mergeCell ref="D4:D6"/>
    <mergeCell ref="E4:E6"/>
    <mergeCell ref="F4:F6"/>
    <mergeCell ref="G4:G6"/>
    <mergeCell ref="H4: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4</vt:i4>
      </vt:variant>
    </vt:vector>
  </HeadingPairs>
  <TitlesOfParts>
    <vt:vector size="9" baseType="lpstr">
      <vt:lpstr>Asignavimų valdytojų kodai</vt:lpstr>
      <vt:lpstr>Ataskaita</vt:lpstr>
      <vt:lpstr>senas</vt:lpstr>
      <vt:lpstr>8 programa</vt:lpstr>
      <vt:lpstr>SPIS</vt:lpstr>
      <vt:lpstr>Ataskaita!Print_Area</vt:lpstr>
      <vt:lpstr>senas!Print_Area</vt:lpstr>
      <vt:lpstr>'8 programa'!Print_Titles</vt:lpstr>
      <vt:lpstr>senas!Print_Titles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Asta Česnauskienė</cp:lastModifiedBy>
  <cp:lastPrinted>2022-02-28T11:18:38Z</cp:lastPrinted>
  <dcterms:created xsi:type="dcterms:W3CDTF">2004-04-19T12:01:47Z</dcterms:created>
  <dcterms:modified xsi:type="dcterms:W3CDTF">2022-02-28T15:46:14Z</dcterms:modified>
</cp:coreProperties>
</file>