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KEITIMAI\2022-2024 SVP keitimas\2022-2024 SVP keitimas (spalis)\Sprendimas\"/>
    </mc:Choice>
  </mc:AlternateContent>
  <bookViews>
    <workbookView xWindow="-120" yWindow="-120" windowWidth="23160" windowHeight="9120"/>
  </bookViews>
  <sheets>
    <sheet name="12 programa" sheetId="12" r:id="rId1"/>
    <sheet name="Aiškinamoji lentelė" sheetId="14" state="hidden" r:id="rId2"/>
  </sheets>
  <definedNames>
    <definedName name="_xlnm.Print_Area" localSheetId="0">'12 programa'!$A$1:$M$279</definedName>
    <definedName name="_xlnm.Print_Area" localSheetId="1">'Aiškinamoji lentelė'!$A$1:$Q$279</definedName>
    <definedName name="_xlnm.Print_Titles" localSheetId="0">'12 programa'!$8:$10</definedName>
    <definedName name="_xlnm.Print_Titles" localSheetId="1">'Aiškinamoji lentelė'!$7:$9</definedName>
  </definedNames>
  <calcPr calcId="162913"/>
</workbook>
</file>

<file path=xl/calcChain.xml><?xml version="1.0" encoding="utf-8"?>
<calcChain xmlns="http://schemas.openxmlformats.org/spreadsheetml/2006/main">
  <c r="H204" i="12" l="1"/>
  <c r="G204" i="12"/>
  <c r="G73" i="12" l="1"/>
  <c r="G74" i="12"/>
  <c r="G115" i="12"/>
  <c r="G82" i="12"/>
  <c r="H66" i="12"/>
  <c r="I65" i="12"/>
  <c r="H65" i="12"/>
  <c r="G65" i="12"/>
  <c r="G32" i="12" l="1"/>
  <c r="G26" i="12"/>
  <c r="G25" i="12"/>
  <c r="G24" i="12"/>
  <c r="G23" i="12"/>
  <c r="G21" i="12"/>
  <c r="H217" i="12" l="1"/>
  <c r="G165" i="12"/>
  <c r="G131" i="12"/>
  <c r="G155" i="12"/>
  <c r="I217" i="12"/>
  <c r="I204" i="12"/>
  <c r="I185" i="12"/>
  <c r="H185" i="12"/>
  <c r="G185" i="12"/>
  <c r="I190" i="12"/>
  <c r="H190" i="12"/>
  <c r="G186" i="12"/>
  <c r="G190" i="12" s="1"/>
  <c r="G173" i="12"/>
  <c r="G168" i="12"/>
  <c r="G166" i="12"/>
  <c r="G161" i="12"/>
  <c r="G158" i="12"/>
  <c r="G157" i="12"/>
  <c r="G156" i="12"/>
  <c r="G154" i="12"/>
  <c r="G152" i="12"/>
  <c r="G149" i="12"/>
  <c r="G147" i="12"/>
  <c r="G139" i="12"/>
  <c r="G138" i="12"/>
  <c r="G128" i="12"/>
  <c r="G127" i="12"/>
  <c r="G121" i="12"/>
  <c r="G111" i="12"/>
  <c r="G103" i="12"/>
  <c r="G102" i="12"/>
  <c r="G92" i="12"/>
  <c r="G90" i="12"/>
  <c r="G83" i="12"/>
  <c r="G78" i="12"/>
  <c r="G69" i="12"/>
  <c r="I62" i="12"/>
  <c r="H62" i="12"/>
  <c r="G62" i="12"/>
  <c r="I60" i="12"/>
  <c r="H60" i="12"/>
  <c r="G60" i="12"/>
  <c r="I58" i="12"/>
  <c r="H58" i="12"/>
  <c r="G58" i="12"/>
  <c r="G49" i="12"/>
  <c r="G48" i="12"/>
  <c r="G36" i="12"/>
  <c r="G35" i="12"/>
  <c r="G33" i="12"/>
  <c r="G16" i="12"/>
  <c r="G251" i="12" l="1"/>
  <c r="G248" i="12"/>
  <c r="G233" i="12"/>
  <c r="G221" i="12"/>
  <c r="G201" i="12"/>
  <c r="G175" i="12"/>
  <c r="G159" i="12"/>
  <c r="G153" i="12"/>
  <c r="G50" i="12"/>
  <c r="I233" i="12" l="1"/>
  <c r="H233" i="12"/>
  <c r="R225" i="12"/>
  <c r="Q225" i="12"/>
  <c r="P225" i="12"/>
  <c r="R224" i="12"/>
  <c r="Q224" i="12"/>
  <c r="P224" i="12"/>
  <c r="I201" i="12"/>
  <c r="H201" i="12"/>
  <c r="G264" i="12" l="1"/>
  <c r="I16" i="12"/>
  <c r="H16" i="12"/>
  <c r="I18" i="12"/>
  <c r="H18" i="12"/>
  <c r="G43" i="12" l="1"/>
  <c r="I43" i="12"/>
  <c r="H43" i="12"/>
  <c r="I248" i="12" l="1"/>
  <c r="H248" i="12"/>
  <c r="R237" i="12"/>
  <c r="Q237" i="12"/>
  <c r="P237" i="12"/>
  <c r="I221" i="12"/>
  <c r="H221" i="12"/>
  <c r="P211" i="12"/>
  <c r="P210" i="12"/>
  <c r="R209" i="12"/>
  <c r="R214" i="12" s="1"/>
  <c r="Q209" i="12"/>
  <c r="Q214" i="12" s="1"/>
  <c r="P209" i="12"/>
  <c r="R178" i="12"/>
  <c r="Q178" i="12"/>
  <c r="P178" i="12"/>
  <c r="R177" i="12"/>
  <c r="Q177" i="12"/>
  <c r="P177" i="12"/>
  <c r="I175" i="12"/>
  <c r="H175" i="12"/>
  <c r="R161" i="12"/>
  <c r="Q161" i="12"/>
  <c r="P161" i="12"/>
  <c r="R160" i="12"/>
  <c r="Q160" i="12"/>
  <c r="P160" i="12"/>
  <c r="I159" i="12"/>
  <c r="H159" i="12"/>
  <c r="I153" i="12"/>
  <c r="H153" i="12"/>
  <c r="P77" i="12"/>
  <c r="P76" i="12"/>
  <c r="R75" i="12"/>
  <c r="Q75" i="12"/>
  <c r="P75" i="12"/>
  <c r="R74" i="12"/>
  <c r="Q74" i="12"/>
  <c r="P74" i="12"/>
  <c r="R73" i="12"/>
  <c r="Q73" i="12"/>
  <c r="P73" i="12"/>
  <c r="P72" i="12"/>
  <c r="R71" i="12"/>
  <c r="Q71" i="12"/>
  <c r="P71" i="12"/>
  <c r="R70" i="12"/>
  <c r="Q70" i="12"/>
  <c r="P70" i="12"/>
  <c r="P69" i="12"/>
  <c r="R68" i="12"/>
  <c r="Q68" i="12"/>
  <c r="P68" i="12"/>
  <c r="I53" i="12"/>
  <c r="I66" i="12" s="1"/>
  <c r="H53" i="12"/>
  <c r="G53" i="12"/>
  <c r="P180" i="12" l="1"/>
  <c r="P212" i="12"/>
  <c r="P214" i="12" s="1"/>
  <c r="P162" i="12"/>
  <c r="P163" i="12" s="1"/>
  <c r="Q162" i="12"/>
  <c r="Q163" i="12" s="1"/>
  <c r="R162" i="12"/>
  <c r="R163" i="12" s="1"/>
  <c r="L272" i="14"/>
  <c r="K272" i="14"/>
  <c r="J272" i="14"/>
  <c r="I272" i="14"/>
  <c r="L271" i="14"/>
  <c r="K271" i="14"/>
  <c r="J271" i="14"/>
  <c r="J269" i="14" s="1"/>
  <c r="L270" i="14"/>
  <c r="K270" i="14"/>
  <c r="K269" i="14" s="1"/>
  <c r="J270" i="14"/>
  <c r="I270" i="14"/>
  <c r="L268" i="14"/>
  <c r="K268" i="14"/>
  <c r="J268" i="14"/>
  <c r="I268" i="14"/>
  <c r="L267" i="14"/>
  <c r="K267" i="14"/>
  <c r="J267" i="14"/>
  <c r="I267" i="14"/>
  <c r="L266" i="14"/>
  <c r="K266" i="14"/>
  <c r="J266" i="14"/>
  <c r="I266" i="14"/>
  <c r="L265" i="14"/>
  <c r="K265" i="14"/>
  <c r="J265" i="14"/>
  <c r="I265" i="14"/>
  <c r="L264" i="14"/>
  <c r="K264" i="14"/>
  <c r="J264" i="14"/>
  <c r="L263" i="14"/>
  <c r="K263" i="14"/>
  <c r="J263" i="14"/>
  <c r="L262" i="14"/>
  <c r="K262" i="14"/>
  <c r="J262" i="14"/>
  <c r="L261" i="14"/>
  <c r="K261" i="14"/>
  <c r="J261" i="14"/>
  <c r="I261" i="14"/>
  <c r="L260" i="14"/>
  <c r="K260" i="14"/>
  <c r="J260" i="14"/>
  <c r="L259" i="14"/>
  <c r="K259" i="14"/>
  <c r="J259" i="14"/>
  <c r="L258" i="14"/>
  <c r="K258" i="14"/>
  <c r="J258" i="14"/>
  <c r="L257" i="14"/>
  <c r="K257" i="14"/>
  <c r="J257" i="14"/>
  <c r="L246" i="14"/>
  <c r="K246" i="14"/>
  <c r="J246" i="14"/>
  <c r="I246" i="14"/>
  <c r="L243" i="14"/>
  <c r="K243" i="14"/>
  <c r="J243" i="14"/>
  <c r="I243" i="14"/>
  <c r="L227" i="14"/>
  <c r="K227" i="14"/>
  <c r="J227" i="14"/>
  <c r="I227" i="14"/>
  <c r="L224" i="14"/>
  <c r="K224" i="14"/>
  <c r="J224" i="14"/>
  <c r="I224" i="14"/>
  <c r="L218" i="14"/>
  <c r="L228" i="14" s="1"/>
  <c r="K218" i="14"/>
  <c r="K228" i="14" s="1"/>
  <c r="J218" i="14"/>
  <c r="J228" i="14" s="1"/>
  <c r="I214" i="14"/>
  <c r="I259" i="14" s="1"/>
  <c r="L210" i="14"/>
  <c r="L211" i="14" s="1"/>
  <c r="K210" i="14"/>
  <c r="K211" i="14" s="1"/>
  <c r="J210" i="14"/>
  <c r="J211" i="14" s="1"/>
  <c r="I201" i="14"/>
  <c r="I196" i="14"/>
  <c r="I195" i="14"/>
  <c r="I194" i="14"/>
  <c r="L190" i="14"/>
  <c r="K190" i="14"/>
  <c r="J190" i="14"/>
  <c r="I190" i="14"/>
  <c r="L184" i="14"/>
  <c r="K184" i="14"/>
  <c r="J184" i="14"/>
  <c r="I184" i="14"/>
  <c r="L179" i="14"/>
  <c r="K179" i="14"/>
  <c r="J179" i="14"/>
  <c r="I179" i="14"/>
  <c r="L177" i="14"/>
  <c r="K177" i="14"/>
  <c r="J177" i="14"/>
  <c r="I174" i="14"/>
  <c r="I173" i="14"/>
  <c r="I177" i="14" s="1"/>
  <c r="L170" i="14"/>
  <c r="K170" i="14"/>
  <c r="J170" i="14"/>
  <c r="I170" i="14"/>
  <c r="L162" i="14"/>
  <c r="K162" i="14"/>
  <c r="J162" i="14"/>
  <c r="I160" i="14"/>
  <c r="I159" i="14"/>
  <c r="I155" i="14"/>
  <c r="I153" i="14"/>
  <c r="I152" i="14"/>
  <c r="I150" i="14"/>
  <c r="L146" i="14"/>
  <c r="K146" i="14"/>
  <c r="J146" i="14"/>
  <c r="I144" i="14"/>
  <c r="I143" i="14"/>
  <c r="L141" i="14"/>
  <c r="K141" i="14"/>
  <c r="J141" i="14"/>
  <c r="I130" i="14"/>
  <c r="I125" i="14"/>
  <c r="I121" i="14"/>
  <c r="I118" i="14"/>
  <c r="I116" i="14"/>
  <c r="I109" i="14"/>
  <c r="I101" i="14"/>
  <c r="I98" i="14"/>
  <c r="I97" i="14"/>
  <c r="I94" i="14"/>
  <c r="I88" i="14"/>
  <c r="I85" i="14"/>
  <c r="I80" i="14"/>
  <c r="I79" i="14"/>
  <c r="I73" i="14"/>
  <c r="L67" i="14"/>
  <c r="K67" i="14"/>
  <c r="J67" i="14"/>
  <c r="I67" i="14"/>
  <c r="L65" i="14"/>
  <c r="K65" i="14"/>
  <c r="J65" i="14"/>
  <c r="I65" i="14"/>
  <c r="L63" i="14"/>
  <c r="K63" i="14"/>
  <c r="J63" i="14"/>
  <c r="I60" i="14"/>
  <c r="I63" i="14" s="1"/>
  <c r="L59" i="14"/>
  <c r="K59" i="14"/>
  <c r="J59" i="14"/>
  <c r="I58" i="14"/>
  <c r="I57" i="14"/>
  <c r="L56" i="14"/>
  <c r="K56" i="14"/>
  <c r="J56" i="14"/>
  <c r="I55" i="14"/>
  <c r="I56" i="14" s="1"/>
  <c r="L54" i="14"/>
  <c r="K54" i="14"/>
  <c r="J54" i="14"/>
  <c r="I53" i="14"/>
  <c r="L49" i="14"/>
  <c r="K49" i="14"/>
  <c r="J49" i="14"/>
  <c r="I45" i="14"/>
  <c r="I49" i="14" s="1"/>
  <c r="L44" i="14"/>
  <c r="K44" i="14"/>
  <c r="J44" i="14"/>
  <c r="I40" i="14"/>
  <c r="I44" i="14" s="1"/>
  <c r="L39" i="14"/>
  <c r="K39" i="14"/>
  <c r="J39" i="14"/>
  <c r="I39" i="14"/>
  <c r="L36" i="14"/>
  <c r="K36" i="14"/>
  <c r="J36" i="14"/>
  <c r="I35" i="14"/>
  <c r="I36" i="14" s="1"/>
  <c r="L34" i="14"/>
  <c r="K34" i="14"/>
  <c r="J34" i="14"/>
  <c r="I33" i="14"/>
  <c r="I34" i="14" s="1"/>
  <c r="L32" i="14"/>
  <c r="K32" i="14"/>
  <c r="J32" i="14"/>
  <c r="I25" i="14"/>
  <c r="I32" i="14" s="1"/>
  <c r="L24" i="14"/>
  <c r="K24" i="14"/>
  <c r="J24" i="14"/>
  <c r="I23" i="14"/>
  <c r="I21" i="14"/>
  <c r="I19" i="14"/>
  <c r="I16" i="14"/>
  <c r="I15" i="14"/>
  <c r="I14" i="14"/>
  <c r="L269" i="14" l="1"/>
  <c r="I59" i="14"/>
  <c r="I260" i="14"/>
  <c r="I264" i="14"/>
  <c r="I271" i="14"/>
  <c r="I146" i="14"/>
  <c r="L256" i="14"/>
  <c r="L255" i="14" s="1"/>
  <c r="L273" i="14" s="1"/>
  <c r="J256" i="14"/>
  <c r="J255" i="14" s="1"/>
  <c r="J273" i="14" s="1"/>
  <c r="I269" i="14"/>
  <c r="I162" i="14"/>
  <c r="I210" i="14"/>
  <c r="I211" i="14" s="1"/>
  <c r="I262" i="14"/>
  <c r="J191" i="14"/>
  <c r="L52" i="14"/>
  <c r="L191" i="14"/>
  <c r="L68" i="14"/>
  <c r="J52" i="14"/>
  <c r="I257" i="14"/>
  <c r="I258" i="14"/>
  <c r="I263" i="14"/>
  <c r="K52" i="14"/>
  <c r="K68" i="14" s="1"/>
  <c r="I141" i="14"/>
  <c r="I191" i="14" s="1"/>
  <c r="K191" i="14"/>
  <c r="K256" i="14"/>
  <c r="K255" i="14" s="1"/>
  <c r="K273" i="14" s="1"/>
  <c r="L247" i="14"/>
  <c r="J68" i="14"/>
  <c r="J247" i="14"/>
  <c r="K247" i="14"/>
  <c r="I54" i="14"/>
  <c r="I24" i="14"/>
  <c r="I52" i="14" s="1"/>
  <c r="I218" i="14"/>
  <c r="I228" i="14" s="1"/>
  <c r="I247" i="14" s="1"/>
  <c r="L248" i="14" l="1"/>
  <c r="L249" i="14" s="1"/>
  <c r="L275" i="14" s="1"/>
  <c r="I256" i="14"/>
  <c r="I255" i="14" s="1"/>
  <c r="I273" i="14" s="1"/>
  <c r="I68" i="14"/>
  <c r="I248" i="14" s="1"/>
  <c r="I249" i="14" s="1"/>
  <c r="K248" i="14"/>
  <c r="K249" i="14" s="1"/>
  <c r="J248" i="14"/>
  <c r="J249" i="14" s="1"/>
  <c r="I55" i="12" l="1"/>
  <c r="H55" i="12"/>
  <c r="G55" i="12"/>
  <c r="I276" i="12" l="1"/>
  <c r="I275" i="12"/>
  <c r="I274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H276" i="12"/>
  <c r="H275" i="12"/>
  <c r="H274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G276" i="12"/>
  <c r="G275" i="12"/>
  <c r="G274" i="12"/>
  <c r="G272" i="12"/>
  <c r="G271" i="12"/>
  <c r="G270" i="12"/>
  <c r="G269" i="12"/>
  <c r="G268" i="12"/>
  <c r="G267" i="12"/>
  <c r="G266" i="12"/>
  <c r="G265" i="12"/>
  <c r="G263" i="12"/>
  <c r="G262" i="12"/>
  <c r="G261" i="12"/>
  <c r="H251" i="12"/>
  <c r="I251" i="12"/>
  <c r="G222" i="12"/>
  <c r="H222" i="12"/>
  <c r="I222" i="12"/>
  <c r="G252" i="12" l="1"/>
  <c r="I252" i="12"/>
  <c r="H252" i="12"/>
  <c r="I273" i="12"/>
  <c r="I260" i="12"/>
  <c r="I259" i="12" s="1"/>
  <c r="H273" i="12"/>
  <c r="G273" i="12"/>
  <c r="H260" i="12"/>
  <c r="H259" i="12" s="1"/>
  <c r="G260" i="12"/>
  <c r="G259" i="12" s="1"/>
  <c r="G197" i="12"/>
  <c r="H197" i="12"/>
  <c r="I197" i="12"/>
  <c r="G192" i="12"/>
  <c r="H192" i="12"/>
  <c r="I192" i="12"/>
  <c r="H50" i="12"/>
  <c r="I50" i="12"/>
  <c r="G47" i="12"/>
  <c r="H47" i="12"/>
  <c r="I47" i="12"/>
  <c r="G45" i="12"/>
  <c r="H45" i="12"/>
  <c r="I45" i="12"/>
  <c r="G66" i="12" l="1"/>
  <c r="G202" i="12"/>
  <c r="H202" i="12"/>
  <c r="I202" i="12"/>
  <c r="I277" i="12"/>
  <c r="H277" i="12"/>
  <c r="G277" i="12"/>
  <c r="G253" i="12" l="1"/>
  <c r="G254" i="12" s="1"/>
  <c r="H253" i="12"/>
  <c r="H254" i="12" s="1"/>
  <c r="I253" i="12"/>
  <c r="I254" i="12" s="1"/>
  <c r="I279" i="12" l="1"/>
</calcChain>
</file>

<file path=xl/comments1.xml><?xml version="1.0" encoding="utf-8"?>
<comments xmlns="http://schemas.openxmlformats.org/spreadsheetml/2006/main">
  <authors>
    <author>Asta Česnauskienė</author>
    <author>Snieguole Kacerauskaite</author>
  </authors>
  <commentList>
    <comment ref="E2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186"/>
          </rPr>
          <t>P-2.4.1.9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E5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P-2.4.1.1.
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83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92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E9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J98" authorId="0" shapeId="0">
      <text>
        <r>
          <rPr>
            <sz val="9"/>
            <color indexed="81"/>
            <rFont val="Tahoma"/>
            <family val="2"/>
            <charset val="186"/>
          </rPr>
          <t xml:space="preserve">kompiuteriams
</t>
        </r>
      </text>
    </comment>
    <comment ref="E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E15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62" authorId="0" shapeId="0">
      <text>
        <r>
          <rPr>
            <sz val="9"/>
            <color indexed="81"/>
            <rFont val="Tahoma"/>
            <family val="2"/>
            <charset val="186"/>
          </rPr>
          <t>P-2.4.1.3</t>
        </r>
      </text>
    </comment>
    <comment ref="E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64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165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1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D168" authorId="1" shapeId="0">
      <text>
        <r>
          <rPr>
            <sz val="9"/>
            <color indexed="81"/>
            <rFont val="Tahoma"/>
            <family val="2"/>
            <charset val="186"/>
          </rPr>
          <t xml:space="preserve">Nuo 2022-01-01 150 paslaugų gavėjų planuojama teikti paslaugas pagal jau pilnai vykdomą sutartį, taip pat yra sudaryta nauja  finansavimo sutartis 50-čiai  paslaugų gavėjų, kurių finansavimas prasidės jau 2021 m. gruodį ir kelsis į 2022 m. Nuo 2022-01-01 paslaugas teiks akredituotos įstaigos, su kuriomis bus sudaromos finansavimo sutartys. 
 </t>
        </r>
      </text>
    </comment>
    <comment ref="E16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E169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E17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E17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E180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E18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P-2.4.2.3.
</t>
        </r>
      </text>
    </comment>
    <comment ref="E21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E215" authorId="0" shapeId="0">
      <text>
        <r>
          <rPr>
            <sz val="9"/>
            <color indexed="81"/>
            <rFont val="Tahoma"/>
            <family val="2"/>
            <charset val="186"/>
          </rPr>
          <t>P-2.4.1.2</t>
        </r>
      </text>
    </comment>
    <comment ref="E21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P-2.4.1.3.
</t>
        </r>
      </text>
    </comment>
    <comment ref="E22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P-2.4.1.5.
</t>
        </r>
      </text>
    </comment>
    <comment ref="D228" authorId="1" shapeId="0">
      <text>
        <r>
          <rPr>
            <sz val="9"/>
            <color indexed="81"/>
            <rFont val="Tahoma"/>
            <family val="2"/>
            <charset val="186"/>
          </rPr>
          <t xml:space="preserve">Planuojama pastatyti 60 butų
</t>
        </r>
      </text>
    </comment>
    <comment ref="E22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P-2.4.1.7.
</t>
        </r>
      </text>
    </comment>
    <comment ref="E230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E23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
</t>
        </r>
      </text>
    </comment>
    <comment ref="E237" authorId="0" shapeId="0">
      <text>
        <r>
          <rPr>
            <sz val="9"/>
            <color indexed="81"/>
            <rFont val="Tahoma"/>
            <family val="2"/>
            <charset val="186"/>
          </rPr>
          <t>P-2.4.1.7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</authors>
  <commentList>
    <comment ref="F2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P-2.4.1.9
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186"/>
          </rPr>
          <t>P-2.4.1.9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(2020 m. - 398)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P-2.4.1.1.
</t>
        </r>
      </text>
    </comment>
    <comment ref="E70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vidurkiais, dėl darbo užmokesčio padidėjimo socialinių paslaugų srities darbuotojams nuo 2021-07-01.
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F78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80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87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8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M93" authorId="0" shapeId="0">
      <text>
        <r>
          <rPr>
            <sz val="9"/>
            <color indexed="81"/>
            <rFont val="Tahoma"/>
            <family val="2"/>
            <charset val="186"/>
          </rPr>
          <t xml:space="preserve">kompiuteriams
</t>
        </r>
      </text>
    </comment>
    <comment ref="J115" authorId="1" shapeId="0">
      <text>
        <r>
          <rPr>
            <sz val="9"/>
            <color indexed="81"/>
            <rFont val="Tahoma"/>
            <family val="2"/>
            <charset val="186"/>
          </rPr>
          <t>Didėja dėl:
1) planuojamos pirkti fizinės apsaugos Nakvynės namuose;
2) planuojamų išeitinių dėl planuojamo įstaigos veiklos optimizavimo.</t>
        </r>
      </text>
    </comment>
    <comment ref="F12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29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mitybai dėl padidėjusių mitybos įkainių, mažėjančios valstybės dotacijos vaikų globos namams.
</t>
        </r>
      </text>
    </comment>
    <comment ref="F13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F14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F149" authorId="0" shapeId="0">
      <text>
        <r>
          <rPr>
            <sz val="9"/>
            <color indexed="81"/>
            <rFont val="Tahoma"/>
            <family val="2"/>
            <charset val="186"/>
          </rPr>
          <t>P-2.4.1.3</t>
        </r>
      </text>
    </comment>
    <comment ref="F15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F151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52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5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E155" authorId="1" shapeId="0">
      <text>
        <r>
          <rPr>
            <sz val="9"/>
            <color indexed="81"/>
            <rFont val="Tahoma"/>
            <family val="2"/>
            <charset val="186"/>
          </rPr>
          <t xml:space="preserve">Nuo 2022-01-01 150 paslaugų gavėjų planuojama teikti paslaugas pagal jau pilnai vykdomą sutartį, taip pat yra sudaryta nauja  finansavimo sutartis 50-čiai  paslaugų gavėjų, kurių finansavimas prasidės jau 2021 m. gruodį ir kelsis į 2022 m. Nuo 2022-01-01 paslaugas teiks akredituotos įstaigos, su kuriomis bus sudaromos finansavimo sutartys. 
 </t>
        </r>
      </text>
    </comment>
    <comment ref="F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F156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F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F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F165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F17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P-2.4.2.3.
</t>
        </r>
      </text>
    </comment>
    <comment ref="F19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F202" authorId="0" shapeId="0">
      <text>
        <r>
          <rPr>
            <sz val="9"/>
            <color indexed="81"/>
            <rFont val="Tahoma"/>
            <family val="2"/>
            <charset val="186"/>
          </rPr>
          <t>P-2.4.1.2</t>
        </r>
      </text>
    </comment>
    <comment ref="F20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P-2.4.1.3.
</t>
        </r>
      </text>
    </comment>
    <comment ref="F20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P-2.4.1.5.
</t>
        </r>
      </text>
    </comment>
    <comment ref="E214" authorId="1" shapeId="0">
      <text>
        <r>
          <rPr>
            <sz val="9"/>
            <color indexed="81"/>
            <rFont val="Tahoma"/>
            <family val="2"/>
            <charset val="186"/>
          </rPr>
          <t xml:space="preserve">Planuojama pastatyti 60 butų
</t>
        </r>
      </text>
    </comment>
    <comment ref="F2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P-2.4.1.7.
</t>
        </r>
      </text>
    </comment>
    <comment ref="F216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F221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F22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
</t>
        </r>
      </text>
    </comment>
    <comment ref="F232" authorId="0" shapeId="0">
      <text>
        <r>
          <rPr>
            <sz val="9"/>
            <color indexed="81"/>
            <rFont val="Tahoma"/>
            <family val="2"/>
            <charset val="186"/>
          </rPr>
          <t>P-2.4.1.7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<sst xmlns="http://schemas.openxmlformats.org/spreadsheetml/2006/main" count="1358" uniqueCount="336">
  <si>
    <t>SOCIALINĖS ATSKIRTIES MAŽINIMO PROGRAMOS (NR. 12)</t>
  </si>
  <si>
    <t xml:space="preserve"> TIKSLŲ, UŽDAVINIŲ, PRIEMONIŲ, PRIEMONIŲ IŠLAIDŲ IR PRODUKTO KRITERIJŲ SUVESTINĖ</t>
  </si>
  <si>
    <t>tūkst. Eur</t>
  </si>
  <si>
    <t>Uždavinio kodas</t>
  </si>
  <si>
    <t>Priemonės kodas</t>
  </si>
  <si>
    <t>Pavadinimas</t>
  </si>
  <si>
    <t>Finansavimo šaltinis</t>
  </si>
  <si>
    <t>Produkto kriterijaus</t>
  </si>
  <si>
    <t>03 Strateginis tikslas.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</si>
  <si>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</si>
  <si>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</si>
  <si>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</si>
  <si>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</si>
  <si>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Socialinių paslaugų ir kitos socialinės paramos teikimas</t>
  </si>
  <si>
    <t>SB(VB)</t>
  </si>
  <si>
    <t xml:space="preserve">Piniginės socialinės paramos nepasiturinčioms šeimoms ir vieniems gyvenantiems asmenims bei paramos mirties atveju teikimas, išmokant pašalpas ir kompensacijas </t>
  </si>
  <si>
    <t>SB</t>
  </si>
  <si>
    <t xml:space="preserve">Vidutinis išmokamų socialinių pašalpų skaičius per mėn. </t>
  </si>
  <si>
    <t>Vidutinis išmokamų kompensacijų skaičius per mėn.</t>
  </si>
  <si>
    <t xml:space="preserve">Vidutinis išmokamų kompensacijų kreditams ir kredito palūkanoms skaičius per mėn. </t>
  </si>
  <si>
    <t>Iš viso:</t>
  </si>
  <si>
    <t>Socialinės globos paslaugų teikimas asmenims su sunkia negalia</t>
  </si>
  <si>
    <t>Pagalbos socialinės rizikos šeimoms teikimas</t>
  </si>
  <si>
    <t>Darbuotojų, dirbančių su socialinės rizikos šeimomis, skaičius</t>
  </si>
  <si>
    <t>Mokinių nemokamo maitinimo ir aprūpinimo mokinio reikmenimis organizavimas</t>
  </si>
  <si>
    <t>Nemokamą maitinimą gaunančių bei aprūpinamų mokinio reikmenimis mokinių skaičius</t>
  </si>
  <si>
    <t>Mokinių iš mažas pajamas gaunančių šeimų nemokamo maitinimo gamybos išlaidų padengimas</t>
  </si>
  <si>
    <t>Iš viso priemonei: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</si>
  <si>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</si>
  <si>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</si>
  <si>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</si>
  <si>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</si>
  <si>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</si>
  <si>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</si>
  <si>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05</t>
  </si>
  <si>
    <t>Iš viso uždaviniui:</t>
  </si>
  <si>
    <t xml:space="preserve">Teikti visuomenės poreikius atitinkančias socialines paslaugas įvairioms gyventojų grupėms </t>
  </si>
  <si>
    <t>Socialinių paslaugų teikimas socialinėse įstaigose:</t>
  </si>
  <si>
    <t>SB(SP)</t>
  </si>
  <si>
    <t>Kt</t>
  </si>
  <si>
    <t>BĮ Klaipėdos miesto šeimos ir vaiko gerovės centre, iš jų:</t>
  </si>
  <si>
    <t>BĮ Klaipėdos vaikų globos namuose „Rytas“</t>
  </si>
  <si>
    <t>Dienos socialinės globos, trumpalaikės socialinės globos ir socialinės priežiūros paslaugų teikimo organizavimas miesto gyventojams ne savivaldybės institucijose:</t>
  </si>
  <si>
    <t>Psichosocialinės pagalbos teikimas šeimoms, auginančioms vaiką su negalia ir patiriančioms krizes</t>
  </si>
  <si>
    <t>Socialinių projektų dalinis finansavimas:</t>
  </si>
  <si>
    <t xml:space="preserve">Nevyriausybinių organizacijų socialinių projektų </t>
  </si>
  <si>
    <t xml:space="preserve">Socialinės reabilitacijos paslaugų neįgaliesiems bendruomenėje projektų </t>
  </si>
  <si>
    <t>Būsto pritaikymas neįgaliesiems</t>
  </si>
  <si>
    <t>06</t>
  </si>
  <si>
    <t>07</t>
  </si>
  <si>
    <t>ES</t>
  </si>
  <si>
    <t>Teikiamų socialinių paslaugų infrastruktūros tobulinimas siekiant atitikti keliamus reikalavimus:</t>
  </si>
  <si>
    <t>I</t>
  </si>
  <si>
    <t xml:space="preserve">Užtikrinti Klaipėdos miesto socialinio būsto fondo plėtrą ir valstybės politikos, padedančios apsirūpinti būstu, įgyvendinimą </t>
  </si>
  <si>
    <t>Socialinio būsto fondo plėtra:</t>
  </si>
  <si>
    <t>Įgyvendintas projektas, proc.</t>
  </si>
  <si>
    <t>Savivaldybės gyvenamųjų patalpų  tinkamos fizinės būklės užtikrinimas ir nuomos administravimas:</t>
  </si>
  <si>
    <t xml:space="preserve">Savivaldybės gyvenamųjų patalpų techninės būklės vertinimas ir remontas </t>
  </si>
  <si>
    <t xml:space="preserve">Apmokėjimas savivaldybei tenkančia dalimi už daugiabučių namų bendrosios  nuosavybės objektų atnaujinimą ir renovaciją bei lėšų kaupimą </t>
  </si>
  <si>
    <t>Rezervo naudojimas nenumatytiems darbams apmokėti ir avarinėms situacijoms likviduoti</t>
  </si>
  <si>
    <t>Savivaldybės gyvenamųjų patalpų nuomos administravimas</t>
  </si>
  <si>
    <t xml:space="preserve">Surinkta  nuomos mokesčio  proc. nuo priskaičiuoto </t>
  </si>
  <si>
    <t>Savininkams grąžintų nuomotų patalpų vertės įskaičiavimas į nuompinigius</t>
  </si>
  <si>
    <t>Apmokėjimas už daugiabučių namų bendrųjų objektų administravimą ir nuolatinę techninę priežiūrą</t>
  </si>
  <si>
    <t>Užtikrintas privalomojo gyvenamųjų namų naudojimo ir priežiūros reikalavimų įgyvendinimas, proc.</t>
  </si>
  <si>
    <t xml:space="preserve">Politinių kalinių ir tremtinių bei jų šeimų narių sugrįžimo į Lietuvą programos įgyvendinimas: 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</si>
  <si>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</si>
  <si>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</si>
  <si>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</si>
  <si>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</si>
  <si>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</si>
  <si>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</si>
  <si>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</si>
  <si>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</si>
  <si>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</si>
  <si>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</si>
  <si>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</si>
  <si>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IŠ VISO:</t>
  </si>
  <si>
    <t>Vietų skaičius įstaigoje</t>
  </si>
  <si>
    <t>SB(SPL)</t>
  </si>
  <si>
    <t>08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</si>
  <si>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</si>
  <si>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</si>
  <si>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Pagalbos į namus paslaugos teikimas senyvo amžiaus asmenims ir suaugusiems asmenims su negalia</t>
  </si>
  <si>
    <t>Vidutiniškai per mėn. išmokamų laidojimo pašalpų skaičius</t>
  </si>
  <si>
    <t>Vidutinis išmokamų kompensacijų nepriklausomybės gynėjams skaičius per mėn.</t>
  </si>
  <si>
    <t>Būsto nuomos ar išperkamosios būsto nuomos mokesčių dalies kompensaciją gavusių asmenų skaičius</t>
  </si>
  <si>
    <t>Nemokamą maitinimą gaunančių mokinių skaičius</t>
  </si>
  <si>
    <t>Senyvo amžiaus asmenų bei asmenų su negalia, apgyvendintų globos institucijose per metus, skaičius</t>
  </si>
  <si>
    <t>Įsigyta keltuvų, skirtų neįgaliems asmenims su ryškiu judėjimo sutrikimu, skaičius</t>
  </si>
  <si>
    <t>Savivaldybės butų, kuriuose pašalintos avarijų grėsmės ar padariniai, skaičius</t>
  </si>
  <si>
    <t>Nemokamo maitinimo organizavimas labdaros valgykloje Klaipėdos mieste gyvenantiems asmenims, nepajėgiantiems maitintis savo namuose</t>
  </si>
  <si>
    <t>Socialinės srities renginių organizavimas</t>
  </si>
  <si>
    <t>Paslaugų gavėjų skaičius</t>
  </si>
  <si>
    <t>Projekto „Kompleksinės paslaugos šeimai Klaipėdos mieste“ įgyvendinimas</t>
  </si>
  <si>
    <t xml:space="preserve"> </t>
  </si>
  <si>
    <t xml:space="preserve"> - smurto artimoje aplinkoje prevencijos priemonių įgyvendinimas</t>
  </si>
  <si>
    <t xml:space="preserve">Šîldoma įstaigų, skaičius 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</si>
  <si>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</si>
  <si>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Asmenų, kuriems teikiamos integracijos paslaugos, skaičius</t>
  </si>
  <si>
    <t>Prižiūrima eksploatuojamų keltuvų, vnt.</t>
  </si>
  <si>
    <t>Asmenų su sunkia negalia, kuriems teikiamos socialinės globos paslaugos, skaičius</t>
  </si>
  <si>
    <t>Paslaugas gavusių asmenų skaičius</t>
  </si>
  <si>
    <t>Savivaldybės socialinio būsto fondo gyvenamųjų namų statyba žemės sklypuose Irklų g. 1 ir Rambyno g. 14A</t>
  </si>
  <si>
    <t>BĮ Neįgaliųjų centre „Klaipėdos lakštutė“</t>
  </si>
  <si>
    <t>BĮ Klaipėdos miesto nakvynės namuose</t>
  </si>
  <si>
    <t>BĮ Klaipėdos socialinių paslaugų centre „Danė“</t>
  </si>
  <si>
    <t>Atlikta rekonstravimo darbų, proc.</t>
  </si>
  <si>
    <t xml:space="preserve">Butų pirkimas politiniams kaliniams ir tremtiniams bei jų šeimų nariams 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</si>
  <si>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</si>
  <si>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</si>
  <si>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</si>
  <si>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>SB(ESA)</t>
  </si>
  <si>
    <t>Materialinės paramos Klaipėdos miesto savivaldybės gyventojams, atsidūrusiems sunkioje materialinėje padėtyje, teikimas</t>
  </si>
  <si>
    <t>Vidutinis materialinės paramos išmokų Klaipėdos miesto gyventojams, atsidūrusiems sunkioje materialinėje padėtyje, skaičius per mėn.</t>
  </si>
  <si>
    <r>
      <t>Priemonių, mažinančių administracinę naštą juridiniams ir fiziniams asmenims, taikymas</t>
    </r>
    <r>
      <rPr>
        <sz val="10"/>
        <rFont val="Times New Roman"/>
        <family val="1"/>
        <charset val="186"/>
      </rPr>
      <t>, projekto „Paslaugų organizavimo ir asmenų aptarnavimo kokybės gerinimas teikiant socialinę paramą Klaipėdos miesto savivaldybėje“ įgyvendinimas</t>
    </r>
  </si>
  <si>
    <t>SB(ESL)</t>
  </si>
  <si>
    <t>Atlikta rangos darbų, proc.</t>
  </si>
  <si>
    <t>Vidutinis paramos gavėjo ir (ar) bendrai su juo gyvenančių asmenų skaičius per mėnesį</t>
  </si>
  <si>
    <t>Suteikta paramos rūbais, avalyne, kt., asmenų skaičius</t>
  </si>
  <si>
    <t xml:space="preserve">Dienos socialinės globos paslaugos įstaigoje gavėjų skaičius </t>
  </si>
  <si>
    <t xml:space="preserve">Vietų skaičius trumpalaikės soc. globos paslaugai gauti </t>
  </si>
  <si>
    <t>Planinis vaikų skaičius</t>
  </si>
  <si>
    <t>Dienos socialinę globą per mėn. gaunančių vaikų su negalia skaičius dienos socialinės globos centre</t>
  </si>
  <si>
    <t xml:space="preserve">Pagalbos į namus paslaugos gavėjų skaičius per mėnesį </t>
  </si>
  <si>
    <t>Vidutiniškai per dieną nemokamą maitinimą gaunančių asmenų skaičius</t>
  </si>
  <si>
    <t xml:space="preserve">Vidutinis šeimų, auginančių vaiką su negalia ir patiriančių krizes, skaičius per mėn. </t>
  </si>
  <si>
    <t>Laikiniesiems darbams įdarbintų bedarbių skaičius per metus</t>
  </si>
  <si>
    <t>Darbo rinkos politikos priemonių, skirtų socialinę atskirtį patiriantiems asmenims, vykdymas</t>
  </si>
  <si>
    <t xml:space="preserve">Parengta vadybos kokybės sistemos ar metodo įgyvendinimo / įdiegimo įstaigose dokumentacija, vnt. </t>
  </si>
  <si>
    <t>Sutrumpėjęs nuomininkų pasirinktos valstybės garantijos įvykdymo terminas, mėnesiai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</si>
  <si>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</si>
  <si>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>Vaikų, gaunančių ilgalaikės globos paslaugas, skaičius</t>
  </si>
  <si>
    <t>Nupirkta butų, vnt.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</si>
  <si>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</si>
  <si>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Projekto  </t>
    </r>
    <r>
      <rPr>
        <b/>
        <sz val="10"/>
        <rFont val="Times New Roman"/>
        <family val="1"/>
      </rPr>
      <t>„Integrali pagalba į namus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</si>
  <si>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t>Pritaikyta būstų vaikams su sunkia negalia, vaikų skaičius</t>
  </si>
  <si>
    <t>SB'</t>
  </si>
  <si>
    <t xml:space="preserve">Budinčio globotojo veiklos organizavimas </t>
  </si>
  <si>
    <t>Suremontuotų butų skaičius</t>
  </si>
  <si>
    <t>Suorganizuota renginių, skaičius</t>
  </si>
  <si>
    <t>SB(F)</t>
  </si>
  <si>
    <r>
      <t>Savivaldybės biudžeto lėšos, gautos už parduotus savivaldybės būstus</t>
    </r>
    <r>
      <rPr>
        <b/>
        <sz val="10"/>
        <rFont val="Times New Roman"/>
        <family val="1"/>
        <charset val="186"/>
      </rPr>
      <t xml:space="preserve"> SB(F)</t>
    </r>
  </si>
  <si>
    <t>Įveiklintas globos centras</t>
  </si>
  <si>
    <t>Sukurta papildomų darbo vietų</t>
  </si>
  <si>
    <t>SB(FL)</t>
  </si>
  <si>
    <t xml:space="preserve">Vidutinis prižiūrimų vaikų skaičius per mėnesį </t>
  </si>
  <si>
    <t>Išmokų gavėjų skaičius</t>
  </si>
  <si>
    <t>Suteikta transporto paslaugų, asmenų skaičius</t>
  </si>
  <si>
    <t>BĮ Klaipėdos miesto socialinės paramos centre, iš jų:</t>
  </si>
  <si>
    <t xml:space="preserve"> - kovos su prekyba žmonėmis prevencinių priemonių  įgyvendinimas;</t>
  </si>
  <si>
    <t>Suteikta į namus paslaugų / socialinės globos asmens namuose paslaugų, asmenų skaičius</t>
  </si>
  <si>
    <t>Išduota techninės pagalbos priemonių, vnt./asmenų skaičius</t>
  </si>
  <si>
    <t>Organizuota tėvystės įgūdžių / globėjų (rūpintojų) mokymų skaičius</t>
  </si>
  <si>
    <t>Asmenų, pradėjusių gyventi savarankiškai, skaičius</t>
  </si>
  <si>
    <r>
      <t>Valstybės biudžeto tikslinės dotacijos lėšų likutis</t>
    </r>
    <r>
      <rPr>
        <b/>
        <sz val="10"/>
        <rFont val="Times New Roman"/>
        <family val="1"/>
        <charset val="186"/>
      </rPr>
      <t xml:space="preserve"> SB(VBL)</t>
    </r>
  </si>
  <si>
    <r>
      <t>Europos Sąjungos finansinės paramos lėšų likučio metų pradžioje lėšos</t>
    </r>
    <r>
      <rPr>
        <b/>
        <sz val="10"/>
        <rFont val="Times New Roman"/>
        <family val="1"/>
        <charset val="186"/>
      </rPr>
      <t xml:space="preserve"> SB(ESL)</t>
    </r>
  </si>
  <si>
    <t>Savivaldybės biudžetas, iš jo:</t>
  </si>
  <si>
    <t>SB(VBL)</t>
  </si>
  <si>
    <t>Papriemonės kodas</t>
  </si>
  <si>
    <t>Iš dalies finansuotų projektų skaičius (reabilitacijai)</t>
  </si>
  <si>
    <t>Asmenų su sunkia negalia, kuriems teikiamos socialinės globos paslaugos, skaičius  (perkamos paslaugos)</t>
  </si>
  <si>
    <t>Asmenų su sunkia negalia, kuriems teikiamos socialinės globos paslaugos, skaičius  (Socialinės paramos centras)</t>
  </si>
  <si>
    <t>Asmenų su sunkia negalia, kuriems teikiamos socialinės globos paslaugos, skaičius  (Globos namai)</t>
  </si>
  <si>
    <t>Asmenų su sunkia negalia, kuriems teikiamos socialinės globos paslaugos, skaičius  (Sutrikusio vystymosi kūdikių namai)</t>
  </si>
  <si>
    <t>2/3</t>
  </si>
  <si>
    <t>300/60</t>
  </si>
  <si>
    <t>P1</t>
  </si>
  <si>
    <t xml:space="preserve">Klaipėdos vaikų globos namų „Smiltelė“ patalpų ir infrastruktūros pritaikymas vaikų dienos centro veiklai </t>
  </si>
  <si>
    <t xml:space="preserve">Budinčių globėjų skaičius per metus </t>
  </si>
  <si>
    <t>1/40</t>
  </si>
  <si>
    <t>Vidutiniškai per mėn. paslaugas gaunančių socialinę riziką patiriančių vaikų skaičius</t>
  </si>
  <si>
    <t>Socialinės paramos skyrius</t>
  </si>
  <si>
    <t xml:space="preserve">Projektų skyrius </t>
  </si>
  <si>
    <t>Projektų skyrius</t>
  </si>
  <si>
    <t>Pastatytas daugiabutis gyv. namas Rambyno g. 14A/butų skaičius</t>
  </si>
  <si>
    <t xml:space="preserve">  </t>
  </si>
  <si>
    <r>
      <t xml:space="preserve">Kiti finansavimo šaltiniai </t>
    </r>
    <r>
      <rPr>
        <b/>
        <sz val="10"/>
        <rFont val="Times New Roman"/>
        <family val="1"/>
        <charset val="186"/>
      </rPr>
      <t xml:space="preserve">Kt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</si>
  <si>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t>Plėtoti socialinių paslaugų infrastruktūrą, įrengiant  naujus ir modernizuojant esamus socialines paslaugas teikiančių įstaigų pastatus, užtikrinti įstaigų ūkinį aptarnavimą</t>
  </si>
  <si>
    <t>Tvarkoma paviršinių (lietaus) nuotekų, įstaigų skaičius</t>
  </si>
  <si>
    <t>Tvarkomas centralizuotas vandentiekis ir kanalizacija, įstaigų skaičius</t>
  </si>
  <si>
    <r>
      <t xml:space="preserve">Pajamų įmokų likutis </t>
    </r>
    <r>
      <rPr>
        <b/>
        <sz val="10"/>
        <rFont val="Times New Roman"/>
        <family val="1"/>
        <charset val="186"/>
      </rPr>
      <t>SB(SPL)</t>
    </r>
  </si>
  <si>
    <t>Turto valdymo skyrius</t>
  </si>
  <si>
    <t>Statybos ir infrastruktūros plėtros skyrius</t>
  </si>
  <si>
    <t>Įsigyta kompiuterių, vnt.</t>
  </si>
  <si>
    <t xml:space="preserve">Papildomai nupirkta paslaugų vaikams iš socialinės rizikos šeimų, vaikų skaičius </t>
  </si>
  <si>
    <t>Nutolusių klientų aptarnavimo centrų (KAC) steigimo analizės parengimas</t>
  </si>
  <si>
    <t>Vyr. patarėjas D. Petrolevičius</t>
  </si>
  <si>
    <t>Parengta analizė, vnt.</t>
  </si>
  <si>
    <t>1000/ 800</t>
  </si>
  <si>
    <t>Socialinio būsto skyrius</t>
  </si>
  <si>
    <t>Parengta piliečių chartija, vnt.</t>
  </si>
  <si>
    <t>Įsigyta įranga, baldai, proc.</t>
  </si>
  <si>
    <t xml:space="preserve">Vaikų dienos centruose socialinių įgūdžių ir palaikymo paslaugas gaunančių vaikų skaičius </t>
  </si>
  <si>
    <t>Grupinio gyvenimo namų steigimo neįgaliems jaunuoliams, išeinantiems iš vaikų globos namų, inicijavimas</t>
  </si>
  <si>
    <t xml:space="preserve">Dienos socialinę globą per mėn. gaunančių asmenų  su psichine negalia dienos socialinės globos centre skaičius </t>
  </si>
  <si>
    <t xml:space="preserve">Statinių administravimo  skyrius  </t>
  </si>
  <si>
    <t>Dienos globos asmens namuose teikimas asmenims su negalia</t>
  </si>
  <si>
    <t>Paslaugos gavėjų skaičius per mėnesį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</si>
  <si>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</si>
  <si>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r>
      <t xml:space="preserve">Laikino apgyvendinimo namų infrastruktūros modernizavimas </t>
    </r>
    <r>
      <rPr>
        <sz val="10"/>
        <rFont val="Times New Roman"/>
        <family val="1"/>
      </rPr>
      <t xml:space="preserve">(Šilutės pl. 8, nakvynės namai) </t>
    </r>
  </si>
  <si>
    <t>Atlikta aplinkos sutvarkymo darbų, proc.</t>
  </si>
  <si>
    <t xml:space="preserve"> Projektų skyrius</t>
  </si>
  <si>
    <r>
      <t>Projekto „</t>
    </r>
    <r>
      <rPr>
        <b/>
        <sz val="10"/>
        <rFont val="Times New Roman"/>
        <family val="1"/>
        <charset val="186"/>
      </rPr>
      <t>Bendruomeninių vaikų globos namų steigimas Klaipėdos mieste“</t>
    </r>
    <r>
      <rPr>
        <sz val="10"/>
        <rFont val="Times New Roman"/>
        <family val="1"/>
        <charset val="186"/>
      </rPr>
      <t xml:space="preserve"> įgyvendinimas (Kalvos g. 4)</t>
    </r>
  </si>
  <si>
    <t>Nakvynės namų (Dubysos g. 39) sanitarinių mazgų remontas</t>
  </si>
  <si>
    <r>
      <t xml:space="preserve">Savivaldybei piniginei socialinei paramai finansuoti skirtos lėšos </t>
    </r>
    <r>
      <rPr>
        <b/>
        <sz val="10"/>
        <rFont val="Times New Roman"/>
        <family val="1"/>
        <charset val="186"/>
      </rPr>
      <t>SB(S)</t>
    </r>
  </si>
  <si>
    <t>SB(S)</t>
  </si>
  <si>
    <t>Akredituotos vaikų dienos socialinės priežiūros organizavimas</t>
  </si>
  <si>
    <t>Įstaigų skaičius</t>
  </si>
  <si>
    <t>Integravimo į darbo rinką projektų veiklose dalyvaujančių asmenų skaičius per metus</t>
  </si>
  <si>
    <t xml:space="preserve">Įrengta naujų vietų senyvo amžiaus asmenų globos namuose, vnt. </t>
  </si>
  <si>
    <t xml:space="preserve">Klaipėdos miesto savivaldybės socialinės atskirties mažinimo programos (Nr. 12) aprašymo </t>
  </si>
  <si>
    <t>priedas</t>
  </si>
  <si>
    <t>SB(VB)'</t>
  </si>
  <si>
    <t>SB(S)'</t>
  </si>
  <si>
    <t>SB(SP)'</t>
  </si>
  <si>
    <t>SB(SPL)'</t>
  </si>
  <si>
    <t>Kt'</t>
  </si>
  <si>
    <t>LRVB'</t>
  </si>
  <si>
    <t>ES'</t>
  </si>
  <si>
    <t>SB(ESA)'</t>
  </si>
  <si>
    <t>SB(ES)'</t>
  </si>
  <si>
    <t>BĮ Klaipėdos miesto globos namuose</t>
  </si>
  <si>
    <t>SB(L)'</t>
  </si>
  <si>
    <t>SB(ESL)'</t>
  </si>
  <si>
    <t>SB(F)'</t>
  </si>
  <si>
    <t>SB(FL)'</t>
  </si>
  <si>
    <t>Asmenų su sunkia negalia, kuriems teikiamos socialinės globos paslaugos, skaičius  („Klaipėdos lakštutė“)</t>
  </si>
  <si>
    <t>Asmenų su sunkia negalia, kuriems teikiamos socialinės globos paslaugos, skaičius  („Danė“)</t>
  </si>
  <si>
    <t xml:space="preserve">Suteikta socialinių įgūdžių ugdymo ir palaikymo paslaugų socialinę riziką patiriančiose šeimose (kartų) </t>
  </si>
  <si>
    <t>Socialinių įgūdžių ugdymo, palaikymo ir (ar) atkūrimo paslaugų teikimas vaikų dienos centre</t>
  </si>
  <si>
    <t>Savivaldybės socialinio būsto fondo gyvenamųjų namų statyba žemės sklype Akmenų g. 1B</t>
  </si>
  <si>
    <t>Atlikta analizė</t>
  </si>
  <si>
    <t>Socialinės apsaugos skyrius</t>
  </si>
  <si>
    <t>Socialinės paramos skyrius –  priemonės vykdymas,</t>
  </si>
  <si>
    <t>Planavimo ir analizės skyrius –  programos sąmatų tvirtinimas</t>
  </si>
  <si>
    <t xml:space="preserve"> - projekto „Vaikų gerovės ir saugumo didinimo, paslaugų šeimai, globėjams (rūpintojams) kokybės didinimo bei prieinamumo plėtra“ įgyvendinimas;</t>
  </si>
  <si>
    <t>Paramos teikimas labiausiai skurstantiems asmenims, įgyvendinant projektą „Parama maisto produktais ir higienos prekėmis II“ Nr. EPSF-2020-V-07-01</t>
  </si>
  <si>
    <t>NVO projektų, gaunančių dalinį finansavimą iš savivaldybės biudžeto, skaičius</t>
  </si>
  <si>
    <t>planas</t>
  </si>
  <si>
    <t>iki 20</t>
  </si>
  <si>
    <t>Socialinės globos paslaugų teikimas ne savivaldybės institucijose:</t>
  </si>
  <si>
    <t xml:space="preserve">Socialinės globos paslaugų teikimas vaikams </t>
  </si>
  <si>
    <t xml:space="preserve">Socialinės globos paslaugų teikimas senyvo amžiaus asmenims ir asmenims su negalia </t>
  </si>
  <si>
    <t>Vaikų, apgyvendintų globos institucijose per metus, skaičius</t>
  </si>
  <si>
    <t>Pritaikyta butų neįgaliesiems (suaugusiesiems), skaičius</t>
  </si>
  <si>
    <t>Nacionalinės užsieniečių integracijos programos įgyvendinimas</t>
  </si>
  <si>
    <t>2021–2024 M. KLAIPĖDOS MIESTO SAVIVALDYBĖS</t>
  </si>
  <si>
    <t>Veiklos plano tikslo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</si>
  <si>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</si>
  <si>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</si>
  <si>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</si>
  <si>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</si>
  <si>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</si>
  <si>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2021-ieji metai**</t>
  </si>
  <si>
    <t>2022-ieji metai</t>
  </si>
  <si>
    <t>2023-ieji metai</t>
  </si>
  <si>
    <t>2024-ieji metai</t>
  </si>
  <si>
    <t>Asignavimai 2021-iesiems metams</t>
  </si>
  <si>
    <t>Asmeninės pagalbos teikimo organizavimas</t>
  </si>
  <si>
    <t>Asmenų, kuriems suteikta asmeninė pagalba, skaičius</t>
  </si>
  <si>
    <t>Darbuotojų, kuriems išmokėtas padidintas darbo užmokestis, skaičius</t>
  </si>
  <si>
    <t>76</t>
  </si>
  <si>
    <t>Profesinės sąjungos narių, kuriems išmokėtos skirtos lėšos, skaičius</t>
  </si>
  <si>
    <t>T</t>
  </si>
  <si>
    <t>P</t>
  </si>
  <si>
    <t>Parengtas techninis projektas, vnt.</t>
  </si>
  <si>
    <t>300/65</t>
  </si>
  <si>
    <t>Įsigyta funkcinė slaugos lova, vnt.</t>
  </si>
  <si>
    <t>Įsigytas projektorius, vnt.</t>
  </si>
  <si>
    <t>Įsigyta vejapjovė, vnt.</t>
  </si>
  <si>
    <t>Įsigyti kondicionieriai, vnt.</t>
  </si>
  <si>
    <t>Įsigytos licencijos, vnt.</t>
  </si>
  <si>
    <t>Vidutinis pagalbos į namus paslaugos gavėjų skaičius per mėn.</t>
  </si>
  <si>
    <t>Vidutinis suteiktų socialinių įgūdžių ugdymo ir palaikymo paslaugų socialinę riziką patiriančiose šeimose skaičius per mėn.</t>
  </si>
  <si>
    <t>2/7</t>
  </si>
  <si>
    <t>N</t>
  </si>
  <si>
    <t>Asmenų, po laikino apgyvendinimo paslaugų nutraukimo, pradėjusių gyventi savarankiškai, skaičius vidutiniškai per mėn.</t>
  </si>
  <si>
    <t>Suaugusių asmenų su negalia ir sulaukusių pilnametystės asmenų (iki 24 m.), kuriems buvo teikta socialinė globa (rūpyba) apgyvendinimas apsaugotame būste ar savarankiško gyvenimo namuose, skaičius</t>
  </si>
  <si>
    <t>Įdiegta paslaugų užsakymų tvarkymo (nagrinėjimo ir apdorojimo) procesų robotizavimo sistema, vnt.</t>
  </si>
  <si>
    <t>Socialinių būstų pirkimas</t>
  </si>
  <si>
    <t>P1  T</t>
  </si>
  <si>
    <t>Vidutinis psichosocialinės pagalbos paslaugų gavėjų skaičius per mėn.</t>
  </si>
  <si>
    <t>Atlikti sporto salės patalpų remonto darbai, proc.</t>
  </si>
  <si>
    <t>09</t>
  </si>
  <si>
    <t>Vidutinis dienos socialinės globos paslaugos asmens namuose gavėjų skaičius per mėn.</t>
  </si>
  <si>
    <t>Atlikta remonto darbų, proc.</t>
  </si>
  <si>
    <t>Komunalinių paslaugų įsigijimas:</t>
  </si>
  <si>
    <t xml:space="preserve"> - šildymo, vandens, nuotekų</t>
  </si>
  <si>
    <t xml:space="preserve"> - elektros energijos</t>
  </si>
  <si>
    <t>Įstaigų, kurioms elektros energija įsigyjama centralizuotai, skaičius</t>
  </si>
  <si>
    <t xml:space="preserve">Vietų skaičius intensyvios krizių įveikimo pagalbos paslaugai gauti </t>
  </si>
  <si>
    <t xml:space="preserve"> P      P1   I</t>
  </si>
  <si>
    <t>P   T</t>
  </si>
  <si>
    <t>* Pagal Klaipėdos miesto savivaldybės tarybos sprendimus: 2021-02-25 Nr. T2-24, 2021-04-29 Nr. T2-90, 2021-06-22 Nr. T2-157, 2021-09-30 Nr. T2-192, 2021-11-25 Nr. T2-247.</t>
  </si>
  <si>
    <t>Socialinių reklamų skaičius</t>
  </si>
  <si>
    <t>Padalinių, kuriuose taikoma fizinės apsaugos paslauga, skaičius</t>
  </si>
  <si>
    <t xml:space="preserve">Laikino apnakvindinimo namų steigimas (Dubysos g.) </t>
  </si>
  <si>
    <t>Grąžintos lėšos pagal CPVA ataskaitą, proc.</t>
  </si>
  <si>
    <t xml:space="preserve">Senyvo amžiaus asmenų globos paslaugų plėtra rekonstruojant pastatą, esantį Melnragės gyvenamajame rajone, Vaivos g. 23 </t>
  </si>
  <si>
    <t>5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</si>
  <si>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</si>
  <si>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</si>
  <si>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r>
      <t>Savivaldybės biudžeto lėšų, gautų už parduotus savivaldybės būstus,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likutis </t>
    </r>
    <r>
      <rPr>
        <b/>
        <sz val="10"/>
        <rFont val="Times New Roman"/>
        <family val="1"/>
        <charset val="186"/>
      </rPr>
      <t>SB(FL)</t>
    </r>
  </si>
  <si>
    <t>Įdiegta bendra klientų konsultavimo telefonu ir internetu sistema, žinių bazė, vnt.</t>
  </si>
  <si>
    <t>Darbuotojai, dalyvavę stiprinant kompetencijas, skaičius</t>
  </si>
  <si>
    <t>Daugiabučių namų, kurių atnaujinimo darbai vykdomi, skaičius</t>
  </si>
  <si>
    <t xml:space="preserve"> - Respublikinės šventės „Vaikai yra vaikai“ organizavimas;</t>
  </si>
  <si>
    <t>Aiškinamojo rašto 3 priedas</t>
  </si>
  <si>
    <t>2022–2024 M. KLAIPĖDOS MIESTO SAVIVALDYBĖS</t>
  </si>
  <si>
    <t>Iš viso</t>
  </si>
  <si>
    <t>SB(ES</t>
  </si>
  <si>
    <t>Apmokėtas kreditorinis įsiskolinimas, proc.</t>
  </si>
  <si>
    <t xml:space="preserve">Apmokėtas kreditorinis įsiskolinimas, proc. </t>
  </si>
  <si>
    <t>* N – nauja priemonė; T – tęstinė priemonė; I – investicijų projektas</t>
  </si>
  <si>
    <t>SAVIVALDYBĖS LĖŠOS, IŠ VISO:</t>
  </si>
  <si>
    <t>Išmokų neįgaliesiems, auginantiems vaikus, mokėjimas</t>
  </si>
  <si>
    <t>Kompensacijų už būsto suteikimą užsieniečiams, pasitraukusiems iš Ukrainos dėl Rusijos Federacijos karinių veiksmų Ukrainoje, mokėjimas</t>
  </si>
  <si>
    <t>Asmenų, kuriems skirtos kompensacijos, skaičius</t>
  </si>
  <si>
    <t>BĮ Klaipėdos miesto socialinės paramos centre</t>
  </si>
  <si>
    <t>Atliktas vamzdyno remontas, proc.</t>
  </si>
  <si>
    <t>84</t>
  </si>
  <si>
    <t>Profesinės sąjungos narių, kuriems išmokėtas padidintas darbo užmokestis, skaičius</t>
  </si>
  <si>
    <t>71</t>
  </si>
  <si>
    <t>Pakeistas šilumokaitis, vnt.</t>
  </si>
  <si>
    <t>Atliktas patalpų remontas, proc.</t>
  </si>
  <si>
    <t>Pritaikyta butų neįgaliesiems, skaičius</t>
  </si>
  <si>
    <t>10</t>
  </si>
  <si>
    <t>Vienkartinių išmokų įsikurti gyvenamojoje vietoje savivaldybės teritorijoje ir (ar) mėnesinių kompensacijų vaiko ugdymo pagal ikimokyklinio ir priešmokyklinio ugdymo programą mokėjimas</t>
  </si>
  <si>
    <t>Asmenų, kuriems skirtos vienkartinės išmokos įsikurti gyvenamojoje vietoje savivaldybėje, skaičius</t>
  </si>
  <si>
    <t>Asmenų, gavusių mėnesinę kompensaciją už vaikų ikimokyklinio ar priešmokyklinio ugdymo programą, skaičius</t>
  </si>
  <si>
    <t>Įsigytas baldų komplektas, vnt.</t>
  </si>
  <si>
    <t>Atliktas bendruomeninių vaikų globos namų patalpų remontas, proc.</t>
  </si>
  <si>
    <t>Įsigyti kompiuteriai su programine įranga, vnt.</t>
  </si>
  <si>
    <t>Atlikti pastato fasado remonto darbai, proc.</t>
  </si>
  <si>
    <t>Atlikti aikštelės asfaltavimo darbai,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</si>
</sst>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33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8"/>
      <name val="Times New Roman"/>
      <family val="1"/>
    </font>
    <font>
      <i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trike/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FF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7" fillId="0" borderId="0" applyBorder="0" applyProtection="0"/>
  </cellStyleXfs>
  <cellXfs count="1808">
    <xf numFmtId="0" fontId="0" fillId="0" borderId="0" xfId="0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2" borderId="33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164" fontId="3" fillId="5" borderId="41" xfId="0" applyNumberFormat="1" applyFont="1" applyFill="1" applyBorder="1" applyAlignment="1">
      <alignment horizontal="center" vertical="top"/>
    </xf>
    <xf numFmtId="3" fontId="4" fillId="3" borderId="41" xfId="0" applyNumberFormat="1" applyFont="1" applyFill="1" applyBorder="1" applyAlignment="1">
      <alignment horizontal="center" vertical="top" wrapText="1"/>
    </xf>
    <xf numFmtId="164" fontId="3" fillId="5" borderId="54" xfId="0" applyNumberFormat="1" applyFont="1" applyFill="1" applyBorder="1" applyAlignment="1">
      <alignment horizontal="center" vertical="top"/>
    </xf>
    <xf numFmtId="3" fontId="3" fillId="2" borderId="2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vertical="top" wrapText="1"/>
    </xf>
    <xf numFmtId="49" fontId="4" fillId="0" borderId="59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/>
    </xf>
    <xf numFmtId="3" fontId="3" fillId="2" borderId="6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vertical="center" wrapText="1"/>
    </xf>
    <xf numFmtId="3" fontId="1" fillId="4" borderId="0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vertical="top" wrapText="1"/>
    </xf>
    <xf numFmtId="3" fontId="4" fillId="0" borderId="61" xfId="0" applyNumberFormat="1" applyFont="1" applyFill="1" applyBorder="1" applyAlignment="1">
      <alignment vertical="top" wrapText="1"/>
    </xf>
    <xf numFmtId="3" fontId="4" fillId="3" borderId="4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3" fontId="1" fillId="2" borderId="14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vertical="top" wrapText="1"/>
    </xf>
    <xf numFmtId="3" fontId="4" fillId="4" borderId="36" xfId="0" applyNumberFormat="1" applyFont="1" applyFill="1" applyBorder="1" applyAlignment="1">
      <alignment vertical="top" wrapText="1"/>
    </xf>
    <xf numFmtId="3" fontId="4" fillId="4" borderId="36" xfId="0" applyNumberFormat="1" applyFont="1" applyFill="1" applyBorder="1" applyAlignment="1">
      <alignment horizontal="center" vertical="top" wrapText="1"/>
    </xf>
    <xf numFmtId="3" fontId="4" fillId="0" borderId="36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64" fontId="1" fillId="3" borderId="0" xfId="0" applyNumberFormat="1" applyFont="1" applyFill="1" applyBorder="1" applyAlignment="1">
      <alignment horizontal="center" vertical="top"/>
    </xf>
    <xf numFmtId="3" fontId="4" fillId="3" borderId="29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3" fontId="3" fillId="5" borderId="54" xfId="0" applyNumberFormat="1" applyFont="1" applyFill="1" applyBorder="1" applyAlignment="1">
      <alignment horizontal="center" vertical="top"/>
    </xf>
    <xf numFmtId="3" fontId="4" fillId="4" borderId="41" xfId="0" applyNumberFormat="1" applyFont="1" applyFill="1" applyBorder="1" applyAlignment="1">
      <alignment horizontal="center" vertical="top" wrapText="1"/>
    </xf>
    <xf numFmtId="3" fontId="3" fillId="5" borderId="41" xfId="0" applyNumberFormat="1" applyFont="1" applyFill="1" applyBorder="1" applyAlignment="1">
      <alignment horizontal="center" vertical="top" wrapText="1"/>
    </xf>
    <xf numFmtId="3" fontId="4" fillId="3" borderId="36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/>
    </xf>
    <xf numFmtId="3" fontId="4" fillId="3" borderId="30" xfId="0" applyNumberFormat="1" applyFont="1" applyFill="1" applyBorder="1" applyAlignment="1">
      <alignment horizontal="center" vertical="top" wrapText="1"/>
    </xf>
    <xf numFmtId="3" fontId="4" fillId="3" borderId="36" xfId="0" applyNumberFormat="1" applyFont="1" applyFill="1" applyBorder="1" applyAlignment="1">
      <alignment horizontal="center" vertical="top"/>
    </xf>
    <xf numFmtId="164" fontId="6" fillId="3" borderId="0" xfId="0" applyNumberFormat="1" applyFont="1" applyFill="1" applyBorder="1" applyAlignment="1">
      <alignment horizontal="center" vertical="top"/>
    </xf>
    <xf numFmtId="3" fontId="3" fillId="7" borderId="32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  <xf numFmtId="3" fontId="3" fillId="7" borderId="40" xfId="0" applyNumberFormat="1" applyFont="1" applyFill="1" applyBorder="1" applyAlignment="1">
      <alignment horizontal="center" vertical="top"/>
    </xf>
    <xf numFmtId="3" fontId="3" fillId="7" borderId="61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 wrapText="1"/>
    </xf>
    <xf numFmtId="3" fontId="1" fillId="7" borderId="38" xfId="0" applyNumberFormat="1" applyFont="1" applyFill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8" borderId="32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vertical="top" wrapText="1"/>
    </xf>
    <xf numFmtId="49" fontId="6" fillId="4" borderId="14" xfId="0" applyNumberFormat="1" applyFont="1" applyFill="1" applyBorder="1" applyAlignment="1">
      <alignment horizontal="center" vertical="top" wrapText="1"/>
    </xf>
    <xf numFmtId="3" fontId="4" fillId="4" borderId="27" xfId="0" applyNumberFormat="1" applyFont="1" applyFill="1" applyBorder="1" applyAlignment="1">
      <alignment horizontal="center" vertical="top" wrapText="1"/>
    </xf>
    <xf numFmtId="3" fontId="1" fillId="3" borderId="29" xfId="0" applyNumberFormat="1" applyFont="1" applyFill="1" applyBorder="1" applyAlignment="1">
      <alignment horizontal="center" vertical="top"/>
    </xf>
    <xf numFmtId="3" fontId="4" fillId="3" borderId="29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center" vertical="top"/>
    </xf>
    <xf numFmtId="3" fontId="1" fillId="3" borderId="3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3" fontId="1" fillId="0" borderId="40" xfId="0" applyNumberFormat="1" applyFont="1" applyBorder="1" applyAlignment="1">
      <alignment horizontal="center" vertical="top" wrapText="1"/>
    </xf>
    <xf numFmtId="3" fontId="1" fillId="3" borderId="41" xfId="0" applyNumberFormat="1" applyFont="1" applyFill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 wrapText="1"/>
    </xf>
    <xf numFmtId="3" fontId="6" fillId="5" borderId="54" xfId="0" applyNumberFormat="1" applyFont="1" applyFill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3" fillId="5" borderId="54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vertical="top" wrapText="1"/>
    </xf>
    <xf numFmtId="165" fontId="3" fillId="5" borderId="5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0" fontId="4" fillId="3" borderId="40" xfId="0" applyFont="1" applyFill="1" applyBorder="1" applyAlignment="1">
      <alignment horizontal="center" vertical="top"/>
    </xf>
    <xf numFmtId="3" fontId="3" fillId="9" borderId="23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 wrapText="1"/>
    </xf>
    <xf numFmtId="164" fontId="6" fillId="8" borderId="69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vertical="top"/>
    </xf>
    <xf numFmtId="3" fontId="4" fillId="3" borderId="29" xfId="0" applyNumberFormat="1" applyFont="1" applyFill="1" applyBorder="1" applyAlignment="1">
      <alignment horizontal="center" vertical="top" wrapText="1"/>
    </xf>
    <xf numFmtId="164" fontId="6" fillId="5" borderId="45" xfId="0" applyNumberFormat="1" applyFont="1" applyFill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164" fontId="1" fillId="5" borderId="45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3" fillId="5" borderId="57" xfId="0" applyNumberFormat="1" applyFont="1" applyFill="1" applyBorder="1" applyAlignment="1">
      <alignment horizontal="center" vertical="top"/>
    </xf>
    <xf numFmtId="164" fontId="1" fillId="3" borderId="45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49" fontId="4" fillId="4" borderId="53" xfId="0" applyNumberFormat="1" applyFont="1" applyFill="1" applyBorder="1" applyAlignment="1">
      <alignment horizontal="center" vertical="top"/>
    </xf>
    <xf numFmtId="49" fontId="4" fillId="4" borderId="59" xfId="0" applyNumberFormat="1" applyFont="1" applyFill="1" applyBorder="1" applyAlignment="1">
      <alignment horizontal="center" vertical="top"/>
    </xf>
    <xf numFmtId="49" fontId="4" fillId="4" borderId="52" xfId="0" applyNumberFormat="1" applyFont="1" applyFill="1" applyBorder="1" applyAlignment="1">
      <alignment horizontal="center" vertical="top"/>
    </xf>
    <xf numFmtId="49" fontId="4" fillId="4" borderId="44" xfId="0" applyNumberFormat="1" applyFont="1" applyFill="1" applyBorder="1" applyAlignment="1">
      <alignment horizontal="center" vertical="top"/>
    </xf>
    <xf numFmtId="49" fontId="4" fillId="4" borderId="46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6" fillId="5" borderId="69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0" fontId="4" fillId="3" borderId="41" xfId="0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3" fontId="1" fillId="3" borderId="50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3" fontId="6" fillId="3" borderId="63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 wrapText="1"/>
    </xf>
    <xf numFmtId="3" fontId="1" fillId="3" borderId="41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 wrapText="1"/>
    </xf>
    <xf numFmtId="3" fontId="1" fillId="3" borderId="50" xfId="0" applyNumberFormat="1" applyFont="1" applyFill="1" applyBorder="1" applyAlignment="1">
      <alignment horizontal="center" vertical="top" wrapText="1"/>
    </xf>
    <xf numFmtId="3" fontId="4" fillId="3" borderId="48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center" vertical="top" wrapText="1"/>
    </xf>
    <xf numFmtId="3" fontId="4" fillId="4" borderId="48" xfId="0" applyNumberFormat="1" applyFont="1" applyFill="1" applyBorder="1" applyAlignment="1">
      <alignment horizontal="left" vertical="top" wrapText="1"/>
    </xf>
    <xf numFmtId="3" fontId="6" fillId="3" borderId="14" xfId="0" applyNumberFormat="1" applyFont="1" applyFill="1" applyBorder="1" applyAlignment="1">
      <alignment horizontal="center" vertical="top"/>
    </xf>
    <xf numFmtId="0" fontId="4" fillId="3" borderId="29" xfId="0" applyFont="1" applyFill="1" applyBorder="1" applyAlignment="1">
      <alignment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left"/>
    </xf>
    <xf numFmtId="3" fontId="1" fillId="4" borderId="0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left" vertical="top" wrapText="1"/>
    </xf>
    <xf numFmtId="3" fontId="4" fillId="0" borderId="45" xfId="0" applyNumberFormat="1" applyFont="1" applyFill="1" applyBorder="1" applyAlignment="1">
      <alignment horizontal="left" vertical="top" wrapText="1"/>
    </xf>
    <xf numFmtId="3" fontId="4" fillId="3" borderId="50" xfId="0" applyNumberFormat="1" applyFont="1" applyFill="1" applyBorder="1" applyAlignment="1">
      <alignment horizontal="center" vertical="top"/>
    </xf>
    <xf numFmtId="0" fontId="1" fillId="3" borderId="50" xfId="0" applyFont="1" applyFill="1" applyBorder="1" applyAlignment="1">
      <alignment vertical="top" wrapText="1"/>
    </xf>
    <xf numFmtId="0" fontId="4" fillId="3" borderId="50" xfId="0" applyFont="1" applyFill="1" applyBorder="1" applyAlignment="1">
      <alignment vertical="top" wrapText="1"/>
    </xf>
    <xf numFmtId="3" fontId="4" fillId="0" borderId="34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4" borderId="41" xfId="0" applyNumberFormat="1" applyFont="1" applyFill="1" applyBorder="1" applyAlignment="1">
      <alignment vertical="top" wrapText="1"/>
    </xf>
    <xf numFmtId="3" fontId="1" fillId="3" borderId="29" xfId="0" applyNumberFormat="1" applyFont="1" applyFill="1" applyBorder="1" applyAlignment="1">
      <alignment vertical="top" wrapText="1"/>
    </xf>
    <xf numFmtId="3" fontId="1" fillId="3" borderId="40" xfId="0" applyNumberFormat="1" applyFont="1" applyFill="1" applyBorder="1" applyAlignment="1">
      <alignment vertical="top" wrapText="1"/>
    </xf>
    <xf numFmtId="3" fontId="1" fillId="3" borderId="61" xfId="0" applyNumberFormat="1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164" fontId="13" fillId="0" borderId="0" xfId="0" applyNumberFormat="1" applyFont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center" vertical="top"/>
    </xf>
    <xf numFmtId="3" fontId="4" fillId="0" borderId="30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 wrapText="1"/>
    </xf>
    <xf numFmtId="3" fontId="4" fillId="3" borderId="41" xfId="0" applyNumberFormat="1" applyFont="1" applyFill="1" applyBorder="1" applyAlignment="1">
      <alignment vertical="top" wrapText="1"/>
    </xf>
    <xf numFmtId="0" fontId="1" fillId="3" borderId="41" xfId="0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vertical="top" wrapText="1"/>
    </xf>
    <xf numFmtId="3" fontId="4" fillId="3" borderId="41" xfId="0" applyNumberFormat="1" applyFont="1" applyFill="1" applyBorder="1" applyAlignment="1">
      <alignment horizontal="center" vertical="top"/>
    </xf>
    <xf numFmtId="164" fontId="1" fillId="3" borderId="18" xfId="0" applyNumberFormat="1" applyFont="1" applyFill="1" applyBorder="1" applyAlignment="1">
      <alignment horizontal="center" vertical="top"/>
    </xf>
    <xf numFmtId="164" fontId="4" fillId="3" borderId="18" xfId="0" applyNumberFormat="1" applyFont="1" applyFill="1" applyBorder="1" applyAlignment="1">
      <alignment horizontal="center" vertical="top" wrapText="1"/>
    </xf>
    <xf numFmtId="164" fontId="3" fillId="5" borderId="56" xfId="0" applyNumberFormat="1" applyFont="1" applyFill="1" applyBorder="1" applyAlignment="1">
      <alignment horizontal="center" vertical="top"/>
    </xf>
    <xf numFmtId="164" fontId="3" fillId="5" borderId="31" xfId="0" applyNumberFormat="1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164" fontId="1" fillId="3" borderId="43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3" borderId="43" xfId="0" applyNumberFormat="1" applyFont="1" applyFill="1" applyBorder="1" applyAlignment="1">
      <alignment horizontal="center" vertical="top"/>
    </xf>
    <xf numFmtId="164" fontId="3" fillId="5" borderId="21" xfId="0" applyNumberFormat="1" applyFont="1" applyFill="1" applyBorder="1" applyAlignment="1">
      <alignment horizontal="center" vertical="top"/>
    </xf>
    <xf numFmtId="164" fontId="6" fillId="5" borderId="56" xfId="0" applyNumberFormat="1" applyFont="1" applyFill="1" applyBorder="1" applyAlignment="1">
      <alignment horizontal="center" vertical="top"/>
    </xf>
    <xf numFmtId="164" fontId="1" fillId="3" borderId="19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6" fillId="5" borderId="54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top" wrapText="1"/>
    </xf>
    <xf numFmtId="165" fontId="1" fillId="3" borderId="43" xfId="0" applyNumberFormat="1" applyFont="1" applyFill="1" applyBorder="1" applyAlignment="1">
      <alignment horizontal="center" vertical="top" wrapText="1"/>
    </xf>
    <xf numFmtId="164" fontId="6" fillId="5" borderId="21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3" borderId="43" xfId="0" applyNumberFormat="1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2" borderId="33" xfId="0" applyNumberFormat="1" applyFont="1" applyFill="1" applyBorder="1" applyAlignment="1">
      <alignment horizontal="center" vertical="top"/>
    </xf>
    <xf numFmtId="0" fontId="1" fillId="3" borderId="48" xfId="0" applyFont="1" applyFill="1" applyBorder="1" applyAlignment="1">
      <alignment horizontal="center" vertical="top" wrapText="1"/>
    </xf>
    <xf numFmtId="0" fontId="1" fillId="3" borderId="72" xfId="0" applyFont="1" applyFill="1" applyBorder="1" applyAlignment="1">
      <alignment horizontal="center" vertical="top" wrapText="1"/>
    </xf>
    <xf numFmtId="164" fontId="1" fillId="3" borderId="31" xfId="0" applyNumberFormat="1" applyFont="1" applyFill="1" applyBorder="1" applyAlignment="1">
      <alignment horizontal="center" vertical="top"/>
    </xf>
    <xf numFmtId="164" fontId="4" fillId="3" borderId="34" xfId="0" applyNumberFormat="1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/>
    </xf>
    <xf numFmtId="164" fontId="3" fillId="7" borderId="8" xfId="0" applyNumberFormat="1" applyFont="1" applyFill="1" applyBorder="1" applyAlignment="1">
      <alignment horizontal="center" vertical="top"/>
    </xf>
    <xf numFmtId="164" fontId="3" fillId="8" borderId="61" xfId="0" applyNumberFormat="1" applyFont="1" applyFill="1" applyBorder="1" applyAlignment="1">
      <alignment horizontal="center" vertical="top" wrapText="1"/>
    </xf>
    <xf numFmtId="165" fontId="3" fillId="5" borderId="21" xfId="0" applyNumberFormat="1" applyFont="1" applyFill="1" applyBorder="1" applyAlignment="1">
      <alignment horizontal="center" vertical="top" wrapText="1"/>
    </xf>
    <xf numFmtId="164" fontId="4" fillId="4" borderId="4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/>
    </xf>
    <xf numFmtId="164" fontId="6" fillId="2" borderId="33" xfId="0" applyNumberFormat="1" applyFont="1" applyFill="1" applyBorder="1" applyAlignment="1">
      <alignment horizontal="center" vertical="top"/>
    </xf>
    <xf numFmtId="164" fontId="3" fillId="7" borderId="33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12" xfId="0" applyNumberFormat="1" applyFont="1" applyFill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 wrapText="1"/>
    </xf>
    <xf numFmtId="49" fontId="1" fillId="3" borderId="31" xfId="0" applyNumberFormat="1" applyFont="1" applyFill="1" applyBorder="1" applyAlignment="1">
      <alignment horizontal="center" vertical="top" wrapText="1"/>
    </xf>
    <xf numFmtId="3" fontId="4" fillId="3" borderId="72" xfId="0" applyNumberFormat="1" applyFont="1" applyFill="1" applyBorder="1" applyAlignment="1">
      <alignment horizontal="center" vertical="top" wrapText="1"/>
    </xf>
    <xf numFmtId="1" fontId="1" fillId="3" borderId="43" xfId="0" applyNumberFormat="1" applyFont="1" applyFill="1" applyBorder="1" applyAlignment="1">
      <alignment horizontal="center" vertical="top" wrapText="1"/>
    </xf>
    <xf numFmtId="165" fontId="1" fillId="3" borderId="12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49" fontId="4" fillId="3" borderId="49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1" fontId="1" fillId="3" borderId="41" xfId="0" applyNumberFormat="1" applyFont="1" applyFill="1" applyBorder="1" applyAlignment="1">
      <alignment horizontal="center" vertical="top" wrapText="1"/>
    </xf>
    <xf numFmtId="49" fontId="1" fillId="3" borderId="41" xfId="0" applyNumberFormat="1" applyFont="1" applyFill="1" applyBorder="1" applyAlignment="1">
      <alignment horizontal="center" vertical="top" wrapText="1"/>
    </xf>
    <xf numFmtId="165" fontId="1" fillId="3" borderId="29" xfId="0" applyNumberFormat="1" applyFont="1" applyFill="1" applyBorder="1" applyAlignment="1">
      <alignment horizontal="center" vertical="top" wrapText="1"/>
    </xf>
    <xf numFmtId="49" fontId="4" fillId="3" borderId="48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 wrapText="1"/>
    </xf>
    <xf numFmtId="164" fontId="1" fillId="0" borderId="49" xfId="0" applyNumberFormat="1" applyFont="1" applyBorder="1" applyAlignment="1">
      <alignment horizontal="center" vertical="top" wrapText="1"/>
    </xf>
    <xf numFmtId="164" fontId="1" fillId="0" borderId="72" xfId="0" applyNumberFormat="1" applyFont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vertical="top" wrapText="1"/>
    </xf>
    <xf numFmtId="0" fontId="4" fillId="3" borderId="39" xfId="0" applyFont="1" applyFill="1" applyBorder="1" applyAlignment="1">
      <alignment vertical="top" wrapText="1"/>
    </xf>
    <xf numFmtId="0" fontId="4" fillId="3" borderId="49" xfId="0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vertical="top" wrapText="1"/>
    </xf>
    <xf numFmtId="164" fontId="1" fillId="3" borderId="40" xfId="0" applyNumberFormat="1" applyFont="1" applyFill="1" applyBorder="1" applyAlignment="1">
      <alignment horizontal="center" vertical="top" wrapText="1"/>
    </xf>
    <xf numFmtId="164" fontId="1" fillId="3" borderId="15" xfId="0" applyNumberFormat="1" applyFont="1" applyFill="1" applyBorder="1" applyAlignment="1">
      <alignment horizontal="center" vertical="top" wrapText="1"/>
    </xf>
    <xf numFmtId="165" fontId="3" fillId="5" borderId="56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 wrapText="1"/>
    </xf>
    <xf numFmtId="164" fontId="6" fillId="5" borderId="29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 wrapText="1"/>
    </xf>
    <xf numFmtId="164" fontId="6" fillId="8" borderId="8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 wrapText="1"/>
    </xf>
    <xf numFmtId="164" fontId="6" fillId="5" borderId="19" xfId="0" applyNumberFormat="1" applyFont="1" applyFill="1" applyBorder="1" applyAlignment="1">
      <alignment horizontal="center" vertical="top" wrapText="1"/>
    </xf>
    <xf numFmtId="164" fontId="1" fillId="5" borderId="19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164" fontId="6" fillId="8" borderId="4" xfId="0" applyNumberFormat="1" applyFont="1" applyFill="1" applyBorder="1" applyAlignment="1">
      <alignment horizontal="center" vertical="top" wrapText="1"/>
    </xf>
    <xf numFmtId="164" fontId="6" fillId="5" borderId="12" xfId="0" applyNumberFormat="1" applyFont="1" applyFill="1" applyBorder="1" applyAlignment="1">
      <alignment horizontal="center" vertical="top" wrapText="1"/>
    </xf>
    <xf numFmtId="164" fontId="1" fillId="5" borderId="12" xfId="0" applyNumberFormat="1" applyFont="1" applyFill="1" applyBorder="1" applyAlignment="1">
      <alignment horizontal="center" vertical="top" wrapText="1"/>
    </xf>
    <xf numFmtId="164" fontId="1" fillId="5" borderId="21" xfId="0" applyNumberFormat="1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" fontId="4" fillId="3" borderId="52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3" fontId="1" fillId="3" borderId="40" xfId="0" applyNumberFormat="1" applyFont="1" applyFill="1" applyBorder="1" applyAlignment="1">
      <alignment horizontal="center" vertical="top" wrapText="1"/>
    </xf>
    <xf numFmtId="3" fontId="1" fillId="3" borderId="48" xfId="0" applyNumberFormat="1" applyFont="1" applyFill="1" applyBorder="1" applyAlignment="1">
      <alignment horizontal="center" vertical="top" wrapText="1"/>
    </xf>
    <xf numFmtId="3" fontId="1" fillId="3" borderId="29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/>
    </xf>
    <xf numFmtId="164" fontId="1" fillId="3" borderId="28" xfId="0" applyNumberFormat="1" applyFont="1" applyFill="1" applyBorder="1" applyAlignment="1">
      <alignment horizontal="center" vertical="top"/>
    </xf>
    <xf numFmtId="164" fontId="3" fillId="5" borderId="55" xfId="0" applyNumberFormat="1" applyFont="1" applyFill="1" applyBorder="1" applyAlignment="1">
      <alignment horizontal="center" vertical="top"/>
    </xf>
    <xf numFmtId="164" fontId="6" fillId="5" borderId="55" xfId="0" applyNumberFormat="1" applyFont="1" applyFill="1" applyBorder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28" xfId="0" applyNumberFormat="1" applyFont="1" applyFill="1" applyBorder="1" applyAlignment="1">
      <alignment horizontal="center" vertical="top"/>
    </xf>
    <xf numFmtId="3" fontId="1" fillId="3" borderId="45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vertical="top" wrapText="1"/>
    </xf>
    <xf numFmtId="3" fontId="4" fillId="3" borderId="47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1" fillId="3" borderId="3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vertical="top" wrapText="1"/>
    </xf>
    <xf numFmtId="3" fontId="1" fillId="3" borderId="0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left" vertical="top" wrapText="1"/>
    </xf>
    <xf numFmtId="3" fontId="1" fillId="3" borderId="30" xfId="0" applyNumberFormat="1" applyFont="1" applyFill="1" applyBorder="1" applyAlignment="1">
      <alignment horizontal="left" vertical="top" wrapText="1"/>
    </xf>
    <xf numFmtId="0" fontId="1" fillId="3" borderId="50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3" fontId="1" fillId="3" borderId="18" xfId="0" applyNumberFormat="1" applyFont="1" applyFill="1" applyBorder="1" applyAlignment="1">
      <alignment vertical="top" wrapText="1"/>
    </xf>
    <xf numFmtId="0" fontId="1" fillId="3" borderId="3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 wrapText="1"/>
    </xf>
    <xf numFmtId="165" fontId="22" fillId="3" borderId="0" xfId="0" applyNumberFormat="1" applyFont="1" applyFill="1" applyBorder="1" applyAlignment="1">
      <alignment horizontal="center" vertical="top"/>
    </xf>
    <xf numFmtId="165" fontId="22" fillId="3" borderId="13" xfId="0" applyNumberFormat="1" applyFont="1" applyFill="1" applyBorder="1" applyAlignment="1">
      <alignment horizontal="center" vertical="top"/>
    </xf>
    <xf numFmtId="165" fontId="22" fillId="3" borderId="53" xfId="0" applyNumberFormat="1" applyFont="1" applyFill="1" applyBorder="1" applyAlignment="1">
      <alignment horizontal="center" vertical="top" wrapText="1"/>
    </xf>
    <xf numFmtId="165" fontId="6" fillId="5" borderId="55" xfId="0" applyNumberFormat="1" applyFont="1" applyFill="1" applyBorder="1" applyAlignment="1">
      <alignment horizontal="center" vertical="top" wrapText="1"/>
    </xf>
    <xf numFmtId="165" fontId="22" fillId="3" borderId="38" xfId="0" applyNumberFormat="1" applyFont="1" applyFill="1" applyBorder="1" applyAlignment="1">
      <alignment horizontal="center" vertical="top"/>
    </xf>
    <xf numFmtId="165" fontId="1" fillId="3" borderId="41" xfId="0" applyNumberFormat="1" applyFont="1" applyFill="1" applyBorder="1" applyAlignment="1">
      <alignment horizontal="center" vertical="top" wrapText="1"/>
    </xf>
    <xf numFmtId="0" fontId="4" fillId="3" borderId="61" xfId="0" applyFont="1" applyFill="1" applyBorder="1" applyAlignment="1">
      <alignment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center" vertical="top" wrapText="1"/>
    </xf>
    <xf numFmtId="49" fontId="4" fillId="3" borderId="45" xfId="1" applyNumberFormat="1" applyFont="1" applyFill="1" applyBorder="1" applyAlignment="1">
      <alignment horizontal="center" vertical="top" wrapText="1"/>
    </xf>
    <xf numFmtId="164" fontId="4" fillId="3" borderId="49" xfId="0" applyNumberFormat="1" applyFont="1" applyFill="1" applyBorder="1" applyAlignment="1">
      <alignment horizontal="center" vertical="top" wrapText="1"/>
    </xf>
    <xf numFmtId="164" fontId="4" fillId="3" borderId="72" xfId="0" applyNumberFormat="1" applyFont="1" applyFill="1" applyBorder="1" applyAlignment="1">
      <alignment horizontal="center" vertical="top" wrapText="1"/>
    </xf>
    <xf numFmtId="164" fontId="4" fillId="3" borderId="3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3" fontId="4" fillId="4" borderId="39" xfId="0" applyNumberFormat="1" applyFont="1" applyFill="1" applyBorder="1" applyAlignment="1">
      <alignment horizontal="center" vertical="top" wrapText="1"/>
    </xf>
    <xf numFmtId="3" fontId="3" fillId="5" borderId="57" xfId="0" applyNumberFormat="1" applyFont="1" applyFill="1" applyBorder="1" applyAlignment="1">
      <alignment horizontal="center" vertical="top"/>
    </xf>
    <xf numFmtId="3" fontId="4" fillId="4" borderId="7" xfId="0" applyNumberFormat="1" applyFont="1" applyFill="1" applyBorder="1" applyAlignment="1">
      <alignment horizontal="center" vertical="top" wrapText="1"/>
    </xf>
    <xf numFmtId="3" fontId="3" fillId="5" borderId="57" xfId="0" applyNumberFormat="1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vertical="top" wrapText="1"/>
    </xf>
    <xf numFmtId="3" fontId="22" fillId="3" borderId="16" xfId="0" applyNumberFormat="1" applyFont="1" applyFill="1" applyBorder="1" applyAlignment="1">
      <alignment horizontal="center" vertical="top"/>
    </xf>
    <xf numFmtId="3" fontId="4" fillId="3" borderId="25" xfId="0" applyNumberFormat="1" applyFont="1" applyFill="1" applyBorder="1" applyAlignment="1">
      <alignment horizontal="center" vertical="top" wrapText="1"/>
    </xf>
    <xf numFmtId="3" fontId="4" fillId="4" borderId="61" xfId="0" applyNumberFormat="1" applyFont="1" applyFill="1" applyBorder="1" applyAlignment="1">
      <alignment horizontal="left" vertical="top" wrapText="1"/>
    </xf>
    <xf numFmtId="3" fontId="4" fillId="3" borderId="50" xfId="0" applyNumberFormat="1" applyFont="1" applyFill="1" applyBorder="1" applyAlignment="1">
      <alignment vertical="top" wrapText="1"/>
    </xf>
    <xf numFmtId="3" fontId="4" fillId="0" borderId="50" xfId="0" applyNumberFormat="1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3" fontId="1" fillId="0" borderId="25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4" fillId="3" borderId="40" xfId="0" applyNumberFormat="1" applyFont="1" applyFill="1" applyBorder="1" applyAlignment="1">
      <alignment horizontal="left" vertical="top" wrapText="1"/>
    </xf>
    <xf numFmtId="3" fontId="3" fillId="2" borderId="22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3" fontId="10" fillId="0" borderId="0" xfId="0" applyNumberFormat="1" applyFont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20" fillId="3" borderId="0" xfId="0" applyFont="1" applyFill="1" applyBorder="1" applyAlignment="1"/>
    <xf numFmtId="3" fontId="9" fillId="0" borderId="0" xfId="0" applyNumberFormat="1" applyFont="1" applyAlignment="1">
      <alignment horizontal="left" vertical="top" wrapText="1"/>
    </xf>
    <xf numFmtId="49" fontId="6" fillId="0" borderId="14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3" fontId="6" fillId="2" borderId="13" xfId="0" applyNumberFormat="1" applyFont="1" applyFill="1" applyBorder="1" applyAlignment="1">
      <alignment vertical="top"/>
    </xf>
    <xf numFmtId="3" fontId="6" fillId="2" borderId="22" xfId="0" applyNumberFormat="1" applyFont="1" applyFill="1" applyBorder="1" applyAlignment="1">
      <alignment vertical="top"/>
    </xf>
    <xf numFmtId="3" fontId="6" fillId="7" borderId="38" xfId="0" applyNumberFormat="1" applyFont="1" applyFill="1" applyBorder="1" applyAlignment="1">
      <alignment vertical="top"/>
    </xf>
    <xf numFmtId="3" fontId="6" fillId="7" borderId="58" xfId="0" applyNumberFormat="1" applyFont="1" applyFill="1" applyBorder="1" applyAlignment="1">
      <alignment vertical="top"/>
    </xf>
    <xf numFmtId="3" fontId="4" fillId="0" borderId="25" xfId="0" applyNumberFormat="1" applyFont="1" applyBorder="1" applyAlignment="1">
      <alignment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3" borderId="48" xfId="0" applyNumberFormat="1" applyFont="1" applyFill="1" applyBorder="1" applyAlignment="1">
      <alignment vertical="top" wrapText="1"/>
    </xf>
    <xf numFmtId="3" fontId="4" fillId="3" borderId="6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center" textRotation="90" wrapText="1"/>
    </xf>
    <xf numFmtId="3" fontId="6" fillId="3" borderId="13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vertical="center" textRotation="90" wrapText="1"/>
    </xf>
    <xf numFmtId="3" fontId="4" fillId="0" borderId="14" xfId="0" applyNumberFormat="1" applyFont="1" applyFill="1" applyBorder="1" applyAlignment="1">
      <alignment horizontal="center" vertical="top" textRotation="180" wrapText="1"/>
    </xf>
    <xf numFmtId="3" fontId="1" fillId="0" borderId="23" xfId="0" applyNumberFormat="1" applyFont="1" applyFill="1" applyBorder="1" applyAlignment="1">
      <alignment vertical="center" textRotation="90" wrapText="1"/>
    </xf>
    <xf numFmtId="3" fontId="4" fillId="3" borderId="5" xfId="0" applyNumberFormat="1" applyFont="1" applyFill="1" applyBorder="1" applyAlignment="1">
      <alignment horizontal="center" vertical="center" textRotation="90" wrapText="1"/>
    </xf>
    <xf numFmtId="3" fontId="4" fillId="3" borderId="22" xfId="0" applyNumberFormat="1" applyFont="1" applyFill="1" applyBorder="1" applyAlignment="1">
      <alignment horizontal="center" vertical="center" textRotation="90" wrapText="1"/>
    </xf>
    <xf numFmtId="3" fontId="4" fillId="3" borderId="13" xfId="0" applyNumberFormat="1" applyFont="1" applyFill="1" applyBorder="1" applyAlignment="1">
      <alignment vertical="center" textRotation="90" wrapText="1"/>
    </xf>
    <xf numFmtId="3" fontId="2" fillId="0" borderId="23" xfId="0" applyNumberFormat="1" applyFont="1" applyBorder="1" applyAlignment="1">
      <alignment horizontal="center" vertical="top" wrapText="1"/>
    </xf>
    <xf numFmtId="3" fontId="6" fillId="4" borderId="26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top" textRotation="180" wrapText="1"/>
    </xf>
    <xf numFmtId="3" fontId="6" fillId="0" borderId="36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 textRotation="90"/>
    </xf>
    <xf numFmtId="3" fontId="4" fillId="0" borderId="13" xfId="0" applyNumberFormat="1" applyFont="1" applyBorder="1" applyAlignment="1">
      <alignment vertical="center" textRotation="90"/>
    </xf>
    <xf numFmtId="3" fontId="4" fillId="0" borderId="13" xfId="0" applyNumberFormat="1" applyFont="1" applyBorder="1" applyAlignment="1">
      <alignment horizontal="center" vertical="top" textRotation="90"/>
    </xf>
    <xf numFmtId="3" fontId="4" fillId="0" borderId="22" xfId="0" applyNumberFormat="1" applyFont="1" applyBorder="1" applyAlignment="1">
      <alignment horizontal="center" vertical="top" textRotation="90"/>
    </xf>
    <xf numFmtId="164" fontId="1" fillId="3" borderId="44" xfId="0" applyNumberFormat="1" applyFont="1" applyFill="1" applyBorder="1" applyAlignment="1">
      <alignment horizontal="center" vertical="top"/>
    </xf>
    <xf numFmtId="164" fontId="1" fillId="3" borderId="46" xfId="0" applyNumberFormat="1" applyFont="1" applyFill="1" applyBorder="1" applyAlignment="1">
      <alignment horizontal="center" vertical="top"/>
    </xf>
    <xf numFmtId="164" fontId="1" fillId="3" borderId="53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164" fontId="1" fillId="3" borderId="52" xfId="0" applyNumberFormat="1" applyFont="1" applyFill="1" applyBorder="1" applyAlignment="1">
      <alignment horizontal="center" vertical="top"/>
    </xf>
    <xf numFmtId="164" fontId="4" fillId="3" borderId="44" xfId="0" applyNumberFormat="1" applyFont="1" applyFill="1" applyBorder="1" applyAlignment="1">
      <alignment horizontal="center" vertical="top"/>
    </xf>
    <xf numFmtId="164" fontId="4" fillId="3" borderId="46" xfId="0" applyNumberFormat="1" applyFont="1" applyFill="1" applyBorder="1" applyAlignment="1">
      <alignment horizontal="center" vertical="top" wrapText="1"/>
    </xf>
    <xf numFmtId="164" fontId="1" fillId="3" borderId="44" xfId="0" applyNumberFormat="1" applyFont="1" applyFill="1" applyBorder="1" applyAlignment="1">
      <alignment horizontal="center" vertical="top" wrapText="1"/>
    </xf>
    <xf numFmtId="165" fontId="6" fillId="2" borderId="74" xfId="0" applyNumberFormat="1" applyFont="1" applyFill="1" applyBorder="1" applyAlignment="1">
      <alignment horizontal="center" vertical="top"/>
    </xf>
    <xf numFmtId="164" fontId="1" fillId="4" borderId="60" xfId="0" applyNumberFormat="1" applyFont="1" applyFill="1" applyBorder="1" applyAlignment="1">
      <alignment horizontal="center" vertical="top"/>
    </xf>
    <xf numFmtId="165" fontId="1" fillId="3" borderId="52" xfId="0" applyNumberFormat="1" applyFont="1" applyFill="1" applyBorder="1" applyAlignment="1">
      <alignment horizontal="center" vertical="top"/>
    </xf>
    <xf numFmtId="165" fontId="1" fillId="3" borderId="44" xfId="0" applyNumberFormat="1" applyFont="1" applyFill="1" applyBorder="1" applyAlignment="1">
      <alignment horizontal="center" vertical="top"/>
    </xf>
    <xf numFmtId="165" fontId="1" fillId="3" borderId="44" xfId="0" applyNumberFormat="1" applyFont="1" applyFill="1" applyBorder="1" applyAlignment="1">
      <alignment horizontal="center" vertical="top" wrapText="1"/>
    </xf>
    <xf numFmtId="165" fontId="1" fillId="3" borderId="53" xfId="0" applyNumberFormat="1" applyFont="1" applyFill="1" applyBorder="1" applyAlignment="1">
      <alignment horizontal="center" vertical="top" wrapText="1"/>
    </xf>
    <xf numFmtId="164" fontId="1" fillId="4" borderId="60" xfId="0" applyNumberFormat="1" applyFont="1" applyFill="1" applyBorder="1" applyAlignment="1">
      <alignment horizontal="center" vertical="top" wrapText="1"/>
    </xf>
    <xf numFmtId="164" fontId="4" fillId="4" borderId="52" xfId="0" applyNumberFormat="1" applyFont="1" applyFill="1" applyBorder="1" applyAlignment="1">
      <alignment horizontal="center" vertical="top" wrapText="1"/>
    </xf>
    <xf numFmtId="164" fontId="1" fillId="3" borderId="46" xfId="0" applyNumberFormat="1" applyFont="1" applyFill="1" applyBorder="1" applyAlignment="1">
      <alignment horizontal="center" vertical="top" wrapText="1"/>
    </xf>
    <xf numFmtId="164" fontId="1" fillId="0" borderId="44" xfId="0" applyNumberFormat="1" applyFont="1" applyBorder="1" applyAlignment="1">
      <alignment horizontal="center" vertical="top" wrapText="1"/>
    </xf>
    <xf numFmtId="164" fontId="1" fillId="0" borderId="52" xfId="0" applyNumberFormat="1" applyFont="1" applyBorder="1" applyAlignment="1">
      <alignment horizontal="center" vertical="top" wrapText="1"/>
    </xf>
    <xf numFmtId="164" fontId="1" fillId="3" borderId="53" xfId="0" applyNumberFormat="1" applyFont="1" applyFill="1" applyBorder="1" applyAlignment="1">
      <alignment horizontal="center" vertical="top" wrapText="1"/>
    </xf>
    <xf numFmtId="165" fontId="1" fillId="3" borderId="46" xfId="0" applyNumberFormat="1" applyFont="1" applyFill="1" applyBorder="1" applyAlignment="1">
      <alignment horizontal="center" vertical="top" wrapText="1"/>
    </xf>
    <xf numFmtId="164" fontId="4" fillId="0" borderId="60" xfId="0" applyNumberFormat="1" applyFont="1" applyBorder="1" applyAlignment="1">
      <alignment horizontal="center" vertical="top" wrapText="1"/>
    </xf>
    <xf numFmtId="164" fontId="4" fillId="3" borderId="60" xfId="0" applyNumberFormat="1" applyFont="1" applyFill="1" applyBorder="1" applyAlignment="1">
      <alignment horizontal="center" vertical="top" wrapText="1"/>
    </xf>
    <xf numFmtId="164" fontId="4" fillId="3" borderId="44" xfId="0" applyNumberFormat="1" applyFont="1" applyFill="1" applyBorder="1" applyAlignment="1">
      <alignment horizontal="center" vertical="top" wrapText="1"/>
    </xf>
    <xf numFmtId="164" fontId="4" fillId="3" borderId="73" xfId="0" applyNumberFormat="1" applyFont="1" applyFill="1" applyBorder="1" applyAlignment="1">
      <alignment horizontal="center" vertical="top" wrapText="1"/>
    </xf>
    <xf numFmtId="164" fontId="4" fillId="4" borderId="60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52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3" fontId="4" fillId="3" borderId="60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46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/>
    </xf>
    <xf numFmtId="3" fontId="4" fillId="3" borderId="53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 wrapText="1"/>
    </xf>
    <xf numFmtId="3" fontId="4" fillId="3" borderId="59" xfId="0" applyNumberFormat="1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9" xfId="0" applyFont="1" applyFill="1" applyBorder="1" applyAlignment="1">
      <alignment vertical="top" wrapText="1"/>
    </xf>
    <xf numFmtId="0" fontId="4" fillId="3" borderId="59" xfId="0" applyFont="1" applyFill="1" applyBorder="1" applyAlignment="1">
      <alignment horizontal="center" vertical="top" wrapText="1"/>
    </xf>
    <xf numFmtId="3" fontId="1" fillId="3" borderId="60" xfId="0" applyNumberFormat="1" applyFont="1" applyFill="1" applyBorder="1" applyAlignment="1">
      <alignment horizontal="center" vertical="top"/>
    </xf>
    <xf numFmtId="3" fontId="1" fillId="3" borderId="52" xfId="0" applyNumberFormat="1" applyFont="1" applyFill="1" applyBorder="1" applyAlignment="1">
      <alignment horizontal="center" vertical="top"/>
    </xf>
    <xf numFmtId="1" fontId="1" fillId="3" borderId="44" xfId="0" applyNumberFormat="1" applyFont="1" applyFill="1" applyBorder="1" applyAlignment="1">
      <alignment horizontal="center" vertical="top" wrapText="1"/>
    </xf>
    <xf numFmtId="49" fontId="1" fillId="3" borderId="52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/>
    </xf>
    <xf numFmtId="3" fontId="4" fillId="3" borderId="52" xfId="0" applyNumberFormat="1" applyFont="1" applyFill="1" applyBorder="1" applyAlignment="1">
      <alignment horizontal="center" vertical="top"/>
    </xf>
    <xf numFmtId="3" fontId="4" fillId="0" borderId="52" xfId="0" applyNumberFormat="1" applyFont="1" applyFill="1" applyBorder="1" applyAlignment="1">
      <alignment horizontal="center" vertical="top" wrapText="1"/>
    </xf>
    <xf numFmtId="0" fontId="18" fillId="3" borderId="53" xfId="0" applyFont="1" applyFill="1" applyBorder="1" applyAlignment="1">
      <alignment horizontal="center" vertical="top" wrapText="1"/>
    </xf>
    <xf numFmtId="0" fontId="1" fillId="3" borderId="53" xfId="0" applyFont="1" applyFill="1" applyBorder="1" applyAlignment="1">
      <alignment horizontal="center" vertical="top" wrapText="1"/>
    </xf>
    <xf numFmtId="0" fontId="4" fillId="3" borderId="53" xfId="0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vertical="top"/>
    </xf>
    <xf numFmtId="3" fontId="4" fillId="4" borderId="60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 wrapText="1"/>
    </xf>
    <xf numFmtId="3" fontId="3" fillId="0" borderId="59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165" fontId="1" fillId="3" borderId="29" xfId="0" applyNumberFormat="1" applyFont="1" applyFill="1" applyBorder="1" applyAlignment="1">
      <alignment horizontal="left" vertical="top" wrapText="1"/>
    </xf>
    <xf numFmtId="1" fontId="1" fillId="3" borderId="46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center" vertical="top"/>
    </xf>
    <xf numFmtId="3" fontId="6" fillId="3" borderId="27" xfId="0" applyNumberFormat="1" applyFont="1" applyFill="1" applyBorder="1" applyAlignment="1">
      <alignment horizontal="right" vertical="top" wrapText="1"/>
    </xf>
    <xf numFmtId="165" fontId="6" fillId="3" borderId="73" xfId="0" applyNumberFormat="1" applyFont="1" applyFill="1" applyBorder="1" applyAlignment="1">
      <alignment horizontal="center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3" fontId="4" fillId="0" borderId="73" xfId="0" applyNumberFormat="1" applyFont="1" applyFill="1" applyBorder="1" applyAlignment="1">
      <alignment horizontal="center" vertical="top"/>
    </xf>
    <xf numFmtId="3" fontId="6" fillId="3" borderId="26" xfId="0" applyNumberFormat="1" applyFont="1" applyFill="1" applyBorder="1" applyAlignment="1">
      <alignment horizontal="left" vertical="top" wrapText="1"/>
    </xf>
    <xf numFmtId="3" fontId="6" fillId="5" borderId="55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vertical="top" wrapText="1"/>
    </xf>
    <xf numFmtId="3" fontId="1" fillId="0" borderId="61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49" fontId="4" fillId="0" borderId="60" xfId="0" applyNumberFormat="1" applyFont="1" applyFill="1" applyBorder="1" applyAlignment="1">
      <alignment vertical="top"/>
    </xf>
    <xf numFmtId="49" fontId="1" fillId="0" borderId="59" xfId="0" applyNumberFormat="1" applyFont="1" applyBorder="1" applyAlignment="1">
      <alignment vertical="top"/>
    </xf>
    <xf numFmtId="3" fontId="4" fillId="0" borderId="14" xfId="0" applyNumberFormat="1" applyFont="1" applyFill="1" applyBorder="1" applyAlignment="1">
      <alignment vertical="center" textRotation="90" wrapText="1"/>
    </xf>
    <xf numFmtId="3" fontId="3" fillId="3" borderId="30" xfId="0" applyNumberFormat="1" applyFont="1" applyFill="1" applyBorder="1" applyAlignment="1">
      <alignment horizontal="center" vertical="top"/>
    </xf>
    <xf numFmtId="3" fontId="4" fillId="3" borderId="11" xfId="0" applyNumberFormat="1" applyFont="1" applyFill="1" applyBorder="1" applyAlignment="1">
      <alignment vertical="top" wrapText="1"/>
    </xf>
    <xf numFmtId="3" fontId="4" fillId="3" borderId="30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4" fillId="0" borderId="47" xfId="0" applyNumberFormat="1" applyFont="1" applyBorder="1" applyAlignment="1">
      <alignment vertical="top"/>
    </xf>
    <xf numFmtId="3" fontId="4" fillId="0" borderId="47" xfId="0" applyNumberFormat="1" applyFont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3" fontId="1" fillId="3" borderId="40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50" xfId="0" applyNumberFormat="1" applyFont="1" applyBorder="1" applyAlignment="1">
      <alignment horizontal="center" vertical="top" wrapText="1"/>
    </xf>
    <xf numFmtId="3" fontId="4" fillId="3" borderId="18" xfId="0" applyNumberFormat="1" applyFont="1" applyFill="1" applyBorder="1" applyAlignment="1">
      <alignment horizontal="center" vertical="top" wrapText="1"/>
    </xf>
    <xf numFmtId="3" fontId="4" fillId="4" borderId="30" xfId="0" applyNumberFormat="1" applyFont="1" applyFill="1" applyBorder="1" applyAlignment="1">
      <alignment horizontal="center" vertical="top" wrapText="1"/>
    </xf>
    <xf numFmtId="3" fontId="4" fillId="3" borderId="50" xfId="0" applyNumberFormat="1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>
      <alignment horizontal="center" vertical="top" wrapText="1"/>
    </xf>
    <xf numFmtId="3" fontId="4" fillId="4" borderId="34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center" textRotation="90"/>
    </xf>
    <xf numFmtId="3" fontId="4" fillId="3" borderId="7" xfId="0" applyNumberFormat="1" applyFont="1" applyFill="1" applyBorder="1" applyAlignment="1">
      <alignment horizontal="center" vertical="top" wrapText="1"/>
    </xf>
    <xf numFmtId="3" fontId="4" fillId="3" borderId="45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/>
    </xf>
    <xf numFmtId="3" fontId="4" fillId="3" borderId="16" xfId="0" applyNumberFormat="1" applyFont="1" applyFill="1" applyBorder="1" applyAlignment="1">
      <alignment horizontal="center" vertical="top"/>
    </xf>
    <xf numFmtId="3" fontId="1" fillId="3" borderId="45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vertical="top" wrapText="1"/>
    </xf>
    <xf numFmtId="3" fontId="4" fillId="0" borderId="25" xfId="0" applyNumberFormat="1" applyFont="1" applyFill="1" applyBorder="1" applyAlignment="1">
      <alignment horizontal="center" vertical="top"/>
    </xf>
    <xf numFmtId="3" fontId="2" fillId="3" borderId="25" xfId="0" applyNumberFormat="1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vertical="top" wrapText="1"/>
    </xf>
    <xf numFmtId="3" fontId="1" fillId="3" borderId="7" xfId="0" applyNumberFormat="1" applyFont="1" applyFill="1" applyBorder="1" applyAlignment="1">
      <alignment horizontal="center" vertical="top"/>
    </xf>
    <xf numFmtId="3" fontId="1" fillId="3" borderId="47" xfId="0" applyNumberFormat="1" applyFont="1" applyFill="1" applyBorder="1" applyAlignment="1">
      <alignment horizontal="center" vertical="top"/>
    </xf>
    <xf numFmtId="1" fontId="1" fillId="3" borderId="39" xfId="0" applyNumberFormat="1" applyFont="1" applyFill="1" applyBorder="1" applyAlignment="1">
      <alignment horizontal="center" vertical="top" wrapText="1"/>
    </xf>
    <xf numFmtId="49" fontId="1" fillId="3" borderId="39" xfId="0" applyNumberFormat="1" applyFont="1" applyFill="1" applyBorder="1" applyAlignment="1">
      <alignment horizontal="center" vertical="top"/>
    </xf>
    <xf numFmtId="49" fontId="1" fillId="3" borderId="47" xfId="0" applyNumberFormat="1" applyFont="1" applyFill="1" applyBorder="1" applyAlignment="1">
      <alignment horizontal="center" vertical="top"/>
    </xf>
    <xf numFmtId="49" fontId="1" fillId="3" borderId="39" xfId="0" applyNumberFormat="1" applyFont="1" applyFill="1" applyBorder="1" applyAlignment="1">
      <alignment horizontal="center" vertical="top" wrapText="1"/>
    </xf>
    <xf numFmtId="1" fontId="1" fillId="3" borderId="45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3" borderId="45" xfId="0" applyFont="1" applyFill="1" applyBorder="1" applyAlignment="1">
      <alignment horizontal="center" vertical="top" wrapText="1"/>
    </xf>
    <xf numFmtId="3" fontId="4" fillId="3" borderId="45" xfId="0" applyNumberFormat="1" applyFont="1" applyFill="1" applyBorder="1" applyAlignment="1">
      <alignment horizontal="center" vertical="top"/>
    </xf>
    <xf numFmtId="49" fontId="4" fillId="3" borderId="47" xfId="0" applyNumberFormat="1" applyFont="1" applyFill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/>
    </xf>
    <xf numFmtId="1" fontId="4" fillId="3" borderId="47" xfId="0" applyNumberFormat="1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right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1" fillId="3" borderId="49" xfId="0" applyNumberFormat="1" applyFont="1" applyFill="1" applyBorder="1" applyAlignment="1">
      <alignment horizontal="center" vertical="top" wrapText="1"/>
    </xf>
    <xf numFmtId="164" fontId="4" fillId="3" borderId="37" xfId="0" applyNumberFormat="1" applyFont="1" applyFill="1" applyBorder="1" applyAlignment="1">
      <alignment horizontal="center" vertical="top" wrapText="1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5" xfId="0" applyNumberFormat="1" applyFont="1" applyFill="1" applyBorder="1" applyAlignment="1">
      <alignment horizontal="center" vertical="top"/>
    </xf>
    <xf numFmtId="164" fontId="1" fillId="3" borderId="39" xfId="0" applyNumberFormat="1" applyFont="1" applyFill="1" applyBorder="1" applyAlignment="1">
      <alignment horizontal="center" vertical="top" wrapText="1"/>
    </xf>
    <xf numFmtId="165" fontId="3" fillId="5" borderId="57" xfId="0" applyNumberFormat="1" applyFont="1" applyFill="1" applyBorder="1" applyAlignment="1">
      <alignment horizontal="center" vertical="top" wrapText="1"/>
    </xf>
    <xf numFmtId="164" fontId="3" fillId="2" borderId="69" xfId="0" applyNumberFormat="1" applyFont="1" applyFill="1" applyBorder="1" applyAlignment="1">
      <alignment horizontal="center" vertical="top"/>
    </xf>
    <xf numFmtId="3" fontId="4" fillId="4" borderId="3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164" fontId="4" fillId="3" borderId="39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7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1" fillId="3" borderId="45" xfId="0" applyNumberFormat="1" applyFont="1" applyFill="1" applyBorder="1" applyAlignment="1">
      <alignment horizontal="center" vertical="top"/>
    </xf>
    <xf numFmtId="164" fontId="3" fillId="5" borderId="39" xfId="0" applyNumberFormat="1" applyFont="1" applyFill="1" applyBorder="1" applyAlignment="1">
      <alignment horizontal="center" vertical="top"/>
    </xf>
    <xf numFmtId="164" fontId="6" fillId="2" borderId="69" xfId="0" applyNumberFormat="1" applyFont="1" applyFill="1" applyBorder="1" applyAlignment="1">
      <alignment horizontal="center" vertical="top"/>
    </xf>
    <xf numFmtId="164" fontId="3" fillId="7" borderId="69" xfId="0" applyNumberFormat="1" applyFont="1" applyFill="1" applyBorder="1" applyAlignment="1">
      <alignment horizontal="center" vertical="top"/>
    </xf>
    <xf numFmtId="164" fontId="3" fillId="8" borderId="25" xfId="0" applyNumberFormat="1" applyFont="1" applyFill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3" fontId="1" fillId="3" borderId="4" xfId="0" applyNumberFormat="1" applyFont="1" applyFill="1" applyBorder="1" applyAlignment="1">
      <alignment horizontal="center" vertical="top" wrapText="1"/>
    </xf>
    <xf numFmtId="3" fontId="4" fillId="4" borderId="43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/>
    </xf>
    <xf numFmtId="164" fontId="1" fillId="3" borderId="39" xfId="0" applyNumberFormat="1" applyFont="1" applyFill="1" applyBorder="1" applyAlignment="1">
      <alignment horizontal="center" vertical="top"/>
    </xf>
    <xf numFmtId="164" fontId="1" fillId="3" borderId="16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164" fontId="1" fillId="3" borderId="47" xfId="0" applyNumberFormat="1" applyFont="1" applyFill="1" applyBorder="1" applyAlignment="1">
      <alignment horizontal="center" vertical="top"/>
    </xf>
    <xf numFmtId="164" fontId="3" fillId="5" borderId="45" xfId="0" applyNumberFormat="1" applyFont="1" applyFill="1" applyBorder="1" applyAlignment="1">
      <alignment horizontal="center" vertical="top"/>
    </xf>
    <xf numFmtId="164" fontId="4" fillId="3" borderId="45" xfId="0" applyNumberFormat="1" applyFont="1" applyFill="1" applyBorder="1" applyAlignment="1">
      <alignment horizontal="center" vertical="top" wrapText="1"/>
    </xf>
    <xf numFmtId="164" fontId="6" fillId="5" borderId="45" xfId="0" applyNumberFormat="1" applyFont="1" applyFill="1" applyBorder="1" applyAlignment="1">
      <alignment horizontal="center" vertical="top"/>
    </xf>
    <xf numFmtId="164" fontId="6" fillId="3" borderId="45" xfId="0" applyNumberFormat="1" applyFont="1" applyFill="1" applyBorder="1" applyAlignment="1">
      <alignment horizontal="center" vertical="top"/>
    </xf>
    <xf numFmtId="164" fontId="6" fillId="3" borderId="39" xfId="0" applyNumberFormat="1" applyFont="1" applyFill="1" applyBorder="1" applyAlignment="1">
      <alignment horizontal="center" vertical="top"/>
    </xf>
    <xf numFmtId="164" fontId="4" fillId="3" borderId="37" xfId="0" applyNumberFormat="1" applyFont="1" applyFill="1" applyBorder="1" applyAlignment="1">
      <alignment horizontal="center" vertical="top"/>
    </xf>
    <xf numFmtId="164" fontId="1" fillId="3" borderId="37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165" fontId="1" fillId="3" borderId="45" xfId="0" applyNumberFormat="1" applyFont="1" applyFill="1" applyBorder="1" applyAlignment="1">
      <alignment horizontal="center" vertical="top"/>
    </xf>
    <xf numFmtId="165" fontId="1" fillId="3" borderId="47" xfId="0" applyNumberFormat="1" applyFont="1" applyFill="1" applyBorder="1" applyAlignment="1">
      <alignment horizontal="center" vertical="top"/>
    </xf>
    <xf numFmtId="165" fontId="1" fillId="3" borderId="39" xfId="0" applyNumberFormat="1" applyFont="1" applyFill="1" applyBorder="1" applyAlignment="1">
      <alignment horizontal="center" vertical="top"/>
    </xf>
    <xf numFmtId="165" fontId="1" fillId="3" borderId="39" xfId="0" applyNumberFormat="1" applyFont="1" applyFill="1" applyBorder="1" applyAlignment="1">
      <alignment horizontal="center" vertical="top" wrapText="1"/>
    </xf>
    <xf numFmtId="165" fontId="1" fillId="3" borderId="16" xfId="0" applyNumberFormat="1" applyFont="1" applyFill="1" applyBorder="1" applyAlignment="1">
      <alignment horizontal="center" vertical="top" wrapText="1"/>
    </xf>
    <xf numFmtId="164" fontId="15" fillId="3" borderId="39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/>
    </xf>
    <xf numFmtId="165" fontId="6" fillId="5" borderId="57" xfId="0" applyNumberFormat="1" applyFont="1" applyFill="1" applyBorder="1" applyAlignment="1">
      <alignment horizontal="center" vertical="top" wrapText="1"/>
    </xf>
    <xf numFmtId="165" fontId="6" fillId="3" borderId="37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 wrapText="1"/>
    </xf>
    <xf numFmtId="164" fontId="4" fillId="4" borderId="47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1" fillId="3" borderId="45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3" fillId="5" borderId="16" xfId="0" applyNumberFormat="1" applyFont="1" applyFill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left" vertical="top"/>
    </xf>
    <xf numFmtId="3" fontId="6" fillId="0" borderId="34" xfId="0" applyNumberFormat="1" applyFont="1" applyBorder="1" applyAlignment="1">
      <alignment horizontal="center" vertical="center" textRotation="90" wrapText="1"/>
    </xf>
    <xf numFmtId="3" fontId="6" fillId="0" borderId="69" xfId="0" applyNumberFormat="1" applyFont="1" applyBorder="1" applyAlignment="1">
      <alignment horizontal="center" vertical="center" textRotation="90" wrapText="1"/>
    </xf>
    <xf numFmtId="164" fontId="26" fillId="0" borderId="6" xfId="0" applyNumberFormat="1" applyFont="1" applyBorder="1" applyAlignment="1">
      <alignment horizontal="center" vertical="center" textRotation="90" wrapText="1"/>
    </xf>
    <xf numFmtId="3" fontId="6" fillId="0" borderId="33" xfId="0" applyNumberFormat="1" applyFont="1" applyBorder="1" applyAlignment="1">
      <alignment horizontal="center" vertical="center" textRotation="90" wrapText="1"/>
    </xf>
    <xf numFmtId="49" fontId="1" fillId="3" borderId="41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49" fontId="1" fillId="3" borderId="43" xfId="0" applyNumberFormat="1" applyFont="1" applyFill="1" applyBorder="1" applyAlignment="1">
      <alignment horizontal="center" vertical="top"/>
    </xf>
    <xf numFmtId="49" fontId="1" fillId="3" borderId="12" xfId="0" applyNumberFormat="1" applyFont="1" applyFill="1" applyBorder="1" applyAlignment="1">
      <alignment horizontal="center" vertical="top" wrapText="1"/>
    </xf>
    <xf numFmtId="1" fontId="1" fillId="3" borderId="47" xfId="0" applyNumberFormat="1" applyFont="1" applyFill="1" applyBorder="1" applyAlignment="1">
      <alignment horizontal="center" vertical="top" wrapText="1"/>
    </xf>
    <xf numFmtId="1" fontId="1" fillId="3" borderId="5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49" fontId="4" fillId="3" borderId="72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4" fillId="4" borderId="37" xfId="0" applyNumberFormat="1" applyFont="1" applyFill="1" applyBorder="1" applyAlignment="1">
      <alignment horizontal="center" vertical="top" wrapText="1"/>
    </xf>
    <xf numFmtId="165" fontId="3" fillId="5" borderId="25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165" fontId="1" fillId="3" borderId="13" xfId="0" applyNumberFormat="1" applyFont="1" applyFill="1" applyBorder="1" applyAlignment="1">
      <alignment horizontal="center" vertical="top" wrapText="1"/>
    </xf>
    <xf numFmtId="165" fontId="1" fillId="3" borderId="50" xfId="0" applyNumberFormat="1" applyFont="1" applyFill="1" applyBorder="1" applyAlignment="1">
      <alignment horizontal="center" vertical="top" wrapText="1"/>
    </xf>
    <xf numFmtId="165" fontId="1" fillId="3" borderId="49" xfId="0" applyNumberFormat="1" applyFont="1" applyFill="1" applyBorder="1" applyAlignment="1">
      <alignment horizontal="center" vertical="top" wrapText="1"/>
    </xf>
    <xf numFmtId="165" fontId="1" fillId="3" borderId="18" xfId="0" applyNumberFormat="1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3" fontId="1" fillId="3" borderId="27" xfId="0" applyNumberFormat="1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3" fontId="4" fillId="4" borderId="22" xfId="0" applyNumberFormat="1" applyFont="1" applyFill="1" applyBorder="1" applyAlignment="1">
      <alignment horizontal="center" vertical="top" wrapText="1"/>
    </xf>
    <xf numFmtId="164" fontId="3" fillId="5" borderId="29" xfId="0" applyNumberFormat="1" applyFont="1" applyFill="1" applyBorder="1" applyAlignment="1">
      <alignment horizontal="center" vertical="top"/>
    </xf>
    <xf numFmtId="164" fontId="3" fillId="5" borderId="19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1" fillId="3" borderId="31" xfId="0" applyNumberFormat="1" applyFont="1" applyFill="1" applyBorder="1" applyAlignment="1">
      <alignment horizontal="center" vertical="top" wrapText="1"/>
    </xf>
    <xf numFmtId="164" fontId="6" fillId="5" borderId="19" xfId="0" applyNumberFormat="1" applyFont="1" applyFill="1" applyBorder="1" applyAlignment="1">
      <alignment horizontal="center" vertical="top"/>
    </xf>
    <xf numFmtId="164" fontId="6" fillId="3" borderId="19" xfId="0" applyNumberFormat="1" applyFont="1" applyFill="1" applyBorder="1" applyAlignment="1">
      <alignment horizontal="center" vertical="top"/>
    </xf>
    <xf numFmtId="164" fontId="6" fillId="3" borderId="31" xfId="0" applyNumberFormat="1" applyFont="1" applyFill="1" applyBorder="1" applyAlignment="1">
      <alignment horizontal="center" vertical="top"/>
    </xf>
    <xf numFmtId="164" fontId="6" fillId="5" borderId="29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4" fillId="3" borderId="19" xfId="0" applyNumberFormat="1" applyFont="1" applyFill="1" applyBorder="1" applyAlignment="1">
      <alignment horizontal="center" vertical="top"/>
    </xf>
    <xf numFmtId="165" fontId="6" fillId="5" borderId="54" xfId="0" applyNumberFormat="1" applyFont="1" applyFill="1" applyBorder="1" applyAlignment="1">
      <alignment horizontal="center" vertical="top" wrapText="1"/>
    </xf>
    <xf numFmtId="165" fontId="6" fillId="5" borderId="56" xfId="0" applyNumberFormat="1" applyFont="1" applyFill="1" applyBorder="1" applyAlignment="1">
      <alignment horizontal="center" vertical="top" wrapText="1"/>
    </xf>
    <xf numFmtId="165" fontId="6" fillId="5" borderId="21" xfId="0" applyNumberFormat="1" applyFont="1" applyFill="1" applyBorder="1" applyAlignment="1">
      <alignment horizontal="center" vertical="top" wrapText="1"/>
    </xf>
    <xf numFmtId="165" fontId="3" fillId="5" borderId="61" xfId="0" applyNumberFormat="1" applyFont="1" applyFill="1" applyBorder="1" applyAlignment="1">
      <alignment horizontal="center" vertical="top" wrapText="1"/>
    </xf>
    <xf numFmtId="165" fontId="3" fillId="5" borderId="24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/>
    </xf>
    <xf numFmtId="165" fontId="1" fillId="3" borderId="47" xfId="0" applyNumberFormat="1" applyFont="1" applyFill="1" applyBorder="1" applyAlignment="1">
      <alignment horizontal="center" vertical="top" wrapText="1"/>
    </xf>
    <xf numFmtId="165" fontId="1" fillId="3" borderId="52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3" fontId="1" fillId="3" borderId="40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1" fillId="3" borderId="38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center" textRotation="90" wrapText="1"/>
    </xf>
    <xf numFmtId="164" fontId="1" fillId="3" borderId="30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3" borderId="30" xfId="0" applyNumberFormat="1" applyFont="1" applyFill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top"/>
    </xf>
    <xf numFmtId="164" fontId="3" fillId="3" borderId="18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/>
    </xf>
    <xf numFmtId="164" fontId="3" fillId="3" borderId="30" xfId="0" applyNumberFormat="1" applyFont="1" applyFill="1" applyBorder="1" applyAlignment="1">
      <alignment horizontal="center" vertical="top"/>
    </xf>
    <xf numFmtId="164" fontId="3" fillId="3" borderId="4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3" borderId="34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18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/>
    </xf>
    <xf numFmtId="164" fontId="4" fillId="0" borderId="34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6" fillId="2" borderId="62" xfId="0" applyNumberFormat="1" applyFont="1" applyFill="1" applyBorder="1" applyAlignment="1">
      <alignment horizontal="center" vertical="top"/>
    </xf>
    <xf numFmtId="3" fontId="6" fillId="3" borderId="49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vertical="center" textRotation="90" wrapText="1"/>
    </xf>
    <xf numFmtId="3" fontId="14" fillId="0" borderId="49" xfId="0" applyNumberFormat="1" applyFont="1" applyFill="1" applyBorder="1" applyAlignment="1">
      <alignment vertical="center" textRotation="90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/>
    </xf>
    <xf numFmtId="165" fontId="1" fillId="3" borderId="13" xfId="0" applyNumberFormat="1" applyFont="1" applyFill="1" applyBorder="1" applyAlignment="1">
      <alignment horizontal="center" vertical="top"/>
    </xf>
    <xf numFmtId="165" fontId="1" fillId="3" borderId="53" xfId="0" applyNumberFormat="1" applyFont="1" applyFill="1" applyBorder="1" applyAlignment="1">
      <alignment horizontal="center" vertical="top"/>
    </xf>
    <xf numFmtId="165" fontId="1" fillId="3" borderId="30" xfId="0" applyNumberFormat="1" applyFont="1" applyFill="1" applyBorder="1" applyAlignment="1">
      <alignment horizontal="center" vertical="top"/>
    </xf>
    <xf numFmtId="165" fontId="1" fillId="3" borderId="43" xfId="0" applyNumberFormat="1" applyFont="1" applyFill="1" applyBorder="1" applyAlignment="1">
      <alignment horizontal="center" vertical="top"/>
    </xf>
    <xf numFmtId="165" fontId="1" fillId="3" borderId="50" xfId="0" applyNumberFormat="1" applyFont="1" applyFill="1" applyBorder="1" applyAlignment="1">
      <alignment horizontal="center" vertical="top"/>
    </xf>
    <xf numFmtId="165" fontId="1" fillId="3" borderId="49" xfId="0" applyNumberFormat="1" applyFont="1" applyFill="1" applyBorder="1" applyAlignment="1">
      <alignment horizontal="center" vertical="top"/>
    </xf>
    <xf numFmtId="165" fontId="4" fillId="3" borderId="0" xfId="0" applyNumberFormat="1" applyFont="1" applyFill="1" applyBorder="1" applyAlignment="1">
      <alignment horizontal="center" vertical="top"/>
    </xf>
    <xf numFmtId="165" fontId="4" fillId="3" borderId="13" xfId="0" applyNumberFormat="1" applyFont="1" applyFill="1" applyBorder="1" applyAlignment="1">
      <alignment horizontal="center" vertical="top"/>
    </xf>
    <xf numFmtId="165" fontId="4" fillId="3" borderId="50" xfId="0" applyNumberFormat="1" applyFont="1" applyFill="1" applyBorder="1" applyAlignment="1">
      <alignment horizontal="center" vertical="top"/>
    </xf>
    <xf numFmtId="165" fontId="4" fillId="3" borderId="49" xfId="0" applyNumberFormat="1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 vertical="top"/>
    </xf>
    <xf numFmtId="165" fontId="15" fillId="3" borderId="43" xfId="0" applyNumberFormat="1" applyFont="1" applyFill="1" applyBorder="1" applyAlignment="1">
      <alignment horizontal="center" vertical="top"/>
    </xf>
    <xf numFmtId="165" fontId="15" fillId="3" borderId="44" xfId="0" applyNumberFormat="1" applyFont="1" applyFill="1" applyBorder="1" applyAlignment="1">
      <alignment horizontal="center" vertical="top" wrapText="1"/>
    </xf>
    <xf numFmtId="165" fontId="4" fillId="3" borderId="53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vertical="top" wrapText="1"/>
    </xf>
    <xf numFmtId="49" fontId="4" fillId="3" borderId="60" xfId="0" applyNumberFormat="1" applyFont="1" applyFill="1" applyBorder="1" applyAlignment="1">
      <alignment horizontal="center" vertical="top"/>
    </xf>
    <xf numFmtId="3" fontId="4" fillId="3" borderId="36" xfId="0" applyNumberFormat="1" applyFont="1" applyFill="1" applyBorder="1" applyAlignment="1">
      <alignment vertical="top" wrapText="1"/>
    </xf>
    <xf numFmtId="164" fontId="1" fillId="3" borderId="7" xfId="0" applyNumberFormat="1" applyFont="1" applyFill="1" applyBorder="1" applyAlignment="1">
      <alignment horizontal="center" vertical="top" wrapText="1"/>
    </xf>
    <xf numFmtId="3" fontId="4" fillId="3" borderId="14" xfId="0" applyNumberFormat="1" applyFont="1" applyFill="1" applyBorder="1" applyAlignment="1">
      <alignment horizontal="center" vertical="top" wrapText="1"/>
    </xf>
    <xf numFmtId="3" fontId="21" fillId="3" borderId="16" xfId="0" applyNumberFormat="1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center"/>
    </xf>
    <xf numFmtId="164" fontId="4" fillId="3" borderId="53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 wrapText="1"/>
    </xf>
    <xf numFmtId="164" fontId="1" fillId="3" borderId="18" xfId="0" applyNumberFormat="1" applyFont="1" applyFill="1" applyBorder="1" applyAlignment="1">
      <alignment horizontal="center" vertical="top" wrapText="1"/>
    </xf>
    <xf numFmtId="164" fontId="1" fillId="3" borderId="30" xfId="0" applyNumberFormat="1" applyFont="1" applyFill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4" fillId="0" borderId="50" xfId="0" applyNumberFormat="1" applyFont="1" applyBorder="1" applyAlignment="1">
      <alignment horizontal="center" vertical="top" wrapText="1"/>
    </xf>
    <xf numFmtId="164" fontId="4" fillId="0" borderId="49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43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3" borderId="50" xfId="0" applyNumberFormat="1" applyFont="1" applyFill="1" applyBorder="1" applyAlignment="1">
      <alignment horizontal="center" vertical="top" wrapText="1"/>
    </xf>
    <xf numFmtId="164" fontId="1" fillId="3" borderId="49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30" xfId="0" applyNumberFormat="1" applyFont="1" applyBorder="1" applyAlignment="1">
      <alignment horizontal="center" vertical="top" wrapText="1"/>
    </xf>
    <xf numFmtId="164" fontId="4" fillId="0" borderId="43" xfId="0" applyNumberFormat="1" applyFont="1" applyBorder="1" applyAlignment="1">
      <alignment horizontal="center" vertical="top" wrapText="1"/>
    </xf>
    <xf numFmtId="164" fontId="4" fillId="3" borderId="53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/>
    </xf>
    <xf numFmtId="164" fontId="1" fillId="3" borderId="5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textRotation="90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3" borderId="14" xfId="0" applyNumberFormat="1" applyFont="1" applyFill="1" applyBorder="1" applyAlignment="1">
      <alignment horizontal="center" vertical="top" wrapText="1"/>
    </xf>
    <xf numFmtId="164" fontId="1" fillId="3" borderId="17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9" fontId="4" fillId="0" borderId="47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3" borderId="63" xfId="0" applyNumberFormat="1" applyFont="1" applyFill="1" applyBorder="1" applyAlignment="1">
      <alignment horizontal="center" vertical="top"/>
    </xf>
    <xf numFmtId="3" fontId="3" fillId="3" borderId="43" xfId="0" applyNumberFormat="1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left" vertical="top" wrapText="1"/>
    </xf>
    <xf numFmtId="49" fontId="4" fillId="3" borderId="14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 wrapText="1"/>
    </xf>
    <xf numFmtId="49" fontId="4" fillId="3" borderId="18" xfId="1" applyNumberFormat="1" applyFont="1" applyFill="1" applyBorder="1" applyAlignment="1">
      <alignment horizontal="center" vertical="top" wrapText="1"/>
    </xf>
    <xf numFmtId="49" fontId="4" fillId="3" borderId="12" xfId="1" applyNumberFormat="1" applyFont="1" applyFill="1" applyBorder="1" applyAlignment="1">
      <alignment horizontal="center" vertical="top" wrapText="1"/>
    </xf>
    <xf numFmtId="164" fontId="4" fillId="3" borderId="46" xfId="0" applyNumberFormat="1" applyFont="1" applyFill="1" applyBorder="1" applyAlignment="1">
      <alignment horizontal="center" vertical="top"/>
    </xf>
    <xf numFmtId="49" fontId="4" fillId="3" borderId="30" xfId="1" applyNumberFormat="1" applyFont="1" applyFill="1" applyBorder="1" applyAlignment="1">
      <alignment horizontal="center" vertical="top" wrapText="1"/>
    </xf>
    <xf numFmtId="49" fontId="4" fillId="3" borderId="43" xfId="1" applyNumberFormat="1" applyFont="1" applyFill="1" applyBorder="1" applyAlignment="1">
      <alignment horizontal="center" vertical="top" wrapText="1"/>
    </xf>
    <xf numFmtId="49" fontId="1" fillId="3" borderId="63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vertical="top" wrapText="1"/>
    </xf>
    <xf numFmtId="49" fontId="1" fillId="3" borderId="14" xfId="0" applyNumberFormat="1" applyFont="1" applyFill="1" applyBorder="1" applyAlignment="1">
      <alignment horizontal="center" vertical="top"/>
    </xf>
    <xf numFmtId="3" fontId="1" fillId="3" borderId="53" xfId="0" applyNumberFormat="1" applyFont="1" applyFill="1" applyBorder="1" applyAlignment="1">
      <alignment vertical="top" wrapText="1"/>
    </xf>
    <xf numFmtId="49" fontId="1" fillId="3" borderId="65" xfId="0" applyNumberFormat="1" applyFont="1" applyFill="1" applyBorder="1" applyAlignment="1">
      <alignment horizontal="center" vertical="top"/>
    </xf>
    <xf numFmtId="164" fontId="1" fillId="3" borderId="47" xfId="0" applyNumberFormat="1" applyFont="1" applyFill="1" applyBorder="1" applyAlignment="1">
      <alignment horizontal="center" vertical="top" wrapText="1"/>
    </xf>
    <xf numFmtId="164" fontId="1" fillId="3" borderId="52" xfId="0" applyNumberFormat="1" applyFont="1" applyFill="1" applyBorder="1" applyAlignment="1">
      <alignment horizontal="center" vertical="top" wrapText="1"/>
    </xf>
    <xf numFmtId="3" fontId="6" fillId="3" borderId="63" xfId="0" applyNumberFormat="1" applyFont="1" applyFill="1" applyBorder="1" applyAlignment="1">
      <alignment horizontal="center" vertical="top" wrapText="1"/>
    </xf>
    <xf numFmtId="49" fontId="1" fillId="3" borderId="53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textRotation="180" wrapText="1"/>
    </xf>
    <xf numFmtId="49" fontId="1" fillId="3" borderId="52" xfId="0" applyNumberFormat="1" applyFont="1" applyFill="1" applyBorder="1" applyAlignment="1">
      <alignment horizontal="center" vertical="top" wrapText="1"/>
    </xf>
    <xf numFmtId="3" fontId="1" fillId="3" borderId="65" xfId="0" applyNumberFormat="1" applyFont="1" applyFill="1" applyBorder="1" applyAlignment="1">
      <alignment horizontal="center" vertical="top" textRotation="180" wrapText="1"/>
    </xf>
    <xf numFmtId="3" fontId="1" fillId="3" borderId="41" xfId="0" applyNumberFormat="1" applyFont="1" applyFill="1" applyBorder="1" applyAlignment="1">
      <alignment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3" fontId="6" fillId="3" borderId="14" xfId="0" applyNumberFormat="1" applyFont="1" applyFill="1" applyBorder="1" applyAlignment="1">
      <alignment horizontal="center" vertical="top" wrapText="1"/>
    </xf>
    <xf numFmtId="3" fontId="25" fillId="3" borderId="43" xfId="0" applyNumberFormat="1" applyFont="1" applyFill="1" applyBorder="1" applyAlignment="1">
      <alignment horizontal="center" vertical="top" wrapText="1"/>
    </xf>
    <xf numFmtId="3" fontId="6" fillId="3" borderId="65" xfId="0" applyNumberFormat="1" applyFont="1" applyFill="1" applyBorder="1" applyAlignment="1">
      <alignment horizontal="center" vertical="top" wrapText="1"/>
    </xf>
    <xf numFmtId="3" fontId="1" fillId="3" borderId="29" xfId="0" applyNumberFormat="1" applyFont="1" applyFill="1" applyBorder="1" applyAlignment="1">
      <alignment horizontal="left" vertical="top" wrapText="1"/>
    </xf>
    <xf numFmtId="3" fontId="6" fillId="3" borderId="17" xfId="0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center"/>
    </xf>
    <xf numFmtId="164" fontId="4" fillId="10" borderId="45" xfId="1" applyNumberFormat="1" applyFont="1" applyFill="1" applyBorder="1" applyAlignment="1">
      <alignment horizontal="center" vertical="top"/>
    </xf>
    <xf numFmtId="164" fontId="4" fillId="10" borderId="46" xfId="1" applyNumberFormat="1" applyFont="1" applyFill="1" applyBorder="1" applyAlignment="1">
      <alignment horizontal="center" vertical="top"/>
    </xf>
    <xf numFmtId="164" fontId="4" fillId="10" borderId="47" xfId="1" applyNumberFormat="1" applyFont="1" applyFill="1" applyBorder="1" applyAlignment="1">
      <alignment horizontal="center" vertical="top"/>
    </xf>
    <xf numFmtId="164" fontId="4" fillId="3" borderId="50" xfId="0" applyNumberFormat="1" applyFont="1" applyFill="1" applyBorder="1" applyAlignment="1">
      <alignment horizontal="center" vertical="top" wrapText="1"/>
    </xf>
    <xf numFmtId="164" fontId="4" fillId="10" borderId="52" xfId="1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53" xfId="0" applyNumberFormat="1" applyFont="1" applyFill="1" applyBorder="1" applyAlignment="1">
      <alignment horizontal="center" vertical="top"/>
    </xf>
    <xf numFmtId="164" fontId="4" fillId="10" borderId="19" xfId="1" applyNumberFormat="1" applyFont="1" applyFill="1" applyBorder="1" applyAlignment="1">
      <alignment horizontal="center" vertical="top"/>
    </xf>
    <xf numFmtId="164" fontId="4" fillId="10" borderId="72" xfId="1" applyNumberFormat="1" applyFont="1" applyFill="1" applyBorder="1" applyAlignment="1">
      <alignment horizontal="center" vertical="top"/>
    </xf>
    <xf numFmtId="164" fontId="4" fillId="10" borderId="39" xfId="1" applyNumberFormat="1" applyFont="1" applyFill="1" applyBorder="1" applyAlignment="1">
      <alignment horizontal="center" vertical="top"/>
    </xf>
    <xf numFmtId="164" fontId="4" fillId="10" borderId="31" xfId="1" applyNumberFormat="1" applyFont="1" applyFill="1" applyBorder="1" applyAlignment="1">
      <alignment horizontal="center" vertical="top"/>
    </xf>
    <xf numFmtId="164" fontId="4" fillId="4" borderId="34" xfId="0" applyNumberFormat="1" applyFont="1" applyFill="1" applyBorder="1" applyAlignment="1">
      <alignment horizontal="center" vertical="top" wrapText="1"/>
    </xf>
    <xf numFmtId="3" fontId="3" fillId="3" borderId="47" xfId="0" applyNumberFormat="1" applyFont="1" applyFill="1" applyBorder="1" applyAlignment="1">
      <alignment horizontal="center" vertical="top"/>
    </xf>
    <xf numFmtId="3" fontId="3" fillId="3" borderId="52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center" vertical="top" wrapText="1"/>
    </xf>
    <xf numFmtId="3" fontId="6" fillId="0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3" fontId="6" fillId="0" borderId="60" xfId="0" applyNumberFormat="1" applyFont="1" applyFill="1" applyBorder="1" applyAlignment="1">
      <alignment horizontal="center" vertical="top" wrapText="1"/>
    </xf>
    <xf numFmtId="3" fontId="6" fillId="5" borderId="40" xfId="0" applyNumberFormat="1" applyFont="1" applyFill="1" applyBorder="1" applyAlignment="1">
      <alignment horizontal="center" vertical="top"/>
    </xf>
    <xf numFmtId="164" fontId="6" fillId="5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6" fillId="5" borderId="13" xfId="0" applyNumberFormat="1" applyFont="1" applyFill="1" applyBorder="1" applyAlignment="1">
      <alignment horizontal="center" vertical="top"/>
    </xf>
    <xf numFmtId="164" fontId="6" fillId="5" borderId="15" xfId="0" applyNumberFormat="1" applyFont="1" applyFill="1" applyBorder="1" applyAlignment="1">
      <alignment horizontal="center" vertical="top"/>
    </xf>
    <xf numFmtId="49" fontId="1" fillId="3" borderId="46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vertical="top" wrapText="1"/>
    </xf>
    <xf numFmtId="3" fontId="4" fillId="0" borderId="72" xfId="0" applyNumberFormat="1" applyFont="1" applyFill="1" applyBorder="1" applyAlignment="1">
      <alignment vertical="top" wrapText="1"/>
    </xf>
    <xf numFmtId="3" fontId="4" fillId="3" borderId="45" xfId="0" applyNumberFormat="1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3" borderId="26" xfId="0" applyNumberFormat="1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center" vertical="top" wrapText="1"/>
    </xf>
    <xf numFmtId="3" fontId="4" fillId="3" borderId="73" xfId="0" applyNumberFormat="1" applyFont="1" applyFill="1" applyBorder="1" applyAlignment="1">
      <alignment horizontal="center" vertical="top" wrapText="1"/>
    </xf>
    <xf numFmtId="165" fontId="3" fillId="5" borderId="22" xfId="0" applyNumberFormat="1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vertical="top"/>
    </xf>
    <xf numFmtId="3" fontId="4" fillId="3" borderId="24" xfId="0" applyNumberFormat="1" applyFont="1" applyFill="1" applyBorder="1" applyAlignment="1">
      <alignment vertical="top"/>
    </xf>
    <xf numFmtId="164" fontId="4" fillId="3" borderId="50" xfId="0" applyNumberFormat="1" applyFont="1" applyFill="1" applyBorder="1" applyAlignment="1">
      <alignment horizontal="center" vertical="top"/>
    </xf>
    <xf numFmtId="164" fontId="4" fillId="3" borderId="49" xfId="0" applyNumberFormat="1" applyFont="1" applyFill="1" applyBorder="1" applyAlignment="1">
      <alignment horizontal="center" vertical="top"/>
    </xf>
    <xf numFmtId="164" fontId="1" fillId="3" borderId="50" xfId="0" applyNumberFormat="1" applyFont="1" applyFill="1" applyBorder="1" applyAlignment="1">
      <alignment horizontal="center" vertical="top"/>
    </xf>
    <xf numFmtId="164" fontId="4" fillId="3" borderId="48" xfId="0" applyNumberFormat="1" applyFont="1" applyFill="1" applyBorder="1" applyAlignment="1">
      <alignment horizontal="center" vertical="top"/>
    </xf>
    <xf numFmtId="164" fontId="4" fillId="3" borderId="29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3" fontId="1" fillId="3" borderId="53" xfId="0" applyNumberFormat="1" applyFont="1" applyFill="1" applyBorder="1" applyAlignment="1">
      <alignment horizontal="center" vertical="top"/>
    </xf>
    <xf numFmtId="3" fontId="24" fillId="3" borderId="43" xfId="0" applyNumberFormat="1" applyFont="1" applyFill="1" applyBorder="1" applyAlignment="1">
      <alignment horizontal="center" vertical="top" wrapText="1"/>
    </xf>
    <xf numFmtId="3" fontId="24" fillId="3" borderId="44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textRotation="180" wrapText="1"/>
    </xf>
    <xf numFmtId="3" fontId="1" fillId="3" borderId="51" xfId="0" applyNumberFormat="1" applyFont="1" applyFill="1" applyBorder="1" applyAlignment="1">
      <alignment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top"/>
    </xf>
    <xf numFmtId="164" fontId="2" fillId="0" borderId="0" xfId="0" applyNumberFormat="1" applyFont="1" applyAlignment="1"/>
    <xf numFmtId="3" fontId="4" fillId="3" borderId="11" xfId="0" applyNumberFormat="1" applyFont="1" applyFill="1" applyBorder="1" applyAlignment="1">
      <alignment horizontal="center" vertical="top" wrapText="1"/>
    </xf>
    <xf numFmtId="3" fontId="3" fillId="5" borderId="61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164" fontId="4" fillId="3" borderId="47" xfId="0" applyNumberFormat="1" applyFont="1" applyFill="1" applyBorder="1" applyAlignment="1">
      <alignment horizontal="center" vertical="top" wrapText="1"/>
    </xf>
    <xf numFmtId="164" fontId="4" fillId="10" borderId="15" xfId="1" applyNumberFormat="1" applyFont="1" applyFill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center" vertical="top" wrapText="1"/>
    </xf>
    <xf numFmtId="3" fontId="6" fillId="0" borderId="59" xfId="0" applyNumberFormat="1" applyFont="1" applyFill="1" applyBorder="1" applyAlignment="1">
      <alignment horizontal="center" vertical="top" wrapText="1"/>
    </xf>
    <xf numFmtId="3" fontId="6" fillId="3" borderId="66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Border="1" applyAlignment="1">
      <alignment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4" fontId="3" fillId="5" borderId="30" xfId="0" applyNumberFormat="1" applyFont="1" applyFill="1" applyBorder="1" applyAlignment="1">
      <alignment horizontal="center" vertical="top"/>
    </xf>
    <xf numFmtId="164" fontId="1" fillId="3" borderId="48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1" fillId="3" borderId="48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1" fillId="3" borderId="45" xfId="0" applyNumberFormat="1" applyFont="1" applyFill="1" applyBorder="1" applyAlignment="1">
      <alignment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/>
    </xf>
    <xf numFmtId="49" fontId="4" fillId="3" borderId="59" xfId="0" applyNumberFormat="1" applyFont="1" applyFill="1" applyBorder="1" applyAlignment="1">
      <alignment horizontal="center" vertical="top"/>
    </xf>
    <xf numFmtId="3" fontId="4" fillId="3" borderId="58" xfId="0" applyNumberFormat="1" applyFont="1" applyFill="1" applyBorder="1" applyAlignment="1">
      <alignment vertical="top" wrapText="1"/>
    </xf>
    <xf numFmtId="3" fontId="4" fillId="3" borderId="22" xfId="0" applyNumberFormat="1" applyFont="1" applyFill="1" applyBorder="1" applyAlignment="1">
      <alignment vertical="center" textRotation="90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1" fillId="3" borderId="43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3" fontId="24" fillId="0" borderId="0" xfId="0" applyNumberFormat="1" applyFont="1" applyBorder="1" applyAlignment="1">
      <alignment vertical="top"/>
    </xf>
    <xf numFmtId="3" fontId="4" fillId="3" borderId="49" xfId="0" applyNumberFormat="1" applyFont="1" applyFill="1" applyBorder="1" applyAlignment="1">
      <alignment vertical="top" wrapText="1"/>
    </xf>
    <xf numFmtId="3" fontId="4" fillId="3" borderId="52" xfId="0" applyNumberFormat="1" applyFont="1" applyFill="1" applyBorder="1" applyAlignment="1">
      <alignment vertical="top" wrapText="1"/>
    </xf>
    <xf numFmtId="165" fontId="1" fillId="3" borderId="48" xfId="0" applyNumberFormat="1" applyFont="1" applyFill="1" applyBorder="1" applyAlignment="1">
      <alignment horizontal="center" vertical="top" wrapText="1"/>
    </xf>
    <xf numFmtId="0" fontId="13" fillId="3" borderId="40" xfId="0" applyFont="1" applyFill="1" applyBorder="1" applyAlignment="1">
      <alignment horizontal="center" vertical="top" wrapText="1"/>
    </xf>
    <xf numFmtId="3" fontId="1" fillId="3" borderId="61" xfId="0" applyNumberFormat="1" applyFont="1" applyFill="1" applyBorder="1" applyAlignment="1">
      <alignment horizontal="center" vertical="top" wrapText="1"/>
    </xf>
    <xf numFmtId="3" fontId="21" fillId="3" borderId="50" xfId="0" applyNumberFormat="1" applyFont="1" applyFill="1" applyBorder="1" applyAlignment="1">
      <alignment horizontal="center" vertical="top" wrapText="1"/>
    </xf>
    <xf numFmtId="3" fontId="21" fillId="3" borderId="49" xfId="0" applyNumberFormat="1" applyFont="1" applyFill="1" applyBorder="1" applyAlignment="1">
      <alignment horizontal="center" vertical="top" wrapText="1"/>
    </xf>
    <xf numFmtId="3" fontId="21" fillId="3" borderId="52" xfId="0" applyNumberFormat="1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top" wrapText="1"/>
    </xf>
    <xf numFmtId="0" fontId="28" fillId="3" borderId="13" xfId="0" applyFont="1" applyFill="1" applyBorder="1" applyAlignment="1">
      <alignment horizontal="center" vertical="top" wrapText="1"/>
    </xf>
    <xf numFmtId="0" fontId="28" fillId="3" borderId="53" xfId="0" applyFont="1" applyFill="1" applyBorder="1" applyAlignment="1">
      <alignment horizontal="center" vertical="top" wrapText="1"/>
    </xf>
    <xf numFmtId="3" fontId="15" fillId="3" borderId="40" xfId="0" applyNumberFormat="1" applyFont="1" applyFill="1" applyBorder="1" applyAlignment="1">
      <alignment vertical="top" wrapText="1"/>
    </xf>
    <xf numFmtId="3" fontId="3" fillId="3" borderId="6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3" fontId="3" fillId="3" borderId="65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28" fillId="3" borderId="29" xfId="0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Border="1" applyAlignment="1">
      <alignment horizontal="center" vertical="top"/>
    </xf>
    <xf numFmtId="164" fontId="15" fillId="3" borderId="16" xfId="0" applyNumberFormat="1" applyFont="1" applyFill="1" applyBorder="1" applyAlignment="1">
      <alignment horizontal="center" vertical="top" wrapText="1"/>
    </xf>
    <xf numFmtId="165" fontId="15" fillId="3" borderId="0" xfId="0" applyNumberFormat="1" applyFont="1" applyFill="1" applyBorder="1" applyAlignment="1">
      <alignment horizontal="center" vertical="top"/>
    </xf>
    <xf numFmtId="165" fontId="15" fillId="3" borderId="13" xfId="0" applyNumberFormat="1" applyFont="1" applyFill="1" applyBorder="1" applyAlignment="1">
      <alignment horizontal="center" vertical="top"/>
    </xf>
    <xf numFmtId="165" fontId="15" fillId="3" borderId="53" xfId="0" applyNumberFormat="1" applyFont="1" applyFill="1" applyBorder="1" applyAlignment="1">
      <alignment horizontal="center" vertical="top" wrapText="1"/>
    </xf>
    <xf numFmtId="3" fontId="15" fillId="3" borderId="41" xfId="0" applyNumberFormat="1" applyFont="1" applyFill="1" applyBorder="1" applyAlignment="1">
      <alignment horizontal="center" vertical="top"/>
    </xf>
    <xf numFmtId="3" fontId="4" fillId="3" borderId="38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/>
    </xf>
    <xf numFmtId="3" fontId="4" fillId="3" borderId="13" xfId="0" applyNumberFormat="1" applyFont="1" applyFill="1" applyBorder="1" applyAlignment="1">
      <alignment horizontal="center" vertical="top" wrapText="1"/>
    </xf>
    <xf numFmtId="165" fontId="1" fillId="3" borderId="46" xfId="0" applyNumberFormat="1" applyFont="1" applyFill="1" applyBorder="1" applyAlignment="1">
      <alignment horizontal="center" vertical="top"/>
    </xf>
    <xf numFmtId="3" fontId="4" fillId="3" borderId="53" xfId="0" applyNumberFormat="1" applyFont="1" applyFill="1" applyBorder="1" applyAlignment="1">
      <alignment horizontal="center" vertical="top" wrapText="1"/>
    </xf>
    <xf numFmtId="165" fontId="1" fillId="3" borderId="18" xfId="0" applyNumberFormat="1" applyFont="1" applyFill="1" applyBorder="1" applyAlignment="1">
      <alignment horizontal="center" vertical="top"/>
    </xf>
    <xf numFmtId="165" fontId="1" fillId="3" borderId="12" xfId="0" applyNumberFormat="1" applyFont="1" applyFill="1" applyBorder="1" applyAlignment="1">
      <alignment horizontal="center" vertical="top"/>
    </xf>
    <xf numFmtId="3" fontId="4" fillId="0" borderId="43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0" fontId="4" fillId="3" borderId="44" xfId="0" applyFont="1" applyFill="1" applyBorder="1" applyAlignment="1">
      <alignment horizontal="center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49" fontId="1" fillId="3" borderId="46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164" fontId="4" fillId="10" borderId="16" xfId="1" applyNumberFormat="1" applyFont="1" applyFill="1" applyBorder="1" applyAlignment="1">
      <alignment horizontal="center" vertical="top"/>
    </xf>
    <xf numFmtId="164" fontId="4" fillId="3" borderId="38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4" fontId="4" fillId="10" borderId="47" xfId="1" applyNumberFormat="1" applyFont="1" applyFill="1" applyBorder="1" applyAlignment="1">
      <alignment vertical="top"/>
    </xf>
    <xf numFmtId="164" fontId="4" fillId="3" borderId="51" xfId="0" applyNumberFormat="1" applyFont="1" applyFill="1" applyBorder="1" applyAlignment="1">
      <alignment vertical="top" wrapText="1"/>
    </xf>
    <xf numFmtId="164" fontId="4" fillId="10" borderId="53" xfId="1" applyNumberFormat="1" applyFont="1" applyFill="1" applyBorder="1" applyAlignment="1">
      <alignment vertical="top"/>
    </xf>
    <xf numFmtId="164" fontId="4" fillId="10" borderId="52" xfId="1" applyNumberFormat="1" applyFont="1" applyFill="1" applyBorder="1" applyAlignment="1">
      <alignment vertical="top"/>
    </xf>
    <xf numFmtId="3" fontId="4" fillId="3" borderId="13" xfId="0" applyNumberFormat="1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horizontal="center" vertical="top" wrapText="1"/>
    </xf>
    <xf numFmtId="3" fontId="4" fillId="3" borderId="12" xfId="0" applyNumberFormat="1" applyFont="1" applyFill="1" applyBorder="1" applyAlignment="1">
      <alignment vertical="top" wrapText="1"/>
    </xf>
    <xf numFmtId="164" fontId="4" fillId="10" borderId="46" xfId="1" applyNumberFormat="1" applyFont="1" applyFill="1" applyBorder="1" applyAlignment="1">
      <alignment vertical="top"/>
    </xf>
    <xf numFmtId="3" fontId="4" fillId="3" borderId="44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1" fillId="3" borderId="43" xfId="0" applyNumberFormat="1" applyFont="1" applyFill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center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horizontal="center" vertical="top" wrapText="1"/>
    </xf>
    <xf numFmtId="3" fontId="4" fillId="3" borderId="47" xfId="0" applyNumberFormat="1" applyFont="1" applyFill="1" applyBorder="1" applyAlignment="1">
      <alignment horizontal="center" vertical="top" wrapText="1"/>
    </xf>
    <xf numFmtId="165" fontId="1" fillId="3" borderId="30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center" vertical="center" textRotation="90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48" xfId="0" applyNumberFormat="1" applyFont="1" applyFill="1" applyBorder="1" applyAlignment="1">
      <alignment horizontal="left" vertical="top" wrapText="1"/>
    </xf>
    <xf numFmtId="0" fontId="4" fillId="3" borderId="50" xfId="0" applyFont="1" applyFill="1" applyBorder="1" applyAlignment="1">
      <alignment horizontal="left"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4" fillId="3" borderId="39" xfId="0" applyNumberFormat="1" applyFont="1" applyFill="1" applyBorder="1" applyAlignment="1">
      <alignment horizontal="left" vertical="top" wrapText="1"/>
    </xf>
    <xf numFmtId="3" fontId="4" fillId="3" borderId="47" xfId="0" applyNumberFormat="1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3" borderId="47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3" fontId="1" fillId="3" borderId="48" xfId="0" applyNumberFormat="1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3" fontId="4" fillId="0" borderId="40" xfId="0" applyNumberFormat="1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3" fontId="6" fillId="0" borderId="5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1" fillId="3" borderId="44" xfId="0" applyNumberFormat="1" applyFont="1" applyFill="1" applyBorder="1" applyAlignment="1">
      <alignment horizontal="center" vertical="top" wrapText="1"/>
    </xf>
    <xf numFmtId="3" fontId="1" fillId="3" borderId="5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3" borderId="40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/>
    </xf>
    <xf numFmtId="49" fontId="1" fillId="3" borderId="44" xfId="0" applyNumberFormat="1" applyFont="1" applyFill="1" applyBorder="1" applyAlignment="1">
      <alignment horizontal="center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49" fontId="4" fillId="3" borderId="44" xfId="0" applyNumberFormat="1" applyFont="1" applyFill="1" applyBorder="1" applyAlignment="1">
      <alignment horizontal="center" vertical="top"/>
    </xf>
    <xf numFmtId="49" fontId="4" fillId="3" borderId="53" xfId="0" applyNumberFormat="1" applyFont="1" applyFill="1" applyBorder="1" applyAlignment="1">
      <alignment horizontal="center" vertical="top"/>
    </xf>
    <xf numFmtId="49" fontId="4" fillId="3" borderId="52" xfId="0" applyNumberFormat="1" applyFont="1" applyFill="1" applyBorder="1" applyAlignment="1">
      <alignment horizontal="center" vertical="top"/>
    </xf>
    <xf numFmtId="3" fontId="4" fillId="3" borderId="29" xfId="0" applyNumberFormat="1" applyFont="1" applyFill="1" applyBorder="1" applyAlignment="1">
      <alignment horizontal="left" vertical="top" wrapText="1"/>
    </xf>
    <xf numFmtId="3" fontId="3" fillId="3" borderId="40" xfId="0" applyNumberFormat="1" applyFont="1" applyFill="1" applyBorder="1" applyAlignment="1">
      <alignment horizontal="left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horizontal="center" vertical="top" wrapText="1"/>
    </xf>
    <xf numFmtId="0" fontId="4" fillId="3" borderId="47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top"/>
    </xf>
    <xf numFmtId="164" fontId="4" fillId="3" borderId="47" xfId="0" applyNumberFormat="1" applyFont="1" applyFill="1" applyBorder="1" applyAlignment="1">
      <alignment horizontal="center" vertical="top"/>
    </xf>
    <xf numFmtId="164" fontId="4" fillId="3" borderId="52" xfId="0" applyNumberFormat="1" applyFont="1" applyFill="1" applyBorder="1" applyAlignment="1">
      <alignment horizontal="center" vertical="top"/>
    </xf>
    <xf numFmtId="3" fontId="4" fillId="3" borderId="7" xfId="0" applyNumberFormat="1" applyFont="1" applyFill="1" applyBorder="1" applyAlignment="1">
      <alignment horizontal="center" vertical="top"/>
    </xf>
    <xf numFmtId="3" fontId="4" fillId="3" borderId="47" xfId="0" applyNumberFormat="1" applyFont="1" applyFill="1" applyBorder="1" applyAlignment="1">
      <alignment horizontal="center" vertical="top"/>
    </xf>
    <xf numFmtId="3" fontId="9" fillId="0" borderId="0" xfId="0" applyNumberFormat="1" applyFont="1" applyAlignment="1">
      <alignment horizontal="left" vertical="top" wrapText="1"/>
    </xf>
    <xf numFmtId="3" fontId="4" fillId="0" borderId="50" xfId="0" applyNumberFormat="1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0" borderId="61" xfId="0" applyNumberFormat="1" applyFont="1" applyBorder="1" applyAlignment="1">
      <alignment horizontal="center" vertical="center" textRotation="90" wrapText="1"/>
    </xf>
    <xf numFmtId="0" fontId="13" fillId="0" borderId="50" xfId="0" applyFont="1" applyBorder="1" applyAlignment="1"/>
    <xf numFmtId="0" fontId="13" fillId="0" borderId="50" xfId="0" applyFont="1" applyBorder="1" applyAlignment="1">
      <alignment horizontal="center" vertical="top"/>
    </xf>
    <xf numFmtId="164" fontId="23" fillId="3" borderId="50" xfId="0" applyNumberFormat="1" applyFont="1" applyFill="1" applyBorder="1" applyAlignment="1">
      <alignment horizontal="center" vertical="top"/>
    </xf>
    <xf numFmtId="3" fontId="4" fillId="3" borderId="40" xfId="0" applyNumberFormat="1" applyFont="1" applyFill="1" applyBorder="1" applyAlignment="1">
      <alignment horizontal="left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horizontal="left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6" fillId="3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6" fillId="0" borderId="63" xfId="0" applyNumberFormat="1" applyFont="1" applyFill="1" applyBorder="1" applyAlignment="1">
      <alignment horizontal="center" vertical="top" wrapText="1"/>
    </xf>
    <xf numFmtId="3" fontId="14" fillId="0" borderId="14" xfId="0" applyNumberFormat="1" applyFont="1" applyFill="1" applyBorder="1" applyAlignment="1">
      <alignment vertical="center" textRotation="90" wrapText="1"/>
    </xf>
    <xf numFmtId="3" fontId="6" fillId="0" borderId="65" xfId="0" applyNumberFormat="1" applyFont="1" applyFill="1" applyBorder="1" applyAlignment="1">
      <alignment horizontal="center" vertical="top" wrapText="1"/>
    </xf>
    <xf numFmtId="3" fontId="6" fillId="3" borderId="14" xfId="0" applyNumberFormat="1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center" vertical="top"/>
    </xf>
    <xf numFmtId="3" fontId="6" fillId="5" borderId="16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4" fillId="3" borderId="65" xfId="0" applyNumberFormat="1" applyFont="1" applyFill="1" applyBorder="1" applyAlignment="1">
      <alignment horizontal="center" vertical="center" textRotation="90" wrapText="1"/>
    </xf>
    <xf numFmtId="3" fontId="4" fillId="3" borderId="23" xfId="0" applyNumberFormat="1" applyFont="1" applyFill="1" applyBorder="1" applyAlignment="1">
      <alignment horizontal="center" vertical="center" textRotation="90" wrapText="1"/>
    </xf>
    <xf numFmtId="3" fontId="4" fillId="3" borderId="14" xfId="0" applyNumberFormat="1" applyFont="1" applyFill="1" applyBorder="1" applyAlignment="1">
      <alignment vertical="center" textRotation="90" wrapText="1"/>
    </xf>
    <xf numFmtId="3" fontId="4" fillId="3" borderId="23" xfId="0" applyNumberFormat="1" applyFont="1" applyFill="1" applyBorder="1" applyAlignment="1">
      <alignment vertical="center" textRotation="90" wrapText="1"/>
    </xf>
    <xf numFmtId="164" fontId="3" fillId="5" borderId="0" xfId="0" applyNumberFormat="1" applyFont="1" applyFill="1" applyBorder="1" applyAlignment="1">
      <alignment horizontal="center" vertical="top"/>
    </xf>
    <xf numFmtId="3" fontId="6" fillId="5" borderId="57" xfId="0" applyNumberFormat="1" applyFont="1" applyFill="1" applyBorder="1" applyAlignment="1">
      <alignment horizontal="center" vertical="top"/>
    </xf>
    <xf numFmtId="0" fontId="4" fillId="3" borderId="39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3" fontId="3" fillId="5" borderId="25" xfId="0" applyNumberFormat="1" applyFont="1" applyFill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 textRotation="90"/>
    </xf>
    <xf numFmtId="3" fontId="4" fillId="4" borderId="7" xfId="0" applyNumberFormat="1" applyFont="1" applyFill="1" applyBorder="1" applyAlignment="1">
      <alignment vertical="top" wrapText="1"/>
    </xf>
    <xf numFmtId="0" fontId="4" fillId="3" borderId="45" xfId="0" applyFont="1" applyFill="1" applyBorder="1" applyAlignment="1">
      <alignment vertical="top" wrapText="1"/>
    </xf>
    <xf numFmtId="3" fontId="4" fillId="4" borderId="25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3" borderId="45" xfId="0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vertical="top" wrapText="1"/>
    </xf>
    <xf numFmtId="3" fontId="1" fillId="0" borderId="34" xfId="0" applyNumberFormat="1" applyFont="1" applyBorder="1" applyAlignment="1">
      <alignment horizontal="center" vertical="top" wrapText="1"/>
    </xf>
    <xf numFmtId="1" fontId="1" fillId="3" borderId="30" xfId="0" applyNumberFormat="1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 wrapText="1"/>
    </xf>
    <xf numFmtId="49" fontId="4" fillId="3" borderId="50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/>
    </xf>
    <xf numFmtId="3" fontId="4" fillId="3" borderId="68" xfId="0" applyNumberFormat="1" applyFont="1" applyFill="1" applyBorder="1" applyAlignment="1">
      <alignment horizontal="center" vertical="top" wrapText="1"/>
    </xf>
    <xf numFmtId="3" fontId="4" fillId="3" borderId="71" xfId="0" applyNumberFormat="1" applyFont="1" applyFill="1" applyBorder="1" applyAlignment="1">
      <alignment vertical="top" wrapText="1"/>
    </xf>
    <xf numFmtId="3" fontId="4" fillId="3" borderId="70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3" borderId="45" xfId="0" applyNumberFormat="1" applyFont="1" applyFill="1" applyBorder="1" applyAlignment="1">
      <alignment horizontal="left" vertical="top" wrapText="1"/>
    </xf>
    <xf numFmtId="0" fontId="1" fillId="3" borderId="47" xfId="0" applyFont="1" applyFill="1" applyBorder="1" applyAlignment="1">
      <alignment vertical="top" wrapText="1"/>
    </xf>
    <xf numFmtId="3" fontId="4" fillId="3" borderId="45" xfId="0" applyNumberFormat="1" applyFont="1" applyFill="1" applyBorder="1" applyAlignment="1">
      <alignment horizontal="left" vertical="top" wrapText="1"/>
    </xf>
    <xf numFmtId="0" fontId="1" fillId="3" borderId="39" xfId="0" applyFont="1" applyFill="1" applyBorder="1" applyAlignment="1">
      <alignment vertical="top" wrapText="1"/>
    </xf>
    <xf numFmtId="3" fontId="1" fillId="3" borderId="25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47" xfId="0" applyNumberFormat="1" applyFont="1" applyFill="1" applyBorder="1" applyAlignment="1">
      <alignment vertical="top" wrapText="1"/>
    </xf>
    <xf numFmtId="0" fontId="4" fillId="3" borderId="47" xfId="0" applyFont="1" applyFill="1" applyBorder="1" applyAlignment="1">
      <alignment vertical="top" wrapText="1"/>
    </xf>
    <xf numFmtId="3" fontId="4" fillId="0" borderId="25" xfId="0" applyNumberFormat="1" applyFont="1" applyFill="1" applyBorder="1" applyAlignment="1">
      <alignment vertical="top" wrapText="1"/>
    </xf>
    <xf numFmtId="3" fontId="4" fillId="0" borderId="45" xfId="0" applyNumberFormat="1" applyFont="1" applyFill="1" applyBorder="1" applyAlignment="1">
      <alignment vertical="top" wrapText="1"/>
    </xf>
    <xf numFmtId="3" fontId="4" fillId="4" borderId="39" xfId="0" applyNumberFormat="1" applyFont="1" applyFill="1" applyBorder="1" applyAlignment="1">
      <alignment vertical="top" wrapText="1"/>
    </xf>
    <xf numFmtId="3" fontId="4" fillId="4" borderId="39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vertical="top"/>
    </xf>
    <xf numFmtId="3" fontId="3" fillId="2" borderId="13" xfId="0" applyNumberFormat="1" applyFont="1" applyFill="1" applyBorder="1" applyAlignment="1">
      <alignment vertical="top"/>
    </xf>
    <xf numFmtId="3" fontId="3" fillId="2" borderId="22" xfId="0" applyNumberFormat="1" applyFont="1" applyFill="1" applyBorder="1" applyAlignment="1">
      <alignment vertical="top"/>
    </xf>
    <xf numFmtId="3" fontId="3" fillId="7" borderId="58" xfId="0" applyNumberFormat="1" applyFont="1" applyFill="1" applyBorder="1" applyAlignment="1">
      <alignment vertical="top"/>
    </xf>
    <xf numFmtId="3" fontId="1" fillId="4" borderId="37" xfId="0" applyNumberFormat="1" applyFont="1" applyFill="1" applyBorder="1" applyAlignment="1">
      <alignment horizontal="center" vertical="top"/>
    </xf>
    <xf numFmtId="165" fontId="1" fillId="4" borderId="27" xfId="0" applyNumberFormat="1" applyFont="1" applyFill="1" applyBorder="1" applyAlignment="1">
      <alignment horizontal="center" vertical="top"/>
    </xf>
    <xf numFmtId="165" fontId="1" fillId="4" borderId="3" xfId="0" applyNumberFormat="1" applyFont="1" applyFill="1" applyBorder="1" applyAlignment="1">
      <alignment horizontal="center" vertical="top"/>
    </xf>
    <xf numFmtId="165" fontId="1" fillId="4" borderId="73" xfId="0" applyNumberFormat="1" applyFont="1" applyFill="1" applyBorder="1" applyAlignment="1">
      <alignment horizontal="center" vertical="top"/>
    </xf>
    <xf numFmtId="3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 applyAlignment="1">
      <alignment vertical="top"/>
    </xf>
    <xf numFmtId="3" fontId="30" fillId="3" borderId="16" xfId="0" applyNumberFormat="1" applyFont="1" applyFill="1" applyBorder="1" applyAlignment="1">
      <alignment horizontal="center" vertical="top" wrapText="1"/>
    </xf>
    <xf numFmtId="165" fontId="30" fillId="3" borderId="0" xfId="0" applyNumberFormat="1" applyFont="1" applyFill="1" applyBorder="1" applyAlignment="1">
      <alignment horizontal="center" vertical="top" wrapText="1"/>
    </xf>
    <xf numFmtId="165" fontId="30" fillId="3" borderId="13" xfId="0" applyNumberFormat="1" applyFont="1" applyFill="1" applyBorder="1" applyAlignment="1">
      <alignment horizontal="center" vertical="top" wrapText="1"/>
    </xf>
    <xf numFmtId="165" fontId="30" fillId="3" borderId="53" xfId="0" applyNumberFormat="1" applyFont="1" applyFill="1" applyBorder="1" applyAlignment="1">
      <alignment horizontal="center" vertical="top" wrapText="1"/>
    </xf>
    <xf numFmtId="3" fontId="30" fillId="3" borderId="47" xfId="0" applyNumberFormat="1" applyFont="1" applyFill="1" applyBorder="1" applyAlignment="1">
      <alignment horizontal="center" vertical="top" wrapText="1"/>
    </xf>
    <xf numFmtId="165" fontId="30" fillId="3" borderId="49" xfId="0" applyNumberFormat="1" applyFont="1" applyFill="1" applyBorder="1" applyAlignment="1">
      <alignment horizontal="center" vertical="top" wrapText="1"/>
    </xf>
    <xf numFmtId="165" fontId="30" fillId="3" borderId="52" xfId="0" applyNumberFormat="1" applyFont="1" applyFill="1" applyBorder="1" applyAlignment="1">
      <alignment horizontal="center" vertical="top" wrapText="1"/>
    </xf>
    <xf numFmtId="165" fontId="30" fillId="3" borderId="0" xfId="0" applyNumberFormat="1" applyFont="1" applyFill="1" applyBorder="1" applyAlignment="1">
      <alignment horizontal="center" vertical="top"/>
    </xf>
    <xf numFmtId="165" fontId="30" fillId="3" borderId="13" xfId="0" applyNumberFormat="1" applyFont="1" applyFill="1" applyBorder="1" applyAlignment="1">
      <alignment horizontal="center" vertical="top"/>
    </xf>
    <xf numFmtId="165" fontId="30" fillId="3" borderId="53" xfId="0" applyNumberFormat="1" applyFont="1" applyFill="1" applyBorder="1" applyAlignment="1">
      <alignment horizontal="center" vertical="top"/>
    </xf>
    <xf numFmtId="3" fontId="1" fillId="3" borderId="49" xfId="0" applyNumberFormat="1" applyFont="1" applyFill="1" applyBorder="1" applyAlignment="1">
      <alignment horizontal="center" vertical="top" wrapText="1"/>
    </xf>
    <xf numFmtId="3" fontId="30" fillId="3" borderId="16" xfId="0" applyNumberFormat="1" applyFont="1" applyFill="1" applyBorder="1" applyAlignment="1">
      <alignment horizontal="center" vertical="top"/>
    </xf>
    <xf numFmtId="165" fontId="30" fillId="3" borderId="38" xfId="0" applyNumberFormat="1" applyFont="1" applyFill="1" applyBorder="1" applyAlignment="1">
      <alignment horizontal="center" vertical="top"/>
    </xf>
    <xf numFmtId="165" fontId="30" fillId="3" borderId="51" xfId="0" applyNumberFormat="1" applyFont="1" applyFill="1" applyBorder="1" applyAlignment="1">
      <alignment horizontal="center" vertical="top" wrapText="1"/>
    </xf>
    <xf numFmtId="165" fontId="30" fillId="3" borderId="38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164" fontId="30" fillId="3" borderId="51" xfId="0" applyNumberFormat="1" applyFont="1" applyFill="1" applyBorder="1" applyAlignment="1">
      <alignment horizontal="center" vertical="top" wrapText="1"/>
    </xf>
    <xf numFmtId="164" fontId="30" fillId="3" borderId="49" xfId="0" applyNumberFormat="1" applyFont="1" applyFill="1" applyBorder="1" applyAlignment="1">
      <alignment horizontal="center" vertical="top" wrapText="1"/>
    </xf>
    <xf numFmtId="3" fontId="30" fillId="3" borderId="0" xfId="0" applyNumberFormat="1" applyFont="1" applyFill="1" applyBorder="1" applyAlignment="1">
      <alignment horizontal="center" vertical="top" wrapText="1"/>
    </xf>
    <xf numFmtId="3" fontId="30" fillId="3" borderId="13" xfId="0" applyNumberFormat="1" applyFont="1" applyFill="1" applyBorder="1" applyAlignment="1">
      <alignment horizontal="center" vertical="top" wrapText="1"/>
    </xf>
    <xf numFmtId="164" fontId="30" fillId="3" borderId="53" xfId="0" applyNumberFormat="1" applyFont="1" applyFill="1" applyBorder="1" applyAlignment="1">
      <alignment horizontal="center" vertical="top" wrapText="1"/>
    </xf>
    <xf numFmtId="3" fontId="1" fillId="3" borderId="58" xfId="0" applyNumberFormat="1" applyFont="1" applyFill="1" applyBorder="1" applyAlignment="1">
      <alignment horizontal="center" vertical="top" wrapText="1"/>
    </xf>
    <xf numFmtId="3" fontId="30" fillId="3" borderId="38" xfId="0" applyNumberFormat="1" applyFont="1" applyFill="1" applyBorder="1" applyAlignment="1">
      <alignment horizontal="center" vertical="top" wrapText="1"/>
    </xf>
    <xf numFmtId="164" fontId="30" fillId="3" borderId="38" xfId="0" applyNumberFormat="1" applyFont="1" applyFill="1" applyBorder="1" applyAlignment="1">
      <alignment horizontal="center" vertical="top" wrapText="1"/>
    </xf>
    <xf numFmtId="164" fontId="30" fillId="3" borderId="13" xfId="0" applyNumberFormat="1" applyFont="1" applyFill="1" applyBorder="1" applyAlignment="1">
      <alignment horizontal="center" vertical="top" wrapText="1"/>
    </xf>
    <xf numFmtId="3" fontId="1" fillId="3" borderId="38" xfId="0" applyNumberFormat="1" applyFont="1" applyFill="1" applyBorder="1" applyAlignment="1">
      <alignment vertical="top" wrapText="1"/>
    </xf>
    <xf numFmtId="165" fontId="1" fillId="3" borderId="73" xfId="0" applyNumberFormat="1" applyFont="1" applyFill="1" applyBorder="1" applyAlignment="1">
      <alignment horizontal="center" vertical="top" wrapText="1"/>
    </xf>
    <xf numFmtId="165" fontId="1" fillId="3" borderId="37" xfId="0" applyNumberFormat="1" applyFont="1" applyFill="1" applyBorder="1" applyAlignment="1">
      <alignment horizontal="center" vertical="top" wrapText="1"/>
    </xf>
    <xf numFmtId="165" fontId="1" fillId="3" borderId="27" xfId="0" applyNumberFormat="1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center" vertical="top" wrapText="1"/>
    </xf>
    <xf numFmtId="164" fontId="30" fillId="3" borderId="0" xfId="0" applyNumberFormat="1" applyFont="1" applyFill="1" applyBorder="1" applyAlignment="1">
      <alignment horizontal="center" vertical="top" wrapText="1"/>
    </xf>
    <xf numFmtId="164" fontId="30" fillId="3" borderId="52" xfId="0" applyNumberFormat="1" applyFont="1" applyFill="1" applyBorder="1" applyAlignment="1">
      <alignment horizontal="center" vertical="top"/>
    </xf>
    <xf numFmtId="164" fontId="30" fillId="3" borderId="53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wrapText="1"/>
    </xf>
    <xf numFmtId="3" fontId="30" fillId="0" borderId="16" xfId="0" applyNumberFormat="1" applyFont="1" applyBorder="1" applyAlignment="1">
      <alignment horizontal="center" vertical="top" wrapText="1"/>
    </xf>
    <xf numFmtId="164" fontId="30" fillId="0" borderId="13" xfId="0" applyNumberFormat="1" applyFont="1" applyBorder="1" applyAlignment="1">
      <alignment horizontal="center" vertical="top" wrapText="1"/>
    </xf>
    <xf numFmtId="3" fontId="29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164" fontId="4" fillId="4" borderId="53" xfId="0" applyNumberFormat="1" applyFont="1" applyFill="1" applyBorder="1" applyAlignment="1">
      <alignment horizontal="center" vertical="top" wrapText="1"/>
    </xf>
    <xf numFmtId="164" fontId="30" fillId="0" borderId="38" xfId="0" applyNumberFormat="1" applyFont="1" applyBorder="1" applyAlignment="1">
      <alignment horizontal="center" vertical="top" wrapText="1"/>
    </xf>
    <xf numFmtId="164" fontId="30" fillId="0" borderId="53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1" fillId="0" borderId="73" xfId="0" applyNumberFormat="1" applyFont="1" applyBorder="1" applyAlignment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3" fontId="29" fillId="3" borderId="16" xfId="0" applyNumberFormat="1" applyFont="1" applyFill="1" applyBorder="1" applyAlignment="1">
      <alignment horizontal="center" vertical="top" wrapText="1"/>
    </xf>
    <xf numFmtId="164" fontId="29" fillId="3" borderId="13" xfId="0" applyNumberFormat="1" applyFont="1" applyFill="1" applyBorder="1" applyAlignment="1">
      <alignment horizontal="center" vertical="top" wrapText="1"/>
    </xf>
    <xf numFmtId="164" fontId="29" fillId="3" borderId="14" xfId="0" applyNumberFormat="1" applyFont="1" applyFill="1" applyBorder="1" applyAlignment="1">
      <alignment horizontal="center" vertical="top" wrapText="1"/>
    </xf>
    <xf numFmtId="3" fontId="29" fillId="3" borderId="47" xfId="0" applyNumberFormat="1" applyFont="1" applyFill="1" applyBorder="1" applyAlignment="1">
      <alignment horizontal="center" vertical="top" wrapText="1"/>
    </xf>
    <xf numFmtId="164" fontId="29" fillId="3" borderId="53" xfId="0" applyNumberFormat="1" applyFont="1" applyFill="1" applyBorder="1" applyAlignment="1">
      <alignment horizontal="center" vertical="top" wrapText="1"/>
    </xf>
    <xf numFmtId="164" fontId="29" fillId="3" borderId="38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73" xfId="0" applyNumberFormat="1" applyFont="1" applyFill="1" applyBorder="1" applyAlignment="1">
      <alignment vertical="top"/>
    </xf>
    <xf numFmtId="164" fontId="4" fillId="3" borderId="53" xfId="0" applyNumberFormat="1" applyFont="1" applyFill="1" applyBorder="1" applyAlignment="1">
      <alignment vertical="top"/>
    </xf>
    <xf numFmtId="164" fontId="4" fillId="3" borderId="51" xfId="0" applyNumberFormat="1" applyFont="1" applyFill="1" applyBorder="1" applyAlignment="1">
      <alignment horizontal="center" vertical="top"/>
    </xf>
    <xf numFmtId="164" fontId="4" fillId="3" borderId="52" xfId="0" applyNumberFormat="1" applyFont="1" applyFill="1" applyBorder="1" applyAlignment="1">
      <alignment horizontal="center" vertical="top" wrapText="1"/>
    </xf>
    <xf numFmtId="165" fontId="3" fillId="5" borderId="5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vertical="top"/>
    </xf>
    <xf numFmtId="3" fontId="6" fillId="4" borderId="4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center" vertical="top" textRotation="180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vertical="top" wrapText="1"/>
    </xf>
    <xf numFmtId="3" fontId="4" fillId="4" borderId="53" xfId="0" applyNumberFormat="1" applyFont="1" applyFill="1" applyBorder="1" applyAlignment="1">
      <alignment horizontal="center" vertical="top" wrapText="1"/>
    </xf>
    <xf numFmtId="3" fontId="4" fillId="4" borderId="45" xfId="0" applyNumberFormat="1" applyFont="1" applyFill="1" applyBorder="1" applyAlignment="1">
      <alignment horizontal="center" vertical="top" wrapText="1"/>
    </xf>
    <xf numFmtId="165" fontId="4" fillId="4" borderId="27" xfId="0" applyNumberFormat="1" applyFont="1" applyFill="1" applyBorder="1" applyAlignment="1">
      <alignment horizontal="center" vertical="top" wrapText="1"/>
    </xf>
    <xf numFmtId="165" fontId="4" fillId="4" borderId="3" xfId="0" applyNumberFormat="1" applyFont="1" applyFill="1" applyBorder="1" applyAlignment="1">
      <alignment horizontal="center" vertical="top" wrapText="1"/>
    </xf>
    <xf numFmtId="165" fontId="4" fillId="3" borderId="73" xfId="0" applyNumberFormat="1" applyFont="1" applyFill="1" applyBorder="1" applyAlignment="1">
      <alignment horizontal="center" vertical="top" wrapText="1"/>
    </xf>
    <xf numFmtId="165" fontId="4" fillId="4" borderId="18" xfId="0" applyNumberFormat="1" applyFont="1" applyFill="1" applyBorder="1" applyAlignment="1">
      <alignment horizontal="center" vertical="top" wrapText="1"/>
    </xf>
    <xf numFmtId="165" fontId="4" fillId="4" borderId="12" xfId="0" applyNumberFormat="1" applyFont="1" applyFill="1" applyBorder="1" applyAlignment="1">
      <alignment horizontal="center" vertical="top" wrapText="1"/>
    </xf>
    <xf numFmtId="165" fontId="4" fillId="3" borderId="46" xfId="0" applyNumberFormat="1" applyFont="1" applyFill="1" applyBorder="1" applyAlignment="1">
      <alignment horizontal="center" vertical="top" wrapText="1"/>
    </xf>
    <xf numFmtId="165" fontId="4" fillId="4" borderId="0" xfId="0" applyNumberFormat="1" applyFont="1" applyFill="1" applyBorder="1" applyAlignment="1">
      <alignment horizontal="center" vertical="top" wrapText="1"/>
    </xf>
    <xf numFmtId="165" fontId="4" fillId="4" borderId="13" xfId="0" applyNumberFormat="1" applyFont="1" applyFill="1" applyBorder="1" applyAlignment="1">
      <alignment horizontal="center" vertical="top" wrapText="1"/>
    </xf>
    <xf numFmtId="165" fontId="4" fillId="3" borderId="53" xfId="0" applyNumberFormat="1" applyFont="1" applyFill="1" applyBorder="1" applyAlignment="1">
      <alignment horizontal="center" vertical="top" wrapText="1"/>
    </xf>
    <xf numFmtId="3" fontId="29" fillId="3" borderId="13" xfId="0" applyNumberFormat="1" applyFont="1" applyFill="1" applyBorder="1" applyAlignment="1">
      <alignment vertical="top" wrapText="1"/>
    </xf>
    <xf numFmtId="165" fontId="29" fillId="3" borderId="0" xfId="0" applyNumberFormat="1" applyFont="1" applyFill="1" applyBorder="1" applyAlignment="1">
      <alignment horizontal="center" vertical="top" wrapText="1"/>
    </xf>
    <xf numFmtId="165" fontId="29" fillId="3" borderId="13" xfId="0" applyNumberFormat="1" applyFont="1" applyFill="1" applyBorder="1" applyAlignment="1">
      <alignment horizontal="center" vertical="top" wrapText="1"/>
    </xf>
    <xf numFmtId="164" fontId="29" fillId="3" borderId="53" xfId="0" applyNumberFormat="1" applyFont="1" applyFill="1" applyBorder="1" applyAlignment="1">
      <alignment horizontal="center" vertical="top"/>
    </xf>
    <xf numFmtId="3" fontId="29" fillId="3" borderId="13" xfId="0" applyNumberFormat="1" applyFont="1" applyFill="1" applyBorder="1" applyAlignment="1">
      <alignment horizontal="center" vertical="top" wrapText="1"/>
    </xf>
    <xf numFmtId="3" fontId="29" fillId="3" borderId="51" xfId="0" applyNumberFormat="1" applyFont="1" applyFill="1" applyBorder="1" applyAlignment="1">
      <alignment horizontal="center" vertical="top" wrapText="1"/>
    </xf>
    <xf numFmtId="3" fontId="29" fillId="3" borderId="38" xfId="0" applyNumberFormat="1" applyFont="1" applyFill="1" applyBorder="1" applyAlignment="1">
      <alignment horizontal="center" vertical="top" wrapText="1"/>
    </xf>
    <xf numFmtId="3" fontId="29" fillId="3" borderId="0" xfId="0" applyNumberFormat="1" applyFont="1" applyFill="1" applyBorder="1" applyAlignment="1">
      <alignment horizontal="center" vertical="top" wrapText="1"/>
    </xf>
    <xf numFmtId="165" fontId="29" fillId="3" borderId="49" xfId="0" applyNumberFormat="1" applyFont="1" applyFill="1" applyBorder="1" applyAlignment="1">
      <alignment horizontal="center" vertical="top" wrapText="1"/>
    </xf>
    <xf numFmtId="165" fontId="29" fillId="3" borderId="52" xfId="0" applyNumberFormat="1" applyFont="1" applyFill="1" applyBorder="1" applyAlignment="1">
      <alignment horizontal="center" vertical="top" wrapText="1"/>
    </xf>
    <xf numFmtId="165" fontId="29" fillId="3" borderId="53" xfId="0" applyNumberFormat="1" applyFont="1" applyFill="1" applyBorder="1" applyAlignment="1">
      <alignment horizontal="center" vertical="top" wrapText="1"/>
    </xf>
    <xf numFmtId="165" fontId="29" fillId="3" borderId="38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Border="1" applyAlignment="1"/>
    <xf numFmtId="164" fontId="31" fillId="0" borderId="0" xfId="0" applyNumberFormat="1" applyFont="1" applyAlignment="1"/>
    <xf numFmtId="3" fontId="30" fillId="0" borderId="0" xfId="0" applyNumberFormat="1" applyFont="1" applyBorder="1" applyAlignment="1">
      <alignment vertical="top"/>
    </xf>
    <xf numFmtId="164" fontId="30" fillId="0" borderId="0" xfId="0" applyNumberFormat="1" applyFont="1" applyBorder="1" applyAlignment="1">
      <alignment vertical="top"/>
    </xf>
    <xf numFmtId="3" fontId="31" fillId="0" borderId="0" xfId="0" applyNumberFormat="1" applyFont="1" applyAlignment="1"/>
    <xf numFmtId="3" fontId="29" fillId="0" borderId="16" xfId="0" applyNumberFormat="1" applyFont="1" applyFill="1" applyBorder="1" applyAlignment="1">
      <alignment horizontal="center" vertical="top"/>
    </xf>
    <xf numFmtId="164" fontId="29" fillId="3" borderId="0" xfId="0" applyNumberFormat="1" applyFont="1" applyFill="1" applyBorder="1" applyAlignment="1">
      <alignment horizontal="center" vertical="top"/>
    </xf>
    <xf numFmtId="164" fontId="29" fillId="0" borderId="13" xfId="0" applyNumberFormat="1" applyFont="1" applyFill="1" applyBorder="1" applyAlignment="1">
      <alignment horizontal="center" vertical="top"/>
    </xf>
    <xf numFmtId="164" fontId="29" fillId="0" borderId="53" xfId="0" applyNumberFormat="1" applyFont="1" applyFill="1" applyBorder="1" applyAlignment="1">
      <alignment horizontal="center" vertical="top"/>
    </xf>
    <xf numFmtId="164" fontId="29" fillId="0" borderId="0" xfId="0" applyNumberFormat="1" applyFont="1" applyFill="1" applyBorder="1" applyAlignment="1">
      <alignment horizontal="center" vertical="top"/>
    </xf>
    <xf numFmtId="164" fontId="29" fillId="3" borderId="38" xfId="0" applyNumberFormat="1" applyFont="1" applyFill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center" vertical="top"/>
    </xf>
    <xf numFmtId="164" fontId="1" fillId="3" borderId="73" xfId="0" applyNumberFormat="1" applyFont="1" applyFill="1" applyBorder="1" applyAlignment="1">
      <alignment horizontal="center" vertical="top"/>
    </xf>
    <xf numFmtId="3" fontId="30" fillId="0" borderId="16" xfId="0" applyNumberFormat="1" applyFont="1" applyFill="1" applyBorder="1" applyAlignment="1">
      <alignment horizontal="center" vertical="top"/>
    </xf>
    <xf numFmtId="164" fontId="30" fillId="3" borderId="0" xfId="0" applyNumberFormat="1" applyFont="1" applyFill="1" applyBorder="1" applyAlignment="1">
      <alignment horizontal="center" vertical="top"/>
    </xf>
    <xf numFmtId="164" fontId="30" fillId="3" borderId="13" xfId="0" applyNumberFormat="1" applyFont="1" applyFill="1" applyBorder="1" applyAlignment="1">
      <alignment horizontal="center" vertical="top"/>
    </xf>
    <xf numFmtId="164" fontId="30" fillId="0" borderId="0" xfId="0" applyNumberFormat="1" applyFont="1" applyFill="1" applyBorder="1" applyAlignment="1">
      <alignment horizontal="center" vertical="top"/>
    </xf>
    <xf numFmtId="164" fontId="30" fillId="0" borderId="13" xfId="0" applyNumberFormat="1" applyFont="1" applyFill="1" applyBorder="1" applyAlignment="1">
      <alignment horizontal="center" vertical="top"/>
    </xf>
    <xf numFmtId="164" fontId="30" fillId="0" borderId="38" xfId="0" applyNumberFormat="1" applyFont="1" applyFill="1" applyBorder="1" applyAlignment="1">
      <alignment horizontal="center" vertical="top"/>
    </xf>
    <xf numFmtId="164" fontId="30" fillId="0" borderId="53" xfId="0" applyNumberFormat="1" applyFont="1" applyFill="1" applyBorder="1" applyAlignment="1">
      <alignment horizontal="center" vertical="top"/>
    </xf>
    <xf numFmtId="164" fontId="30" fillId="3" borderId="38" xfId="0" applyNumberFormat="1" applyFont="1" applyFill="1" applyBorder="1" applyAlignment="1">
      <alignment horizontal="center" vertical="top"/>
    </xf>
    <xf numFmtId="164" fontId="30" fillId="3" borderId="15" xfId="0" applyNumberFormat="1" applyFont="1" applyFill="1" applyBorder="1" applyAlignment="1">
      <alignment horizontal="center" vertical="top" wrapText="1"/>
    </xf>
    <xf numFmtId="3" fontId="32" fillId="3" borderId="47" xfId="0" applyNumberFormat="1" applyFont="1" applyFill="1" applyBorder="1" applyAlignment="1">
      <alignment horizontal="center" vertical="top"/>
    </xf>
    <xf numFmtId="164" fontId="32" fillId="3" borderId="51" xfId="0" applyNumberFormat="1" applyFont="1" applyFill="1" applyBorder="1" applyAlignment="1">
      <alignment horizontal="center" vertical="top"/>
    </xf>
    <xf numFmtId="164" fontId="32" fillId="3" borderId="49" xfId="0" applyNumberFormat="1" applyFont="1" applyFill="1" applyBorder="1" applyAlignment="1">
      <alignment horizontal="center" vertical="top"/>
    </xf>
    <xf numFmtId="164" fontId="32" fillId="3" borderId="52" xfId="0" applyNumberFormat="1" applyFont="1" applyFill="1" applyBorder="1" applyAlignment="1">
      <alignment horizontal="center" vertical="top"/>
    </xf>
    <xf numFmtId="3" fontId="4" fillId="3" borderId="11" xfId="0" applyNumberFormat="1" applyFont="1" applyFill="1" applyBorder="1" applyAlignment="1">
      <alignment horizontal="left" vertical="top" wrapText="1"/>
    </xf>
    <xf numFmtId="3" fontId="6" fillId="3" borderId="52" xfId="0" applyNumberFormat="1" applyFont="1" applyFill="1" applyBorder="1" applyAlignment="1">
      <alignment vertical="top" wrapText="1"/>
    </xf>
    <xf numFmtId="3" fontId="6" fillId="3" borderId="53" xfId="0" applyNumberFormat="1" applyFont="1" applyFill="1" applyBorder="1" applyAlignment="1">
      <alignment horizontal="center" vertical="center" wrapText="1"/>
    </xf>
    <xf numFmtId="3" fontId="6" fillId="3" borderId="52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center" textRotation="90" wrapText="1"/>
    </xf>
    <xf numFmtId="164" fontId="26" fillId="0" borderId="10" xfId="0" applyNumberFormat="1" applyFont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right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3" fontId="3" fillId="3" borderId="65" xfId="0" applyNumberFormat="1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3" fontId="3" fillId="5" borderId="56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3" fontId="3" fillId="5" borderId="67" xfId="0" applyNumberFormat="1" applyFont="1" applyFill="1" applyBorder="1" applyAlignment="1">
      <alignment vertical="top" wrapText="1"/>
    </xf>
    <xf numFmtId="3" fontId="6" fillId="0" borderId="40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textRotation="90"/>
    </xf>
    <xf numFmtId="3" fontId="6" fillId="3" borderId="61" xfId="0" applyNumberFormat="1" applyFont="1" applyFill="1" applyBorder="1" applyAlignment="1">
      <alignment vertical="top" wrapText="1"/>
    </xf>
    <xf numFmtId="164" fontId="29" fillId="3" borderId="0" xfId="0" applyNumberFormat="1" applyFont="1" applyFill="1" applyBorder="1" applyAlignment="1">
      <alignment horizontal="center" vertical="top" wrapText="1"/>
    </xf>
    <xf numFmtId="165" fontId="1" fillId="3" borderId="42" xfId="0" applyNumberFormat="1" applyFont="1" applyFill="1" applyBorder="1" applyAlignment="1">
      <alignment horizontal="center" vertical="top" wrapText="1"/>
    </xf>
    <xf numFmtId="165" fontId="4" fillId="3" borderId="44" xfId="0" applyNumberFormat="1" applyFont="1" applyFill="1" applyBorder="1" applyAlignment="1">
      <alignment horizontal="center" vertical="top" wrapText="1"/>
    </xf>
    <xf numFmtId="164" fontId="29" fillId="10" borderId="53" xfId="1" applyNumberFormat="1" applyFont="1" applyFill="1" applyBorder="1" applyAlignment="1">
      <alignment horizontal="center" vertical="top"/>
    </xf>
    <xf numFmtId="164" fontId="29" fillId="3" borderId="52" xfId="0" applyNumberFormat="1" applyFont="1" applyFill="1" applyBorder="1" applyAlignment="1">
      <alignment horizontal="center" vertical="top"/>
    </xf>
    <xf numFmtId="164" fontId="29" fillId="3" borderId="49" xfId="0" applyNumberFormat="1" applyFont="1" applyFill="1" applyBorder="1" applyAlignment="1">
      <alignment horizontal="center" vertical="top"/>
    </xf>
    <xf numFmtId="164" fontId="29" fillId="3" borderId="51" xfId="0" applyNumberFormat="1" applyFont="1" applyFill="1" applyBorder="1" applyAlignment="1">
      <alignment horizontal="center" vertical="top"/>
    </xf>
    <xf numFmtId="164" fontId="29" fillId="3" borderId="13" xfId="0" applyNumberFormat="1" applyFont="1" applyFill="1" applyBorder="1" applyAlignment="1">
      <alignment horizontal="center" vertical="top"/>
    </xf>
    <xf numFmtId="3" fontId="6" fillId="5" borderId="67" xfId="0" applyNumberFormat="1" applyFont="1" applyFill="1" applyBorder="1" applyAlignment="1">
      <alignment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1" fillId="3" borderId="40" xfId="0" applyNumberFormat="1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center" textRotation="90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0" fontId="4" fillId="3" borderId="58" xfId="0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3" fontId="6" fillId="0" borderId="53" xfId="0" applyNumberFormat="1" applyFont="1" applyFill="1" applyBorder="1" applyAlignment="1">
      <alignment horizontal="center" vertical="top" wrapText="1"/>
    </xf>
    <xf numFmtId="164" fontId="1" fillId="3" borderId="15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top" wrapText="1"/>
    </xf>
    <xf numFmtId="164" fontId="3" fillId="0" borderId="28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164" fontId="3" fillId="5" borderId="61" xfId="0" applyNumberFormat="1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164" fontId="6" fillId="2" borderId="9" xfId="0" applyNumberFormat="1" applyFont="1" applyFill="1" applyBorder="1" applyAlignment="1">
      <alignment horizontal="center" vertical="top"/>
    </xf>
    <xf numFmtId="164" fontId="1" fillId="3" borderId="38" xfId="0" applyNumberFormat="1" applyFont="1" applyFill="1" applyBorder="1" applyAlignment="1">
      <alignment horizontal="center" vertical="top" wrapText="1"/>
    </xf>
    <xf numFmtId="49" fontId="1" fillId="3" borderId="43" xfId="0" applyNumberFormat="1" applyFont="1" applyFill="1" applyBorder="1" applyAlignment="1">
      <alignment horizontal="center" vertical="top" wrapText="1"/>
    </xf>
    <xf numFmtId="3" fontId="4" fillId="3" borderId="38" xfId="0" applyNumberFormat="1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 wrapText="1"/>
    </xf>
    <xf numFmtId="0" fontId="4" fillId="3" borderId="59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1" fontId="1" fillId="3" borderId="5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165" fontId="1" fillId="3" borderId="47" xfId="0" applyNumberFormat="1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47" xfId="0" applyNumberFormat="1" applyFont="1" applyFill="1" applyBorder="1" applyAlignment="1">
      <alignment horizontal="left" vertical="top" wrapText="1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4" fillId="3" borderId="49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/>
    </xf>
    <xf numFmtId="164" fontId="3" fillId="5" borderId="22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4" fontId="3" fillId="3" borderId="51" xfId="0" applyNumberFormat="1" applyFont="1" applyFill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center" vertical="top"/>
    </xf>
    <xf numFmtId="164" fontId="3" fillId="3" borderId="52" xfId="0" applyNumberFormat="1" applyFont="1" applyFill="1" applyBorder="1" applyAlignment="1">
      <alignment horizontal="center" vertical="top"/>
    </xf>
    <xf numFmtId="164" fontId="1" fillId="3" borderId="40" xfId="0" applyNumberFormat="1" applyFont="1" applyFill="1" applyBorder="1" applyAlignment="1">
      <alignment horizontal="center" vertical="top"/>
    </xf>
    <xf numFmtId="3" fontId="1" fillId="3" borderId="49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60" xfId="0" applyNumberFormat="1" applyFont="1" applyFill="1" applyBorder="1" applyAlignment="1">
      <alignment horizontal="center" vertical="top" wrapText="1"/>
    </xf>
    <xf numFmtId="3" fontId="6" fillId="0" borderId="53" xfId="0" applyNumberFormat="1" applyFont="1" applyFill="1" applyBorder="1" applyAlignment="1">
      <alignment horizontal="center" vertical="top" wrapText="1"/>
    </xf>
    <xf numFmtId="3" fontId="6" fillId="0" borderId="59" xfId="0" applyNumberFormat="1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3" fillId="3" borderId="42" xfId="0" applyNumberFormat="1" applyFont="1" applyFill="1" applyBorder="1" applyAlignment="1">
      <alignment horizontal="left" vertical="top" wrapText="1"/>
    </xf>
    <xf numFmtId="3" fontId="3" fillId="3" borderId="51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1" fillId="3" borderId="47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3" borderId="49" xfId="0" applyNumberFormat="1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4" fillId="3" borderId="47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center" vertical="top" wrapText="1"/>
    </xf>
    <xf numFmtId="3" fontId="4" fillId="3" borderId="38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3" fontId="6" fillId="3" borderId="35" xfId="0" applyNumberFormat="1" applyFont="1" applyFill="1" applyBorder="1" applyAlignment="1">
      <alignment horizontal="left" vertical="top" wrapText="1"/>
    </xf>
    <xf numFmtId="3" fontId="6" fillId="3" borderId="51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3" borderId="51" xfId="0" applyNumberFormat="1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center" vertical="top"/>
    </xf>
    <xf numFmtId="3" fontId="6" fillId="2" borderId="13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left" vertical="top" wrapText="1"/>
    </xf>
    <xf numFmtId="3" fontId="1" fillId="0" borderId="51" xfId="0" applyNumberFormat="1" applyFont="1" applyFill="1" applyBorder="1" applyAlignment="1">
      <alignment horizontal="left" vertical="top" wrapText="1"/>
    </xf>
    <xf numFmtId="165" fontId="1" fillId="3" borderId="39" xfId="0" applyNumberFormat="1" applyFont="1" applyFill="1" applyBorder="1" applyAlignment="1">
      <alignment horizontal="left" vertical="top" wrapText="1"/>
    </xf>
    <xf numFmtId="165" fontId="1" fillId="3" borderId="47" xfId="0" applyNumberFormat="1" applyFont="1" applyFill="1" applyBorder="1" applyAlignment="1">
      <alignment horizontal="left" vertical="top" wrapText="1"/>
    </xf>
    <xf numFmtId="3" fontId="1" fillId="3" borderId="14" xfId="0" applyNumberFormat="1" applyFont="1" applyFill="1" applyBorder="1" applyAlignment="1">
      <alignment horizontal="center" vertical="center" textRotation="90" wrapText="1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4" fillId="3" borderId="48" xfId="0" applyNumberFormat="1" applyFont="1" applyFill="1" applyBorder="1" applyAlignment="1">
      <alignment horizontal="left" vertical="top" wrapText="1"/>
    </xf>
    <xf numFmtId="49" fontId="3" fillId="7" borderId="3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3" fontId="4" fillId="3" borderId="2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15" fillId="3" borderId="42" xfId="0" applyNumberFormat="1" applyFont="1" applyFill="1" applyBorder="1" applyAlignment="1">
      <alignment horizontal="left" vertical="top" wrapText="1"/>
    </xf>
    <xf numFmtId="3" fontId="15" fillId="3" borderId="51" xfId="0" applyNumberFormat="1" applyFont="1" applyFill="1" applyBorder="1" applyAlignment="1">
      <alignment horizontal="left" vertical="top" wrapText="1"/>
    </xf>
    <xf numFmtId="3" fontId="4" fillId="0" borderId="39" xfId="0" applyNumberFormat="1" applyFont="1" applyFill="1" applyBorder="1" applyAlignment="1">
      <alignment horizontal="left" vertical="top" wrapText="1"/>
    </xf>
    <xf numFmtId="3" fontId="4" fillId="0" borderId="47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center" vertical="top"/>
    </xf>
    <xf numFmtId="49" fontId="3" fillId="7" borderId="35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3" borderId="35" xfId="0" applyNumberFormat="1" applyFont="1" applyFill="1" applyBorder="1" applyAlignment="1">
      <alignment horizontal="left" vertical="top" wrapText="1"/>
    </xf>
    <xf numFmtId="3" fontId="4" fillId="3" borderId="38" xfId="0" applyNumberFormat="1" applyFont="1" applyFill="1" applyBorder="1" applyAlignment="1">
      <alignment horizontal="left" vertical="top" wrapText="1"/>
    </xf>
    <xf numFmtId="3" fontId="4" fillId="3" borderId="58" xfId="0" applyNumberFormat="1" applyFont="1" applyFill="1" applyBorder="1" applyAlignment="1">
      <alignment horizontal="left" vertical="top" wrapText="1"/>
    </xf>
    <xf numFmtId="3" fontId="4" fillId="3" borderId="64" xfId="0" applyNumberFormat="1" applyFont="1" applyFill="1" applyBorder="1" applyAlignment="1">
      <alignment horizontal="center" vertical="top" wrapText="1"/>
    </xf>
    <xf numFmtId="3" fontId="4" fillId="3" borderId="71" xfId="0" applyNumberFormat="1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3" fontId="3" fillId="3" borderId="36" xfId="0" applyNumberFormat="1" applyFont="1" applyFill="1" applyBorder="1" applyAlignment="1">
      <alignment horizontal="left" vertical="top" wrapText="1"/>
    </xf>
    <xf numFmtId="3" fontId="3" fillId="3" borderId="48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left" vertical="top" wrapText="1"/>
    </xf>
    <xf numFmtId="3" fontId="1" fillId="0" borderId="61" xfId="0" applyNumberFormat="1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0" fontId="1" fillId="3" borderId="64" xfId="0" applyFont="1" applyFill="1" applyBorder="1" applyAlignment="1">
      <alignment horizontal="center" vertical="top" wrapText="1"/>
    </xf>
    <xf numFmtId="0" fontId="1" fillId="3" borderId="68" xfId="0" applyFont="1" applyFill="1" applyBorder="1" applyAlignment="1">
      <alignment horizontal="center" vertical="top" wrapText="1"/>
    </xf>
    <xf numFmtId="3" fontId="3" fillId="5" borderId="67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4" fillId="3" borderId="36" xfId="0" applyNumberFormat="1" applyFont="1" applyFill="1" applyBorder="1" applyAlignment="1">
      <alignment horizontal="left" vertical="top" wrapText="1"/>
    </xf>
    <xf numFmtId="3" fontId="4" fillId="3" borderId="6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164" fontId="1" fillId="0" borderId="60" xfId="0" applyNumberFormat="1" applyFont="1" applyBorder="1" applyAlignment="1">
      <alignment horizontal="center" vertical="center" textRotation="90" wrapText="1"/>
    </xf>
    <xf numFmtId="164" fontId="1" fillId="0" borderId="53" xfId="0" applyNumberFormat="1" applyFont="1" applyBorder="1" applyAlignment="1">
      <alignment horizontal="center" vertical="center" textRotation="90" wrapText="1"/>
    </xf>
    <xf numFmtId="164" fontId="1" fillId="0" borderId="59" xfId="0" applyNumberFormat="1" applyFont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22" xfId="0" applyNumberFormat="1" applyFont="1" applyBorder="1" applyAlignment="1">
      <alignment horizontal="center" vertical="center" textRotation="90" wrapText="1"/>
    </xf>
    <xf numFmtId="3" fontId="4" fillId="0" borderId="75" xfId="0" applyNumberFormat="1" applyFont="1" applyBorder="1" applyAlignment="1">
      <alignment horizontal="center" vertical="center" textRotation="90" wrapText="1"/>
    </xf>
    <xf numFmtId="3" fontId="4" fillId="0" borderId="68" xfId="0" applyNumberFormat="1" applyFont="1" applyBorder="1" applyAlignment="1">
      <alignment horizontal="center" vertical="center" textRotation="90" wrapText="1"/>
    </xf>
    <xf numFmtId="3" fontId="4" fillId="0" borderId="76" xfId="0" applyNumberFormat="1" applyFont="1" applyBorder="1" applyAlignment="1">
      <alignment horizontal="center" vertical="center" textRotation="90" wrapText="1"/>
    </xf>
    <xf numFmtId="3" fontId="3" fillId="6" borderId="26" xfId="0" applyNumberFormat="1" applyFont="1" applyFill="1" applyBorder="1" applyAlignment="1">
      <alignment horizontal="left" vertical="top" wrapText="1"/>
    </xf>
    <xf numFmtId="3" fontId="3" fillId="6" borderId="27" xfId="0" applyNumberFormat="1" applyFont="1" applyFill="1" applyBorder="1" applyAlignment="1">
      <alignment horizontal="left" vertical="top" wrapText="1"/>
    </xf>
    <xf numFmtId="3" fontId="3" fillId="6" borderId="28" xfId="0" applyNumberFormat="1" applyFont="1" applyFill="1" applyBorder="1" applyAlignment="1">
      <alignment horizontal="left" vertical="top" wrapText="1"/>
    </xf>
    <xf numFmtId="3" fontId="5" fillId="8" borderId="41" xfId="0" applyNumberFormat="1" applyFont="1" applyFill="1" applyBorder="1" applyAlignment="1">
      <alignment horizontal="left" vertical="top" wrapText="1"/>
    </xf>
    <xf numFmtId="3" fontId="5" fillId="8" borderId="30" xfId="0" applyNumberFormat="1" applyFont="1" applyFill="1" applyBorder="1" applyAlignment="1">
      <alignment horizontal="left" vertical="top" wrapText="1"/>
    </xf>
    <xf numFmtId="3" fontId="5" fillId="8" borderId="31" xfId="0" applyNumberFormat="1" applyFont="1" applyFill="1" applyBorder="1" applyAlignment="1">
      <alignment horizontal="left" vertical="top" wrapText="1"/>
    </xf>
    <xf numFmtId="3" fontId="3" fillId="7" borderId="18" xfId="0" applyNumberFormat="1" applyFont="1" applyFill="1" applyBorder="1" applyAlignment="1">
      <alignment horizontal="left" vertical="top"/>
    </xf>
    <xf numFmtId="3" fontId="3" fillId="7" borderId="19" xfId="0" applyNumberFormat="1" applyFont="1" applyFill="1" applyBorder="1" applyAlignment="1">
      <alignment horizontal="left" vertical="top"/>
    </xf>
    <xf numFmtId="3" fontId="3" fillId="9" borderId="67" xfId="0" applyNumberFormat="1" applyFont="1" applyFill="1" applyBorder="1" applyAlignment="1">
      <alignment horizontal="left" vertical="top" wrapText="1"/>
    </xf>
    <xf numFmtId="3" fontId="3" fillId="9" borderId="55" xfId="0" applyNumberFormat="1" applyFont="1" applyFill="1" applyBorder="1" applyAlignment="1">
      <alignment horizontal="left" vertical="top" wrapText="1"/>
    </xf>
    <xf numFmtId="3" fontId="3" fillId="9" borderId="56" xfId="0" applyNumberFormat="1" applyFont="1" applyFill="1" applyBorder="1" applyAlignment="1">
      <alignment horizontal="left" vertical="top" wrapText="1"/>
    </xf>
    <xf numFmtId="3" fontId="4" fillId="0" borderId="39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3" borderId="7" xfId="0" applyNumberFormat="1" applyFont="1" applyFill="1" applyBorder="1" applyAlignment="1">
      <alignment horizontal="left" vertical="top" wrapText="1"/>
    </xf>
    <xf numFmtId="3" fontId="27" fillId="3" borderId="14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38" xfId="0" applyNumberFormat="1" applyFont="1" applyFill="1" applyBorder="1" applyAlignment="1">
      <alignment horizontal="left" vertical="top" wrapText="1"/>
    </xf>
    <xf numFmtId="3" fontId="1" fillId="3" borderId="51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25" xfId="0" applyNumberFormat="1" applyFont="1" applyBorder="1" applyAlignment="1">
      <alignment horizontal="center" vertical="center" textRotation="90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" borderId="36" xfId="0" applyNumberFormat="1" applyFont="1" applyFill="1" applyBorder="1" applyAlignment="1">
      <alignment horizontal="left" vertical="top" wrapText="1"/>
    </xf>
    <xf numFmtId="3" fontId="3" fillId="2" borderId="76" xfId="0" applyNumberFormat="1" applyFont="1" applyFill="1" applyBorder="1" applyAlignment="1">
      <alignment horizontal="right" vertical="top"/>
    </xf>
    <xf numFmtId="3" fontId="4" fillId="2" borderId="22" xfId="0" applyNumberFormat="1" applyFont="1" applyFill="1" applyBorder="1" applyAlignment="1">
      <alignment horizontal="right" vertical="top"/>
    </xf>
    <xf numFmtId="3" fontId="4" fillId="2" borderId="6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left" vertical="top"/>
    </xf>
    <xf numFmtId="3" fontId="3" fillId="2" borderId="34" xfId="0" applyNumberFormat="1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left" vertical="top"/>
    </xf>
    <xf numFmtId="3" fontId="6" fillId="0" borderId="5" xfId="0" applyNumberFormat="1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4" fillId="3" borderId="75" xfId="0" applyFont="1" applyFill="1" applyBorder="1" applyAlignment="1">
      <alignment horizontal="center" vertical="top" wrapText="1"/>
    </xf>
    <xf numFmtId="0" fontId="4" fillId="3" borderId="76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1" fillId="3" borderId="53" xfId="0" applyNumberFormat="1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3" fillId="2" borderId="6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left" vertical="top" wrapText="1"/>
    </xf>
    <xf numFmtId="3" fontId="1" fillId="3" borderId="58" xfId="0" applyNumberFormat="1" applyFont="1" applyFill="1" applyBorder="1" applyAlignment="1">
      <alignment horizontal="left" vertical="top" wrapText="1"/>
    </xf>
    <xf numFmtId="3" fontId="1" fillId="3" borderId="41" xfId="0" applyNumberFormat="1" applyFont="1" applyFill="1" applyBorder="1" applyAlignment="1">
      <alignment horizontal="left"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top"/>
    </xf>
    <xf numFmtId="3" fontId="4" fillId="2" borderId="9" xfId="0" applyNumberFormat="1" applyFont="1" applyFill="1" applyBorder="1" applyAlignment="1">
      <alignment horizontal="center" vertical="top"/>
    </xf>
    <xf numFmtId="3" fontId="4" fillId="2" borderId="10" xfId="0" applyNumberFormat="1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1" fillId="3" borderId="34" xfId="0" applyNumberFormat="1" applyFont="1" applyFill="1" applyBorder="1" applyAlignment="1">
      <alignment horizontal="left" vertical="top"/>
    </xf>
    <xf numFmtId="3" fontId="3" fillId="8" borderId="62" xfId="0" applyNumberFormat="1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top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43" xfId="0" applyNumberFormat="1" applyFont="1" applyBorder="1" applyAlignment="1">
      <alignment horizontal="left" vertical="top" wrapText="1"/>
    </xf>
    <xf numFmtId="3" fontId="4" fillId="0" borderId="63" xfId="0" applyNumberFormat="1" applyFont="1" applyBorder="1" applyAlignment="1">
      <alignment horizontal="left" vertical="top" wrapText="1"/>
    </xf>
    <xf numFmtId="3" fontId="3" fillId="5" borderId="32" xfId="0" applyNumberFormat="1" applyFont="1" applyFill="1" applyBorder="1" applyAlignment="1">
      <alignment horizontal="right" vertical="top" wrapText="1"/>
    </xf>
    <xf numFmtId="3" fontId="3" fillId="5" borderId="33" xfId="0" applyNumberFormat="1" applyFont="1" applyFill="1" applyBorder="1" applyAlignment="1">
      <alignment horizontal="right" vertical="top" wrapText="1"/>
    </xf>
    <xf numFmtId="3" fontId="3" fillId="5" borderId="62" xfId="0" applyNumberFormat="1" applyFont="1" applyFill="1" applyBorder="1" applyAlignment="1">
      <alignment horizontal="right" vertical="top" wrapText="1"/>
    </xf>
    <xf numFmtId="3" fontId="4" fillId="3" borderId="13" xfId="0" applyNumberFormat="1" applyFont="1" applyFill="1" applyBorder="1" applyAlignment="1">
      <alignment horizontal="left" vertical="top" wrapText="1"/>
    </xf>
    <xf numFmtId="3" fontId="4" fillId="3" borderId="14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3" fillId="8" borderId="35" xfId="0" applyNumberFormat="1" applyFont="1" applyFill="1" applyBorder="1" applyAlignment="1">
      <alignment horizontal="right" vertical="top" wrapText="1"/>
    </xf>
    <xf numFmtId="3" fontId="3" fillId="8" borderId="4" xfId="0" applyNumberFormat="1" applyFont="1" applyFill="1" applyBorder="1" applyAlignment="1">
      <alignment horizontal="right" vertical="top" wrapText="1"/>
    </xf>
    <xf numFmtId="3" fontId="3" fillId="8" borderId="5" xfId="0" applyNumberFormat="1" applyFont="1" applyFill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left" vertical="top" wrapText="1"/>
    </xf>
    <xf numFmtId="3" fontId="4" fillId="0" borderId="65" xfId="0" applyNumberFormat="1" applyFont="1" applyBorder="1" applyAlignment="1">
      <alignment horizontal="left" vertical="top" wrapText="1"/>
    </xf>
    <xf numFmtId="3" fontId="4" fillId="5" borderId="11" xfId="0" applyNumberFormat="1" applyFont="1" applyFill="1" applyBorder="1" applyAlignment="1">
      <alignment horizontal="left" vertical="top" wrapText="1"/>
    </xf>
    <xf numFmtId="3" fontId="4" fillId="5" borderId="12" xfId="0" applyNumberFormat="1" applyFont="1" applyFill="1" applyBorder="1" applyAlignment="1">
      <alignment horizontal="left" vertical="top" wrapText="1"/>
    </xf>
    <xf numFmtId="3" fontId="4" fillId="5" borderId="17" xfId="0" applyNumberFormat="1" applyFont="1" applyFill="1" applyBorder="1" applyAlignment="1">
      <alignment horizontal="left" vertical="top" wrapText="1"/>
    </xf>
    <xf numFmtId="3" fontId="4" fillId="5" borderId="29" xfId="0" applyNumberFormat="1" applyFont="1" applyFill="1" applyBorder="1" applyAlignment="1">
      <alignment horizontal="left" vertical="top" wrapText="1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5" borderId="42" xfId="0" applyNumberFormat="1" applyFont="1" applyFill="1" applyBorder="1" applyAlignment="1">
      <alignment horizontal="left" vertical="top" wrapText="1"/>
    </xf>
    <xf numFmtId="3" fontId="4" fillId="5" borderId="43" xfId="0" applyNumberFormat="1" applyFont="1" applyFill="1" applyBorder="1" applyAlignment="1">
      <alignment horizontal="left" vertical="top" wrapText="1"/>
    </xf>
    <xf numFmtId="3" fontId="4" fillId="5" borderId="63" xfId="0" applyNumberFormat="1" applyFont="1" applyFill="1" applyBorder="1" applyAlignment="1">
      <alignment horizontal="left" vertical="top" wrapText="1"/>
    </xf>
    <xf numFmtId="3" fontId="3" fillId="8" borderId="32" xfId="0" applyNumberFormat="1" applyFont="1" applyFill="1" applyBorder="1" applyAlignment="1">
      <alignment horizontal="right" vertical="top" wrapText="1"/>
    </xf>
    <xf numFmtId="3" fontId="3" fillId="8" borderId="33" xfId="0" applyNumberFormat="1" applyFont="1" applyFill="1" applyBorder="1" applyAlignment="1">
      <alignment horizontal="right" vertical="top" wrapText="1"/>
    </xf>
    <xf numFmtId="3" fontId="3" fillId="8" borderId="62" xfId="0" applyNumberFormat="1" applyFont="1" applyFill="1" applyBorder="1" applyAlignment="1">
      <alignment horizontal="right" vertical="top" wrapText="1"/>
    </xf>
    <xf numFmtId="3" fontId="3" fillId="5" borderId="29" xfId="0" applyNumberFormat="1" applyFont="1" applyFill="1" applyBorder="1" applyAlignment="1">
      <alignment horizontal="right" vertical="top" wrapText="1"/>
    </xf>
    <xf numFmtId="3" fontId="3" fillId="5" borderId="18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3" borderId="29" xfId="0" applyNumberFormat="1" applyFont="1" applyFill="1" applyBorder="1" applyAlignment="1">
      <alignment horizontal="left" vertical="top" wrapText="1"/>
    </xf>
    <xf numFmtId="3" fontId="4" fillId="3" borderId="18" xfId="0" applyNumberFormat="1" applyFont="1" applyFill="1" applyBorder="1" applyAlignment="1">
      <alignment horizontal="left" vertical="top" wrapText="1"/>
    </xf>
    <xf numFmtId="3" fontId="4" fillId="3" borderId="19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7" xfId="0" applyNumberFormat="1" applyFont="1" applyFill="1" applyBorder="1" applyAlignment="1">
      <alignment horizontal="left" vertical="top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61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top" wrapText="1"/>
    </xf>
    <xf numFmtId="3" fontId="1" fillId="3" borderId="48" xfId="0" applyNumberFormat="1" applyFont="1" applyFill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left" vertical="top" wrapText="1"/>
    </xf>
    <xf numFmtId="3" fontId="1" fillId="3" borderId="25" xfId="0" applyNumberFormat="1" applyFont="1" applyFill="1" applyBorder="1" applyAlignment="1">
      <alignment horizontal="left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3" fontId="3" fillId="2" borderId="62" xfId="0" applyNumberFormat="1" applyFont="1" applyFill="1" applyBorder="1" applyAlignment="1">
      <alignment horizontal="left" vertical="top"/>
    </xf>
    <xf numFmtId="3" fontId="6" fillId="5" borderId="54" xfId="0" applyNumberFormat="1" applyFont="1" applyFill="1" applyBorder="1" applyAlignment="1">
      <alignment horizontal="right" vertical="top" wrapText="1"/>
    </xf>
    <xf numFmtId="3" fontId="6" fillId="5" borderId="55" xfId="0" applyNumberFormat="1" applyFont="1" applyFill="1" applyBorder="1" applyAlignment="1">
      <alignment horizontal="right" vertical="top" wrapText="1"/>
    </xf>
    <xf numFmtId="3" fontId="6" fillId="5" borderId="24" xfId="0" applyNumberFormat="1" applyFont="1" applyFill="1" applyBorder="1" applyAlignment="1">
      <alignment horizontal="right" vertical="top" wrapText="1"/>
    </xf>
    <xf numFmtId="3" fontId="3" fillId="3" borderId="40" xfId="0" applyNumberFormat="1" applyFont="1" applyFill="1" applyBorder="1" applyAlignment="1">
      <alignment horizontal="left" vertical="top" wrapText="1"/>
    </xf>
    <xf numFmtId="49" fontId="3" fillId="7" borderId="58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3" fontId="6" fillId="3" borderId="63" xfId="0" applyNumberFormat="1" applyFont="1" applyFill="1" applyBorder="1" applyAlignment="1">
      <alignment horizontal="center" vertical="top" wrapText="1"/>
    </xf>
    <xf numFmtId="3" fontId="6" fillId="3" borderId="65" xfId="0" applyNumberFormat="1" applyFont="1" applyFill="1" applyBorder="1" applyAlignment="1">
      <alignment horizontal="center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61" xfId="0" applyNumberFormat="1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7" borderId="35" xfId="0" applyNumberFormat="1" applyFont="1" applyFill="1" applyBorder="1" applyAlignment="1">
      <alignment horizontal="center" vertical="top"/>
    </xf>
    <xf numFmtId="3" fontId="6" fillId="7" borderId="38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3" fontId="6" fillId="4" borderId="35" xfId="0" applyNumberFormat="1" applyFont="1" applyFill="1" applyBorder="1" applyAlignment="1">
      <alignment horizontal="left" vertical="top" wrapText="1"/>
    </xf>
    <xf numFmtId="3" fontId="6" fillId="4" borderId="38" xfId="0" applyNumberFormat="1" applyFont="1" applyFill="1" applyBorder="1" applyAlignment="1">
      <alignment horizontal="left" vertical="top" wrapText="1"/>
    </xf>
    <xf numFmtId="0" fontId="4" fillId="3" borderId="42" xfId="0" applyFont="1" applyFill="1" applyBorder="1" applyAlignment="1">
      <alignment horizontal="center" vertical="top" wrapText="1"/>
    </xf>
    <xf numFmtId="0" fontId="4" fillId="3" borderId="51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3" fontId="6" fillId="2" borderId="9" xfId="0" applyNumberFormat="1" applyFont="1" applyFill="1" applyBorder="1" applyAlignment="1">
      <alignment horizontal="left" vertical="top"/>
    </xf>
    <xf numFmtId="3" fontId="6" fillId="2" borderId="10" xfId="0" applyNumberFormat="1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3" fontId="15" fillId="3" borderId="41" xfId="0" applyNumberFormat="1" applyFont="1" applyFill="1" applyBorder="1" applyAlignment="1">
      <alignment horizontal="left" vertical="top" wrapText="1"/>
    </xf>
    <xf numFmtId="3" fontId="19" fillId="3" borderId="40" xfId="0" applyNumberFormat="1" applyFont="1" applyFill="1" applyBorder="1" applyAlignment="1">
      <alignment horizontal="left" vertical="top" wrapText="1"/>
    </xf>
    <xf numFmtId="3" fontId="19" fillId="3" borderId="48" xfId="0" applyNumberFormat="1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3" xfId="0" applyFont="1" applyFill="1" applyBorder="1" applyAlignment="1">
      <alignment horizontal="center" vertical="top" wrapText="1"/>
    </xf>
    <xf numFmtId="0" fontId="4" fillId="3" borderId="64" xfId="0" applyFont="1" applyFill="1" applyBorder="1" applyAlignment="1">
      <alignment horizontal="center" vertical="top" wrapText="1"/>
    </xf>
    <xf numFmtId="0" fontId="4" fillId="3" borderId="71" xfId="0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38" xfId="0" applyNumberFormat="1" applyFont="1" applyFill="1" applyBorder="1" applyAlignment="1">
      <alignment horizontal="left" vertical="top" wrapText="1"/>
    </xf>
    <xf numFmtId="3" fontId="4" fillId="0" borderId="58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3" fontId="4" fillId="3" borderId="39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3" borderId="47" xfId="0" applyNumberFormat="1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49" xfId="0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25" xfId="0" applyNumberFormat="1" applyFont="1" applyFill="1" applyBorder="1" applyAlignment="1">
      <alignment horizontal="center" vertical="top" wrapText="1"/>
    </xf>
    <xf numFmtId="3" fontId="3" fillId="5" borderId="61" xfId="0" applyNumberFormat="1" applyFont="1" applyFill="1" applyBorder="1" applyAlignment="1">
      <alignment horizontal="right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3" borderId="47" xfId="0" applyNumberFormat="1" applyFont="1" applyFill="1" applyBorder="1" applyAlignment="1">
      <alignment horizontal="center" vertical="top" wrapText="1"/>
    </xf>
    <xf numFmtId="49" fontId="1" fillId="3" borderId="44" xfId="0" applyNumberFormat="1" applyFont="1" applyFill="1" applyBorder="1" applyAlignment="1">
      <alignment horizontal="center" vertical="top" wrapText="1"/>
    </xf>
    <xf numFmtId="49" fontId="1" fillId="3" borderId="59" xfId="0" applyNumberFormat="1" applyFont="1" applyFill="1" applyBorder="1" applyAlignment="1">
      <alignment horizontal="center" vertical="top" wrapText="1"/>
    </xf>
    <xf numFmtId="3" fontId="3" fillId="3" borderId="41" xfId="0" applyNumberFormat="1" applyFont="1" applyFill="1" applyBorder="1" applyAlignment="1">
      <alignment horizontal="left" vertical="top" wrapText="1"/>
    </xf>
    <xf numFmtId="49" fontId="4" fillId="3" borderId="44" xfId="0" applyNumberFormat="1" applyFont="1" applyFill="1" applyBorder="1" applyAlignment="1">
      <alignment horizontal="center" vertical="top"/>
    </xf>
    <xf numFmtId="49" fontId="4" fillId="3" borderId="53" xfId="0" applyNumberFormat="1" applyFont="1" applyFill="1" applyBorder="1" applyAlignment="1">
      <alignment horizontal="center" vertical="top"/>
    </xf>
    <xf numFmtId="49" fontId="4" fillId="3" borderId="52" xfId="0" applyNumberFormat="1" applyFont="1" applyFill="1" applyBorder="1" applyAlignment="1">
      <alignment horizontal="center" vertical="top"/>
    </xf>
    <xf numFmtId="3" fontId="4" fillId="3" borderId="7" xfId="0" applyNumberFormat="1" applyFont="1" applyFill="1" applyBorder="1" applyAlignment="1">
      <alignment horizontal="center" vertical="top"/>
    </xf>
    <xf numFmtId="3" fontId="4" fillId="3" borderId="47" xfId="0" applyNumberFormat="1" applyFont="1" applyFill="1" applyBorder="1" applyAlignment="1">
      <alignment horizontal="center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47" xfId="0" applyNumberFormat="1" applyFont="1" applyFill="1" applyBorder="1" applyAlignment="1">
      <alignment horizontal="center" vertical="top"/>
    </xf>
    <xf numFmtId="164" fontId="4" fillId="3" borderId="60" xfId="0" applyNumberFormat="1" applyFont="1" applyFill="1" applyBorder="1" applyAlignment="1">
      <alignment horizontal="center" vertical="top"/>
    </xf>
    <xf numFmtId="164" fontId="4" fillId="3" borderId="52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21" fillId="3" borderId="7" xfId="0" applyNumberFormat="1" applyFont="1" applyFill="1" applyBorder="1" applyAlignment="1">
      <alignment horizontal="center" vertical="top" wrapText="1"/>
    </xf>
    <xf numFmtId="3" fontId="21" fillId="3" borderId="16" xfId="0" applyNumberFormat="1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0" xfId="0" applyFont="1" applyFill="1" applyBorder="1" applyAlignment="1">
      <alignment horizontal="left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left" vertical="top" wrapText="1"/>
    </xf>
    <xf numFmtId="0" fontId="1" fillId="3" borderId="39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6" fillId="5" borderId="56" xfId="0" applyNumberFormat="1" applyFont="1" applyFill="1" applyBorder="1" applyAlignment="1">
      <alignment horizontal="right" vertical="top" wrapText="1"/>
    </xf>
    <xf numFmtId="3" fontId="1" fillId="3" borderId="13" xfId="0" applyNumberFormat="1" applyFont="1" applyFill="1" applyBorder="1" applyAlignment="1">
      <alignment horizontal="center" vertical="center" textRotation="90" wrapText="1"/>
    </xf>
    <xf numFmtId="165" fontId="1" fillId="3" borderId="41" xfId="0" applyNumberFormat="1" applyFont="1" applyFill="1" applyBorder="1" applyAlignment="1">
      <alignment horizontal="left" vertical="top" wrapText="1"/>
    </xf>
    <xf numFmtId="165" fontId="1" fillId="3" borderId="48" xfId="0" applyNumberFormat="1" applyFont="1" applyFill="1" applyBorder="1" applyAlignment="1">
      <alignment horizontal="left" vertical="top" wrapText="1"/>
    </xf>
    <xf numFmtId="165" fontId="1" fillId="3" borderId="30" xfId="0" applyNumberFormat="1" applyFont="1" applyFill="1" applyBorder="1" applyAlignment="1">
      <alignment horizontal="left" vertical="top" wrapText="1"/>
    </xf>
    <xf numFmtId="165" fontId="1" fillId="3" borderId="50" xfId="0" applyNumberFormat="1" applyFont="1" applyFill="1" applyBorder="1" applyAlignment="1">
      <alignment horizontal="left" vertical="top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4" fillId="3" borderId="58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3" fontId="4" fillId="0" borderId="36" xfId="0" applyNumberFormat="1" applyFont="1" applyFill="1" applyBorder="1" applyAlignment="1">
      <alignment vertical="top" wrapText="1"/>
    </xf>
    <xf numFmtId="3" fontId="2" fillId="0" borderId="61" xfId="0" applyNumberFormat="1" applyFont="1" applyFill="1" applyBorder="1" applyAlignment="1">
      <alignment vertical="top" wrapText="1"/>
    </xf>
    <xf numFmtId="3" fontId="4" fillId="0" borderId="36" xfId="0" applyNumberFormat="1" applyFont="1" applyFill="1" applyBorder="1" applyAlignment="1">
      <alignment horizontal="left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3" fontId="1" fillId="3" borderId="52" xfId="0" applyNumberFormat="1" applyFont="1" applyFill="1" applyBorder="1" applyAlignment="1">
      <alignment horizontal="center" vertical="top" wrapText="1"/>
    </xf>
    <xf numFmtId="3" fontId="3" fillId="5" borderId="55" xfId="0" applyNumberFormat="1" applyFont="1" applyFill="1" applyBorder="1" applyAlignment="1">
      <alignment horizontal="right" vertical="top" wrapText="1"/>
    </xf>
    <xf numFmtId="3" fontId="4" fillId="4" borderId="41" xfId="0" applyNumberFormat="1" applyFont="1" applyFill="1" applyBorder="1" applyAlignment="1">
      <alignment horizontal="left" vertical="top" wrapText="1"/>
    </xf>
    <xf numFmtId="3" fontId="4" fillId="4" borderId="40" xfId="0" applyNumberFormat="1" applyFont="1" applyFill="1" applyBorder="1" applyAlignment="1">
      <alignment horizontal="left" vertical="top" wrapText="1"/>
    </xf>
    <xf numFmtId="3" fontId="27" fillId="3" borderId="13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left" vertical="top" wrapText="1"/>
    </xf>
    <xf numFmtId="3" fontId="4" fillId="0" borderId="48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right" vertical="top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CCFF"/>
      <color rgb="FFCCFFCC"/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5"/>
  <sheetViews>
    <sheetView tabSelected="1" zoomScaleNormal="100" zoomScaleSheetLayoutView="100" workbookViewId="0">
      <selection activeCell="A5" sqref="A5:M5"/>
    </sheetView>
  </sheetViews>
  <sheetFormatPr defaultColWidth="9.26953125" defaultRowHeight="14.5" x14ac:dyDescent="0.35"/>
  <cols>
    <col min="1" max="3" width="3.26953125" style="29" customWidth="1"/>
    <col min="4" max="4" width="25.26953125" style="373" customWidth="1"/>
    <col min="5" max="5" width="4" style="367" customWidth="1"/>
    <col min="6" max="7" width="8.54296875" style="373" customWidth="1"/>
    <col min="8" max="8" width="8.26953125" style="373" customWidth="1"/>
    <col min="9" max="9" width="7.7265625" style="367" customWidth="1"/>
    <col min="10" max="10" width="25.26953125" style="373" customWidth="1"/>
    <col min="11" max="12" width="7.453125" style="373" customWidth="1"/>
    <col min="13" max="13" width="6.7265625" style="74" customWidth="1"/>
    <col min="14" max="16384" width="9.26953125" style="373"/>
  </cols>
  <sheetData>
    <row r="1" spans="1:18" s="45" customFormat="1" ht="33" customHeight="1" x14ac:dyDescent="0.35">
      <c r="A1" s="43"/>
      <c r="B1" s="43"/>
      <c r="C1" s="43"/>
      <c r="D1" s="43"/>
      <c r="E1" s="44"/>
      <c r="F1" s="310"/>
      <c r="G1" s="310"/>
      <c r="H1" s="310"/>
      <c r="I1" s="310"/>
      <c r="J1" s="1430" t="s">
        <v>211</v>
      </c>
      <c r="K1" s="1430"/>
      <c r="L1" s="1430"/>
      <c r="M1" s="1430"/>
    </row>
    <row r="2" spans="1:18" s="45" customFormat="1" ht="18" customHeight="1" x14ac:dyDescent="0.35">
      <c r="A2" s="43"/>
      <c r="B2" s="43"/>
      <c r="C2" s="43"/>
      <c r="D2" s="43"/>
      <c r="E2" s="44"/>
      <c r="F2" s="376"/>
      <c r="G2" s="511"/>
      <c r="H2" s="511"/>
      <c r="I2" s="376"/>
      <c r="J2" s="376" t="s">
        <v>212</v>
      </c>
      <c r="K2" s="511"/>
      <c r="L2" s="511"/>
      <c r="M2" s="376"/>
    </row>
    <row r="3" spans="1:18" s="45" customFormat="1" ht="14.25" customHeight="1" x14ac:dyDescent="0.35">
      <c r="A3" s="43"/>
      <c r="B3" s="43"/>
      <c r="C3" s="43"/>
      <c r="D3" s="43"/>
      <c r="E3" s="44"/>
      <c r="F3" s="1087"/>
      <c r="G3" s="1087"/>
      <c r="H3" s="1087"/>
      <c r="I3" s="1087"/>
      <c r="J3" s="1087"/>
      <c r="K3" s="1087"/>
      <c r="L3" s="1087"/>
      <c r="M3" s="1087"/>
    </row>
    <row r="4" spans="1:18" s="370" customFormat="1" ht="16.5" customHeight="1" x14ac:dyDescent="0.35">
      <c r="A4" s="1509" t="s">
        <v>309</v>
      </c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</row>
    <row r="5" spans="1:18" s="28" customFormat="1" ht="16.5" customHeight="1" x14ac:dyDescent="0.35">
      <c r="A5" s="1510" t="s">
        <v>0</v>
      </c>
      <c r="B5" s="1510"/>
      <c r="C5" s="1510"/>
      <c r="D5" s="1510"/>
      <c r="E5" s="1510"/>
      <c r="F5" s="1510"/>
      <c r="G5" s="1510"/>
      <c r="H5" s="1510"/>
      <c r="I5" s="1510"/>
      <c r="J5" s="1510"/>
      <c r="K5" s="1510"/>
      <c r="L5" s="1510"/>
      <c r="M5" s="1510"/>
    </row>
    <row r="6" spans="1:18" s="28" customFormat="1" ht="16.5" customHeight="1" x14ac:dyDescent="0.35">
      <c r="A6" s="1511" t="s">
        <v>1</v>
      </c>
      <c r="B6" s="1511"/>
      <c r="C6" s="1511"/>
      <c r="D6" s="1511"/>
      <c r="E6" s="1511"/>
      <c r="F6" s="1511"/>
      <c r="G6" s="1511"/>
      <c r="H6" s="1511"/>
      <c r="I6" s="1511"/>
      <c r="J6" s="1511"/>
      <c r="K6" s="1511"/>
      <c r="L6" s="1511"/>
      <c r="M6" s="1511"/>
    </row>
    <row r="7" spans="1:18" s="1" customFormat="1" ht="21.75" customHeight="1" thickBot="1" x14ac:dyDescent="0.35">
      <c r="A7" s="1431" t="s">
        <v>2</v>
      </c>
      <c r="B7" s="1431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</row>
    <row r="8" spans="1:18" s="2" customFormat="1" ht="16.899999999999999" customHeight="1" thickBot="1" x14ac:dyDescent="0.4">
      <c r="A8" s="1515" t="s">
        <v>248</v>
      </c>
      <c r="B8" s="1518" t="s">
        <v>3</v>
      </c>
      <c r="C8" s="1545" t="s">
        <v>4</v>
      </c>
      <c r="D8" s="1548" t="s">
        <v>5</v>
      </c>
      <c r="E8" s="1551" t="s">
        <v>249</v>
      </c>
      <c r="F8" s="1554" t="s">
        <v>6</v>
      </c>
      <c r="G8" s="1521" t="s">
        <v>252</v>
      </c>
      <c r="H8" s="1524" t="s">
        <v>301</v>
      </c>
      <c r="I8" s="1512" t="s">
        <v>253</v>
      </c>
      <c r="J8" s="1563" t="s">
        <v>7</v>
      </c>
      <c r="K8" s="1564"/>
      <c r="L8" s="1564"/>
      <c r="M8" s="1565"/>
      <c r="N8" s="879"/>
    </row>
    <row r="9" spans="1:18" s="2" customFormat="1" ht="17.25" customHeight="1" x14ac:dyDescent="0.35">
      <c r="A9" s="1516"/>
      <c r="B9" s="1519"/>
      <c r="C9" s="1546"/>
      <c r="D9" s="1549"/>
      <c r="E9" s="1552"/>
      <c r="F9" s="1555"/>
      <c r="G9" s="1522"/>
      <c r="H9" s="1525"/>
      <c r="I9" s="1513"/>
      <c r="J9" s="1557" t="s">
        <v>5</v>
      </c>
      <c r="K9" s="1559" t="s">
        <v>239</v>
      </c>
      <c r="L9" s="1560"/>
      <c r="M9" s="1561"/>
    </row>
    <row r="10" spans="1:18" s="2" customFormat="1" ht="100.5" customHeight="1" thickBot="1" x14ac:dyDescent="0.4">
      <c r="A10" s="1517"/>
      <c r="B10" s="1520"/>
      <c r="C10" s="1547"/>
      <c r="D10" s="1550"/>
      <c r="E10" s="1553"/>
      <c r="F10" s="1556"/>
      <c r="G10" s="1523"/>
      <c r="H10" s="1526"/>
      <c r="I10" s="1514"/>
      <c r="J10" s="1558"/>
      <c r="K10" s="1094" t="s">
        <v>255</v>
      </c>
      <c r="L10" s="1048" t="s">
        <v>256</v>
      </c>
      <c r="M10" s="525" t="s">
        <v>257</v>
      </c>
    </row>
    <row r="11" spans="1:18" s="1" customFormat="1" ht="28.9" customHeight="1" x14ac:dyDescent="0.35">
      <c r="A11" s="1527" t="s">
        <v>8</v>
      </c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9"/>
    </row>
    <row r="12" spans="1:18" s="1" customFormat="1" ht="16.899999999999999" customHeight="1" x14ac:dyDescent="0.35">
      <c r="A12" s="1530" t="s">
        <v>9</v>
      </c>
      <c r="B12" s="1531"/>
      <c r="C12" s="1531"/>
      <c r="D12" s="1531"/>
      <c r="E12" s="1531"/>
      <c r="F12" s="1531"/>
      <c r="G12" s="1531"/>
      <c r="H12" s="1531"/>
      <c r="I12" s="1531"/>
      <c r="J12" s="1531"/>
      <c r="K12" s="1531"/>
      <c r="L12" s="1531"/>
      <c r="M12" s="1532"/>
      <c r="O12" s="2"/>
    </row>
    <row r="13" spans="1:18" s="2" customFormat="1" ht="16.899999999999999" customHeight="1" x14ac:dyDescent="0.35">
      <c r="A13" s="90" t="s">
        <v>10</v>
      </c>
      <c r="B13" s="1533" t="s">
        <v>11</v>
      </c>
      <c r="C13" s="1533"/>
      <c r="D13" s="1533"/>
      <c r="E13" s="1533"/>
      <c r="F13" s="1533"/>
      <c r="G13" s="1533"/>
      <c r="H13" s="1533"/>
      <c r="I13" s="1533"/>
      <c r="J13" s="1533"/>
      <c r="K13" s="1533"/>
      <c r="L13" s="1533"/>
      <c r="M13" s="1534"/>
    </row>
    <row r="14" spans="1:18" s="2" customFormat="1" ht="30.65" customHeight="1" thickBot="1" x14ac:dyDescent="0.4">
      <c r="A14" s="507" t="s">
        <v>10</v>
      </c>
      <c r="B14" s="89" t="s">
        <v>10</v>
      </c>
      <c r="C14" s="1535" t="s">
        <v>12</v>
      </c>
      <c r="D14" s="1536"/>
      <c r="E14" s="1536"/>
      <c r="F14" s="1536"/>
      <c r="G14" s="1536"/>
      <c r="H14" s="1536"/>
      <c r="I14" s="1536"/>
      <c r="J14" s="1536"/>
      <c r="K14" s="1536"/>
      <c r="L14" s="1536"/>
      <c r="M14" s="1537"/>
    </row>
    <row r="15" spans="1:18" s="2" customFormat="1" ht="16.5" customHeight="1" x14ac:dyDescent="0.35">
      <c r="A15" s="505" t="s">
        <v>10</v>
      </c>
      <c r="B15" s="5" t="s">
        <v>10</v>
      </c>
      <c r="C15" s="364" t="s">
        <v>10</v>
      </c>
      <c r="D15" s="1562" t="s">
        <v>13</v>
      </c>
      <c r="E15" s="1106"/>
      <c r="F15" s="1279" t="s">
        <v>16</v>
      </c>
      <c r="G15" s="303">
        <v>498.7</v>
      </c>
      <c r="H15" s="299">
        <v>466.1</v>
      </c>
      <c r="I15" s="1280">
        <v>466.1</v>
      </c>
      <c r="J15" s="1540" t="s">
        <v>17</v>
      </c>
      <c r="K15" s="139">
        <v>1329</v>
      </c>
      <c r="L15" s="235">
        <v>1329</v>
      </c>
      <c r="M15" s="439">
        <v>1329</v>
      </c>
      <c r="P15" s="879"/>
      <c r="Q15" s="879"/>
      <c r="R15" s="879"/>
    </row>
    <row r="16" spans="1:18" s="2" customFormat="1" ht="16.5" customHeight="1" x14ac:dyDescent="0.35">
      <c r="A16" s="1099"/>
      <c r="B16" s="5"/>
      <c r="C16" s="1103"/>
      <c r="D16" s="1562"/>
      <c r="E16" s="1106"/>
      <c r="F16" s="306" t="s">
        <v>206</v>
      </c>
      <c r="G16" s="174">
        <f>1231.9+507+195.7+101.8+60+25+300</f>
        <v>2421.4</v>
      </c>
      <c r="H16" s="182">
        <f>1331.9+1155+195.7+101.8+60</f>
        <v>2844.4</v>
      </c>
      <c r="I16" s="405">
        <f>1331.9+1155+195.7+101.8+60</f>
        <v>2844.4</v>
      </c>
      <c r="J16" s="1443"/>
      <c r="K16" s="139"/>
      <c r="L16" s="1184"/>
      <c r="M16" s="1185"/>
      <c r="P16" s="879"/>
      <c r="Q16" s="879"/>
      <c r="R16" s="879"/>
    </row>
    <row r="17" spans="1:18" s="2" customFormat="1" ht="16.5" customHeight="1" x14ac:dyDescent="0.35">
      <c r="A17" s="354"/>
      <c r="B17" s="5"/>
      <c r="C17" s="364"/>
      <c r="D17" s="1562"/>
      <c r="E17" s="1107"/>
      <c r="F17" s="538" t="s">
        <v>109</v>
      </c>
      <c r="G17" s="867">
        <v>100</v>
      </c>
      <c r="H17" s="710"/>
      <c r="I17" s="408"/>
      <c r="J17" s="1444"/>
      <c r="K17" s="522"/>
      <c r="L17" s="233"/>
      <c r="M17" s="435"/>
      <c r="N17" s="46"/>
      <c r="P17" s="879"/>
      <c r="Q17" s="879"/>
      <c r="R17" s="879"/>
    </row>
    <row r="18" spans="1:18" s="2" customFormat="1" ht="15" customHeight="1" x14ac:dyDescent="0.35">
      <c r="A18" s="354"/>
      <c r="B18" s="5"/>
      <c r="C18" s="364"/>
      <c r="D18" s="1562"/>
      <c r="E18" s="1107"/>
      <c r="F18" s="306" t="s">
        <v>14</v>
      </c>
      <c r="G18" s="174">
        <v>11923.6</v>
      </c>
      <c r="H18" s="182">
        <f>870.1+281.7+5103.8+1290.6+2027.7</f>
        <v>9573.9000000000015</v>
      </c>
      <c r="I18" s="405">
        <f>870.1+281.7+5103.8+1290.6+2027.7</f>
        <v>9573.9000000000015</v>
      </c>
      <c r="J18" s="1538" t="s">
        <v>18</v>
      </c>
      <c r="K18" s="54">
        <v>5288</v>
      </c>
      <c r="L18" s="902">
        <v>3161</v>
      </c>
      <c r="M18" s="903">
        <v>3161</v>
      </c>
      <c r="N18" s="46"/>
      <c r="P18" s="879"/>
      <c r="Q18" s="879"/>
      <c r="R18" s="879"/>
    </row>
    <row r="19" spans="1:18" s="2" customFormat="1" ht="15" customHeight="1" x14ac:dyDescent="0.35">
      <c r="A19" s="964"/>
      <c r="B19" s="5"/>
      <c r="C19" s="965"/>
      <c r="D19" s="1562"/>
      <c r="E19" s="1107"/>
      <c r="F19" s="306" t="s">
        <v>111</v>
      </c>
      <c r="G19" s="174">
        <v>2.1</v>
      </c>
      <c r="H19" s="182"/>
      <c r="I19" s="405"/>
      <c r="J19" s="1539"/>
      <c r="K19" s="139"/>
      <c r="L19" s="966"/>
      <c r="M19" s="950"/>
      <c r="N19" s="46"/>
      <c r="P19" s="879"/>
      <c r="Q19" s="879"/>
      <c r="R19" s="879"/>
    </row>
    <row r="20" spans="1:18" s="2" customFormat="1" ht="53.25" customHeight="1" x14ac:dyDescent="0.35">
      <c r="A20" s="354"/>
      <c r="B20" s="5"/>
      <c r="C20" s="364"/>
      <c r="D20" s="1562"/>
      <c r="E20" s="1107"/>
      <c r="F20" s="311" t="s">
        <v>116</v>
      </c>
      <c r="G20" s="705">
        <v>50</v>
      </c>
      <c r="H20" s="181"/>
      <c r="I20" s="404"/>
      <c r="J20" s="1104" t="s">
        <v>19</v>
      </c>
      <c r="K20" s="638">
        <v>109</v>
      </c>
      <c r="L20" s="245">
        <v>70</v>
      </c>
      <c r="M20" s="436">
        <v>70</v>
      </c>
      <c r="P20" s="879"/>
      <c r="Q20" s="879"/>
      <c r="R20" s="879"/>
    </row>
    <row r="21" spans="1:18" s="2" customFormat="1" ht="53.25" customHeight="1" x14ac:dyDescent="0.35">
      <c r="A21" s="354"/>
      <c r="B21" s="5"/>
      <c r="C21" s="364"/>
      <c r="D21" s="1542" t="s">
        <v>15</v>
      </c>
      <c r="E21" s="836" t="s">
        <v>264</v>
      </c>
      <c r="F21" s="1281" t="s">
        <v>213</v>
      </c>
      <c r="G21" s="1286">
        <f>870.1+55</f>
        <v>925.1</v>
      </c>
      <c r="H21" s="1285">
        <v>870.1</v>
      </c>
      <c r="I21" s="1202">
        <v>870.1</v>
      </c>
      <c r="J21" s="1154" t="s">
        <v>85</v>
      </c>
      <c r="K21" s="640">
        <v>4</v>
      </c>
      <c r="L21" s="641">
        <v>4</v>
      </c>
      <c r="M21" s="437">
        <v>4</v>
      </c>
      <c r="N21" s="46"/>
      <c r="P21" s="879"/>
      <c r="Q21" s="879"/>
      <c r="R21" s="879"/>
    </row>
    <row r="22" spans="1:18" s="2" customFormat="1" ht="28.5" customHeight="1" x14ac:dyDescent="0.35">
      <c r="A22" s="354"/>
      <c r="B22" s="5"/>
      <c r="C22" s="364"/>
      <c r="D22" s="1543"/>
      <c r="E22" s="1107"/>
      <c r="F22" s="1281"/>
      <c r="G22" s="1284"/>
      <c r="H22" s="1285"/>
      <c r="I22" s="1287"/>
      <c r="J22" s="1155" t="s">
        <v>84</v>
      </c>
      <c r="K22" s="521">
        <v>190</v>
      </c>
      <c r="L22" s="588">
        <v>190</v>
      </c>
      <c r="M22" s="436">
        <v>190</v>
      </c>
      <c r="P22" s="879"/>
      <c r="Q22" s="879"/>
      <c r="R22" s="879"/>
    </row>
    <row r="23" spans="1:18" s="2" customFormat="1" ht="51" customHeight="1" x14ac:dyDescent="0.35">
      <c r="A23" s="354"/>
      <c r="B23" s="5"/>
      <c r="C23" s="364"/>
      <c r="D23" s="1544"/>
      <c r="E23" s="1107"/>
      <c r="F23" s="1180" t="s">
        <v>213</v>
      </c>
      <c r="G23" s="1288">
        <f>281.7+97.2</f>
        <v>378.9</v>
      </c>
      <c r="H23" s="1283">
        <v>281.7</v>
      </c>
      <c r="I23" s="1202">
        <v>281.7</v>
      </c>
      <c r="J23" s="1156" t="s">
        <v>86</v>
      </c>
      <c r="K23" s="521">
        <v>100</v>
      </c>
      <c r="L23" s="588">
        <v>100</v>
      </c>
      <c r="M23" s="438">
        <v>105</v>
      </c>
      <c r="P23" s="879"/>
      <c r="Q23" s="879"/>
      <c r="R23" s="879"/>
    </row>
    <row r="24" spans="1:18" s="2" customFormat="1" ht="57.65" customHeight="1" x14ac:dyDescent="0.35">
      <c r="A24" s="354"/>
      <c r="B24" s="5"/>
      <c r="C24" s="364"/>
      <c r="D24" s="356" t="s">
        <v>21</v>
      </c>
      <c r="E24" s="1108" t="s">
        <v>264</v>
      </c>
      <c r="F24" s="1281" t="s">
        <v>213</v>
      </c>
      <c r="G24" s="1286">
        <f>2884.6-152.7+248.8</f>
        <v>2980.7000000000003</v>
      </c>
      <c r="H24" s="1285">
        <v>2884.6</v>
      </c>
      <c r="I24" s="1202">
        <v>2884.6</v>
      </c>
      <c r="J24" s="1000" t="s">
        <v>161</v>
      </c>
      <c r="K24" s="54">
        <v>723</v>
      </c>
      <c r="L24" s="222">
        <v>723</v>
      </c>
      <c r="M24" s="437">
        <v>723</v>
      </c>
    </row>
    <row r="25" spans="1:18" s="2" customFormat="1" ht="56.65" customHeight="1" x14ac:dyDescent="0.35">
      <c r="A25" s="354"/>
      <c r="B25" s="5"/>
      <c r="C25" s="364"/>
      <c r="D25" s="356"/>
      <c r="E25" s="1541" t="s">
        <v>265</v>
      </c>
      <c r="F25" s="1281" t="s">
        <v>213</v>
      </c>
      <c r="G25" s="1286">
        <f>399.3+220.2+88.2</f>
        <v>707.7</v>
      </c>
      <c r="H25" s="1285">
        <v>399.3</v>
      </c>
      <c r="I25" s="1202">
        <v>399.3</v>
      </c>
      <c r="J25" s="149" t="s">
        <v>162</v>
      </c>
      <c r="K25" s="640">
        <v>65</v>
      </c>
      <c r="L25" s="641">
        <v>65</v>
      </c>
      <c r="M25" s="437">
        <v>65</v>
      </c>
    </row>
    <row r="26" spans="1:18" s="2" customFormat="1" ht="57" customHeight="1" x14ac:dyDescent="0.35">
      <c r="A26" s="354"/>
      <c r="B26" s="5"/>
      <c r="C26" s="364"/>
      <c r="D26" s="356"/>
      <c r="E26" s="1541"/>
      <c r="F26" s="1281" t="s">
        <v>213</v>
      </c>
      <c r="G26" s="1286">
        <f>1047.8+260.4+64.5</f>
        <v>1372.6999999999998</v>
      </c>
      <c r="H26" s="1285">
        <v>1047.8</v>
      </c>
      <c r="I26" s="1202">
        <v>1047.8</v>
      </c>
      <c r="J26" s="1021" t="s">
        <v>227</v>
      </c>
      <c r="K26" s="639">
        <v>123</v>
      </c>
      <c r="L26" s="236">
        <v>123</v>
      </c>
      <c r="M26" s="437">
        <v>123</v>
      </c>
    </row>
    <row r="27" spans="1:18" s="2" customFormat="1" ht="56.65" customHeight="1" x14ac:dyDescent="0.35">
      <c r="A27" s="354"/>
      <c r="B27" s="5"/>
      <c r="C27" s="364"/>
      <c r="D27" s="356"/>
      <c r="E27" s="1109"/>
      <c r="F27" s="1281" t="s">
        <v>213</v>
      </c>
      <c r="G27" s="1286">
        <v>254</v>
      </c>
      <c r="H27" s="1285">
        <v>254</v>
      </c>
      <c r="I27" s="1202">
        <v>254</v>
      </c>
      <c r="J27" s="1001" t="s">
        <v>163</v>
      </c>
      <c r="K27" s="522">
        <v>32</v>
      </c>
      <c r="L27" s="233">
        <v>32</v>
      </c>
      <c r="M27" s="437">
        <v>32</v>
      </c>
    </row>
    <row r="28" spans="1:18" s="2" customFormat="1" ht="56.65" customHeight="1" x14ac:dyDescent="0.35">
      <c r="A28" s="354"/>
      <c r="B28" s="5"/>
      <c r="C28" s="364"/>
      <c r="D28" s="356"/>
      <c r="E28" s="1109"/>
      <c r="F28" s="1281" t="s">
        <v>213</v>
      </c>
      <c r="G28" s="1286">
        <v>476.7</v>
      </c>
      <c r="H28" s="1285">
        <v>476.7</v>
      </c>
      <c r="I28" s="1202">
        <v>476.7</v>
      </c>
      <c r="J28" s="149" t="s">
        <v>228</v>
      </c>
      <c r="K28" s="640">
        <v>35</v>
      </c>
      <c r="L28" s="641">
        <v>35</v>
      </c>
      <c r="M28" s="437">
        <v>35</v>
      </c>
    </row>
    <row r="29" spans="1:18" s="2" customFormat="1" ht="26.25" customHeight="1" x14ac:dyDescent="0.35">
      <c r="A29" s="354"/>
      <c r="B29" s="5"/>
      <c r="C29" s="364"/>
      <c r="D29" s="356"/>
      <c r="E29" s="1109"/>
      <c r="F29" s="1281" t="s">
        <v>213</v>
      </c>
      <c r="G29" s="1286">
        <v>41.4</v>
      </c>
      <c r="H29" s="1285">
        <v>41.4</v>
      </c>
      <c r="I29" s="1202">
        <v>41.4</v>
      </c>
      <c r="J29" s="1477" t="s">
        <v>164</v>
      </c>
      <c r="K29" s="638">
        <v>8</v>
      </c>
      <c r="L29" s="245">
        <v>8</v>
      </c>
      <c r="M29" s="1101">
        <v>8</v>
      </c>
    </row>
    <row r="30" spans="1:18" s="2" customFormat="1" ht="39" customHeight="1" x14ac:dyDescent="0.35">
      <c r="A30" s="354"/>
      <c r="B30" s="5"/>
      <c r="C30" s="364"/>
      <c r="D30" s="1100"/>
      <c r="E30" s="1109"/>
      <c r="F30" s="1357"/>
      <c r="G30" s="1358"/>
      <c r="H30" s="1285"/>
      <c r="I30" s="1202"/>
      <c r="J30" s="1478"/>
      <c r="K30" s="639"/>
      <c r="L30" s="236"/>
      <c r="M30" s="1102"/>
    </row>
    <row r="31" spans="1:18" s="2" customFormat="1" ht="39.75" customHeight="1" x14ac:dyDescent="0.35">
      <c r="A31" s="354"/>
      <c r="B31" s="5"/>
      <c r="C31" s="364"/>
      <c r="D31" s="1294" t="s">
        <v>22</v>
      </c>
      <c r="E31" s="836" t="s">
        <v>264</v>
      </c>
      <c r="F31" s="1281" t="s">
        <v>213</v>
      </c>
      <c r="G31" s="1284">
        <v>1290.5999999999999</v>
      </c>
      <c r="H31" s="1285">
        <v>1290.5999999999999</v>
      </c>
      <c r="I31" s="1202">
        <v>1290.5999999999999</v>
      </c>
      <c r="J31" s="149" t="s">
        <v>23</v>
      </c>
      <c r="K31" s="12">
        <v>60</v>
      </c>
      <c r="L31" s="239">
        <v>53</v>
      </c>
      <c r="M31" s="1102">
        <v>53</v>
      </c>
    </row>
    <row r="32" spans="1:18" s="2" customFormat="1" ht="40.9" customHeight="1" x14ac:dyDescent="0.35">
      <c r="A32" s="354"/>
      <c r="B32" s="5"/>
      <c r="C32" s="364"/>
      <c r="D32" s="1098" t="s">
        <v>24</v>
      </c>
      <c r="E32" s="813" t="s">
        <v>264</v>
      </c>
      <c r="F32" s="1281" t="s">
        <v>213</v>
      </c>
      <c r="G32" s="1286">
        <f>2027.7+156.5</f>
        <v>2184.1999999999998</v>
      </c>
      <c r="H32" s="1285">
        <v>2027.7</v>
      </c>
      <c r="I32" s="1202">
        <v>2027.7</v>
      </c>
      <c r="J32" s="1105" t="s">
        <v>25</v>
      </c>
      <c r="K32" s="640">
        <v>5720</v>
      </c>
      <c r="L32" s="641">
        <v>5720</v>
      </c>
      <c r="M32" s="439">
        <v>5720</v>
      </c>
    </row>
    <row r="33" spans="1:13" s="2" customFormat="1" ht="16.899999999999999" customHeight="1" x14ac:dyDescent="0.35">
      <c r="A33" s="1473"/>
      <c r="B33" s="1470"/>
      <c r="C33" s="362"/>
      <c r="D33" s="1454" t="s">
        <v>26</v>
      </c>
      <c r="E33" s="806" t="s">
        <v>264</v>
      </c>
      <c r="F33" s="1180" t="s">
        <v>137</v>
      </c>
      <c r="G33" s="1282">
        <f>466.1+24.5</f>
        <v>490.6</v>
      </c>
      <c r="H33" s="1283">
        <v>466.1</v>
      </c>
      <c r="I33" s="1202">
        <v>466.1</v>
      </c>
      <c r="J33" s="1434" t="s">
        <v>87</v>
      </c>
      <c r="K33" s="264">
        <v>6349</v>
      </c>
      <c r="L33" s="561">
        <v>5470</v>
      </c>
      <c r="M33" s="438">
        <v>5470</v>
      </c>
    </row>
    <row r="34" spans="1:13" s="2" customFormat="1" ht="36" customHeight="1" x14ac:dyDescent="0.35">
      <c r="A34" s="1473"/>
      <c r="B34" s="1470"/>
      <c r="C34" s="362"/>
      <c r="D34" s="1455"/>
      <c r="E34" s="813" t="s">
        <v>265</v>
      </c>
      <c r="F34" s="53"/>
      <c r="G34" s="46"/>
      <c r="H34" s="1283"/>
      <c r="I34" s="1202"/>
      <c r="J34" s="1590"/>
      <c r="K34" s="297"/>
      <c r="L34" s="1179"/>
      <c r="M34" s="462"/>
    </row>
    <row r="35" spans="1:13" s="1" customFormat="1" ht="17.25" customHeight="1" x14ac:dyDescent="0.35">
      <c r="A35" s="1473"/>
      <c r="B35" s="1470"/>
      <c r="C35" s="362"/>
      <c r="D35" s="1454" t="s">
        <v>135</v>
      </c>
      <c r="E35" s="806" t="s">
        <v>264</v>
      </c>
      <c r="F35" s="1180" t="s">
        <v>213</v>
      </c>
      <c r="G35" s="1288">
        <f>667.4-480.6</f>
        <v>186.79999999999995</v>
      </c>
      <c r="H35" s="1283"/>
      <c r="I35" s="1190"/>
      <c r="J35" s="1442" t="s">
        <v>101</v>
      </c>
      <c r="K35" s="139">
        <v>108</v>
      </c>
      <c r="L35" s="934"/>
      <c r="M35" s="442"/>
    </row>
    <row r="36" spans="1:13" s="1" customFormat="1" ht="17.25" customHeight="1" x14ac:dyDescent="0.35">
      <c r="A36" s="1473"/>
      <c r="B36" s="1470"/>
      <c r="C36" s="690"/>
      <c r="D36" s="1486"/>
      <c r="E36" s="813" t="s">
        <v>265</v>
      </c>
      <c r="F36" s="1180" t="s">
        <v>137</v>
      </c>
      <c r="G36" s="1288">
        <f>124.8-124.8</f>
        <v>0</v>
      </c>
      <c r="H36" s="1283"/>
      <c r="I36" s="1190"/>
      <c r="J36" s="1443"/>
      <c r="K36" s="139"/>
      <c r="L36" s="934"/>
      <c r="M36" s="442"/>
    </row>
    <row r="37" spans="1:13" s="1" customFormat="1" ht="17.25" customHeight="1" x14ac:dyDescent="0.35">
      <c r="A37" s="1473"/>
      <c r="B37" s="1470"/>
      <c r="C37" s="362"/>
      <c r="D37" s="1486"/>
      <c r="E37" s="1296" t="s">
        <v>167</v>
      </c>
      <c r="F37" s="1180" t="s">
        <v>221</v>
      </c>
      <c r="G37" s="1288">
        <v>2.1</v>
      </c>
      <c r="H37" s="1283"/>
      <c r="I37" s="1202"/>
      <c r="J37" s="1443"/>
      <c r="K37" s="139"/>
      <c r="L37" s="934"/>
      <c r="M37" s="442"/>
    </row>
    <row r="38" spans="1:13" s="1" customFormat="1" ht="17.25" customHeight="1" x14ac:dyDescent="0.35">
      <c r="A38" s="1473"/>
      <c r="B38" s="1470"/>
      <c r="C38" s="362"/>
      <c r="D38" s="1455"/>
      <c r="E38" s="1295"/>
      <c r="F38" s="1180" t="s">
        <v>224</v>
      </c>
      <c r="G38" s="1288">
        <v>50</v>
      </c>
      <c r="H38" s="1283"/>
      <c r="I38" s="1202"/>
      <c r="J38" s="1443"/>
      <c r="K38" s="139"/>
      <c r="L38" s="934"/>
      <c r="M38" s="442"/>
    </row>
    <row r="39" spans="1:13" s="1" customFormat="1" ht="12.75" customHeight="1" x14ac:dyDescent="0.35">
      <c r="A39" s="354"/>
      <c r="B39" s="355"/>
      <c r="C39" s="362"/>
      <c r="D39" s="1463" t="s">
        <v>138</v>
      </c>
      <c r="E39" s="813" t="s">
        <v>167</v>
      </c>
      <c r="F39" s="1180" t="s">
        <v>214</v>
      </c>
      <c r="G39" s="1282">
        <v>101.8</v>
      </c>
      <c r="H39" s="1283">
        <v>101.8</v>
      </c>
      <c r="I39" s="1289">
        <v>101.8</v>
      </c>
      <c r="J39" s="1434" t="s">
        <v>146</v>
      </c>
      <c r="K39" s="264">
        <v>11</v>
      </c>
      <c r="L39" s="1068">
        <v>11</v>
      </c>
      <c r="M39" s="1050">
        <v>11</v>
      </c>
    </row>
    <row r="40" spans="1:13" s="1" customFormat="1" ht="13.5" customHeight="1" x14ac:dyDescent="0.35">
      <c r="A40" s="478"/>
      <c r="B40" s="479"/>
      <c r="C40" s="480"/>
      <c r="D40" s="1463"/>
      <c r="E40" s="813" t="s">
        <v>264</v>
      </c>
      <c r="F40" s="1180" t="s">
        <v>214</v>
      </c>
      <c r="G40" s="1288">
        <v>60</v>
      </c>
      <c r="H40" s="1283">
        <v>60</v>
      </c>
      <c r="I40" s="1190">
        <v>60</v>
      </c>
      <c r="J40" s="1590"/>
      <c r="K40" s="694"/>
      <c r="L40" s="242"/>
      <c r="M40" s="1585"/>
    </row>
    <row r="41" spans="1:13" s="1" customFormat="1" ht="14.25" customHeight="1" x14ac:dyDescent="0.35">
      <c r="A41" s="478"/>
      <c r="B41" s="479"/>
      <c r="C41" s="480"/>
      <c r="D41" s="1463"/>
      <c r="E41" s="1297" t="s">
        <v>265</v>
      </c>
      <c r="F41" s="1180"/>
      <c r="G41" s="1288"/>
      <c r="H41" s="1283"/>
      <c r="I41" s="1190"/>
      <c r="J41" s="1435"/>
      <c r="K41" s="503"/>
      <c r="L41" s="242"/>
      <c r="M41" s="1585"/>
    </row>
    <row r="42" spans="1:13" s="1" customFormat="1" ht="67.900000000000006" customHeight="1" x14ac:dyDescent="0.35">
      <c r="A42" s="354"/>
      <c r="B42" s="355"/>
      <c r="C42" s="362"/>
      <c r="D42" s="1454" t="s">
        <v>237</v>
      </c>
      <c r="E42" s="1110" t="s">
        <v>264</v>
      </c>
      <c r="F42" s="1290"/>
      <c r="G42" s="1291"/>
      <c r="H42" s="1292"/>
      <c r="I42" s="1293"/>
      <c r="J42" s="1132" t="s">
        <v>118</v>
      </c>
      <c r="K42" s="1277">
        <v>3200</v>
      </c>
      <c r="L42" s="1068">
        <v>3200</v>
      </c>
      <c r="M42" s="1278">
        <v>3200</v>
      </c>
    </row>
    <row r="43" spans="1:13" s="1" customFormat="1" ht="17.25" customHeight="1" thickBot="1" x14ac:dyDescent="0.4">
      <c r="A43" s="359"/>
      <c r="B43" s="357"/>
      <c r="C43" s="363"/>
      <c r="D43" s="1487"/>
      <c r="E43" s="1501" t="s">
        <v>20</v>
      </c>
      <c r="F43" s="1502"/>
      <c r="G43" s="9">
        <f>SUM(G15:G20)</f>
        <v>14995.800000000001</v>
      </c>
      <c r="H43" s="187">
        <f>SUM(H15:H20)</f>
        <v>12884.400000000001</v>
      </c>
      <c r="I43" s="301">
        <f>SUM(I15:I20)</f>
        <v>12884.400000000001</v>
      </c>
      <c r="J43" s="1148"/>
      <c r="K43" s="643"/>
      <c r="L43" s="1069"/>
      <c r="M43" s="493"/>
    </row>
    <row r="44" spans="1:13" s="2" customFormat="1" ht="69.650000000000006" customHeight="1" x14ac:dyDescent="0.35">
      <c r="A44" s="1473" t="s">
        <v>10</v>
      </c>
      <c r="B44" s="1470" t="s">
        <v>10</v>
      </c>
      <c r="C44" s="1505" t="s">
        <v>28</v>
      </c>
      <c r="D44" s="1463" t="s">
        <v>29</v>
      </c>
      <c r="E44" s="1507" t="s">
        <v>264</v>
      </c>
      <c r="F44" s="555" t="s">
        <v>30</v>
      </c>
      <c r="G44" s="338">
        <v>9323.7000000000007</v>
      </c>
      <c r="H44" s="708">
        <v>8880.5</v>
      </c>
      <c r="I44" s="305">
        <v>8880.5</v>
      </c>
      <c r="J44" s="785" t="s">
        <v>147</v>
      </c>
      <c r="K44" s="12">
        <v>4124</v>
      </c>
      <c r="L44" s="239">
        <v>4124</v>
      </c>
      <c r="M44" s="434">
        <v>4124</v>
      </c>
    </row>
    <row r="45" spans="1:13" s="2" customFormat="1" ht="16.5" customHeight="1" thickBot="1" x14ac:dyDescent="0.4">
      <c r="A45" s="1474"/>
      <c r="B45" s="1471"/>
      <c r="C45" s="1506"/>
      <c r="D45" s="1504"/>
      <c r="E45" s="1508"/>
      <c r="F45" s="341" t="s">
        <v>20</v>
      </c>
      <c r="G45" s="301">
        <f t="shared" ref="G45:I45" si="0">+G44</f>
        <v>9323.7000000000007</v>
      </c>
      <c r="H45" s="187">
        <f t="shared" si="0"/>
        <v>8880.5</v>
      </c>
      <c r="I45" s="176">
        <f t="shared" si="0"/>
        <v>8880.5</v>
      </c>
      <c r="J45" s="1153"/>
      <c r="K45" s="11"/>
      <c r="L45" s="510"/>
      <c r="M45" s="444"/>
    </row>
    <row r="46" spans="1:13" s="2" customFormat="1" ht="21.65" customHeight="1" x14ac:dyDescent="0.35">
      <c r="A46" s="358" t="s">
        <v>10</v>
      </c>
      <c r="B46" s="4" t="s">
        <v>10</v>
      </c>
      <c r="C46" s="103" t="s">
        <v>31</v>
      </c>
      <c r="D46" s="1503" t="s">
        <v>32</v>
      </c>
      <c r="E46" s="734" t="s">
        <v>264</v>
      </c>
      <c r="F46" s="557" t="s">
        <v>30</v>
      </c>
      <c r="G46" s="715">
        <v>33328.400000000001</v>
      </c>
      <c r="H46" s="716">
        <v>31200.2</v>
      </c>
      <c r="I46" s="305">
        <v>31200.2</v>
      </c>
      <c r="J46" s="1588" t="s">
        <v>147</v>
      </c>
      <c r="K46" s="13">
        <v>32400</v>
      </c>
      <c r="L46" s="509">
        <v>32400</v>
      </c>
      <c r="M46" s="434">
        <v>32400</v>
      </c>
    </row>
    <row r="47" spans="1:13" s="2" customFormat="1" ht="16.5" customHeight="1" thickBot="1" x14ac:dyDescent="0.4">
      <c r="A47" s="359"/>
      <c r="B47" s="10"/>
      <c r="C47" s="365"/>
      <c r="D47" s="1504"/>
      <c r="E47" s="238"/>
      <c r="F47" s="341" t="s">
        <v>20</v>
      </c>
      <c r="G47" s="895">
        <f t="shared" ref="G47:I47" si="1">+G46</f>
        <v>33328.400000000001</v>
      </c>
      <c r="H47" s="184">
        <f t="shared" si="1"/>
        <v>31200.2</v>
      </c>
      <c r="I47" s="177">
        <f t="shared" si="1"/>
        <v>31200.2</v>
      </c>
      <c r="J47" s="1589"/>
      <c r="K47" s="644"/>
      <c r="L47" s="645"/>
      <c r="M47" s="445"/>
    </row>
    <row r="48" spans="1:13" s="1" customFormat="1" ht="25.15" customHeight="1" x14ac:dyDescent="0.35">
      <c r="A48" s="1472" t="s">
        <v>10</v>
      </c>
      <c r="B48" s="1481" t="s">
        <v>10</v>
      </c>
      <c r="C48" s="1483" t="s">
        <v>33</v>
      </c>
      <c r="D48" s="1503" t="s">
        <v>113</v>
      </c>
      <c r="E48" s="734" t="s">
        <v>264</v>
      </c>
      <c r="F48" s="1085" t="s">
        <v>16</v>
      </c>
      <c r="G48" s="717">
        <f>347.4+1984.8</f>
        <v>2332.1999999999998</v>
      </c>
      <c r="H48" s="718">
        <v>347.4</v>
      </c>
      <c r="I48" s="305">
        <v>347.4</v>
      </c>
      <c r="J48" s="1479" t="s">
        <v>114</v>
      </c>
      <c r="K48" s="13">
        <v>4728</v>
      </c>
      <c r="L48" s="509">
        <v>780</v>
      </c>
      <c r="M48" s="434">
        <v>780</v>
      </c>
    </row>
    <row r="49" spans="1:13" s="1" customFormat="1" ht="31.9" customHeight="1" x14ac:dyDescent="0.35">
      <c r="A49" s="1473"/>
      <c r="B49" s="1470"/>
      <c r="C49" s="1469"/>
      <c r="D49" s="1463"/>
      <c r="E49" s="239"/>
      <c r="F49" s="548" t="s">
        <v>206</v>
      </c>
      <c r="G49" s="719">
        <f>638.6+19.3</f>
        <v>657.9</v>
      </c>
      <c r="H49" s="720">
        <v>638.6</v>
      </c>
      <c r="I49" s="679">
        <v>638.6</v>
      </c>
      <c r="J49" s="1576"/>
      <c r="K49" s="12"/>
      <c r="L49" s="239"/>
      <c r="M49" s="439"/>
    </row>
    <row r="50" spans="1:13" s="2" customFormat="1" ht="16.5" customHeight="1" thickBot="1" x14ac:dyDescent="0.4">
      <c r="A50" s="1474"/>
      <c r="B50" s="1471"/>
      <c r="C50" s="1484"/>
      <c r="D50" s="1504"/>
      <c r="E50" s="238"/>
      <c r="F50" s="341" t="s">
        <v>20</v>
      </c>
      <c r="G50" s="301">
        <f>SUM(G48:G49)</f>
        <v>2990.1</v>
      </c>
      <c r="H50" s="187">
        <f t="shared" ref="H50:I50" si="2">SUM(H48:H49)</f>
        <v>986</v>
      </c>
      <c r="I50" s="176">
        <f t="shared" si="2"/>
        <v>986</v>
      </c>
      <c r="J50" s="1480"/>
      <c r="K50" s="11"/>
      <c r="L50" s="510"/>
      <c r="M50" s="446"/>
    </row>
    <row r="51" spans="1:13" s="1" customFormat="1" ht="29.25" customHeight="1" x14ac:dyDescent="0.35">
      <c r="A51" s="1012" t="s">
        <v>10</v>
      </c>
      <c r="B51" s="1014" t="s">
        <v>10</v>
      </c>
      <c r="C51" s="1052" t="s">
        <v>34</v>
      </c>
      <c r="D51" s="1485" t="s">
        <v>128</v>
      </c>
      <c r="E51" s="734" t="s">
        <v>264</v>
      </c>
      <c r="F51" s="1112" t="s">
        <v>14</v>
      </c>
      <c r="G51" s="721">
        <v>302.2</v>
      </c>
      <c r="H51" s="722">
        <v>302.2</v>
      </c>
      <c r="I51" s="178">
        <v>302.2</v>
      </c>
      <c r="J51" s="1157" t="s">
        <v>127</v>
      </c>
      <c r="K51" s="646">
        <v>100</v>
      </c>
      <c r="L51" s="294">
        <v>100</v>
      </c>
      <c r="M51" s="447">
        <v>100</v>
      </c>
    </row>
    <row r="52" spans="1:13" s="1" customFormat="1" ht="32.5" customHeight="1" x14ac:dyDescent="0.35">
      <c r="A52" s="102"/>
      <c r="B52" s="1160"/>
      <c r="C52" s="1158"/>
      <c r="D52" s="1486"/>
      <c r="E52" s="239"/>
      <c r="F52" s="42"/>
      <c r="G52" s="723"/>
      <c r="H52" s="724"/>
      <c r="I52" s="179"/>
      <c r="J52" s="1428" t="s">
        <v>209</v>
      </c>
      <c r="K52" s="647">
        <v>50</v>
      </c>
      <c r="L52" s="226">
        <v>50</v>
      </c>
      <c r="M52" s="448">
        <v>50</v>
      </c>
    </row>
    <row r="53" spans="1:13" s="2" customFormat="1" ht="16.5" customHeight="1" thickBot="1" x14ac:dyDescent="0.4">
      <c r="A53" s="1162"/>
      <c r="B53" s="1161"/>
      <c r="C53" s="1159"/>
      <c r="D53" s="387"/>
      <c r="E53" s="238"/>
      <c r="F53" s="341" t="s">
        <v>20</v>
      </c>
      <c r="G53" s="301">
        <f>+G51+G52</f>
        <v>302.2</v>
      </c>
      <c r="H53" s="301">
        <f>+H51+H52</f>
        <v>302.2</v>
      </c>
      <c r="I53" s="301">
        <f>+I51+I52</f>
        <v>302.2</v>
      </c>
      <c r="J53" s="1429"/>
      <c r="K53" s="648"/>
      <c r="L53" s="237"/>
      <c r="M53" s="449"/>
    </row>
    <row r="54" spans="1:13" s="1" customFormat="1" ht="31.9" customHeight="1" x14ac:dyDescent="0.35">
      <c r="A54" s="1472" t="s">
        <v>10</v>
      </c>
      <c r="B54" s="1481" t="s">
        <v>10</v>
      </c>
      <c r="C54" s="1583" t="s">
        <v>48</v>
      </c>
      <c r="D54" s="1485" t="s">
        <v>207</v>
      </c>
      <c r="E54" s="1573" t="s">
        <v>264</v>
      </c>
      <c r="F54" s="845" t="s">
        <v>14</v>
      </c>
      <c r="G54" s="846">
        <v>57.9</v>
      </c>
      <c r="H54" s="847">
        <v>57.9</v>
      </c>
      <c r="I54" s="300">
        <v>57.9</v>
      </c>
      <c r="J54" s="1575" t="s">
        <v>208</v>
      </c>
      <c r="K54" s="1577">
        <v>3</v>
      </c>
      <c r="L54" s="1579">
        <v>3</v>
      </c>
      <c r="M54" s="1581">
        <v>3</v>
      </c>
    </row>
    <row r="55" spans="1:13" s="1" customFormat="1" ht="13.5" thickBot="1" x14ac:dyDescent="0.4">
      <c r="A55" s="1474"/>
      <c r="B55" s="1471"/>
      <c r="C55" s="1584"/>
      <c r="D55" s="1487"/>
      <c r="E55" s="1574"/>
      <c r="F55" s="1113" t="s">
        <v>20</v>
      </c>
      <c r="G55" s="851">
        <f>G54</f>
        <v>57.9</v>
      </c>
      <c r="H55" s="852">
        <f>H54</f>
        <v>57.9</v>
      </c>
      <c r="I55" s="853">
        <f>I54</f>
        <v>57.9</v>
      </c>
      <c r="J55" s="1429"/>
      <c r="K55" s="1578"/>
      <c r="L55" s="1580"/>
      <c r="M55" s="1582"/>
    </row>
    <row r="56" spans="1:13" s="1" customFormat="1" ht="21" customHeight="1" x14ac:dyDescent="0.35">
      <c r="A56" s="1472" t="s">
        <v>10</v>
      </c>
      <c r="B56" s="1481" t="s">
        <v>10</v>
      </c>
      <c r="C56" s="1583" t="s">
        <v>49</v>
      </c>
      <c r="D56" s="1485" t="s">
        <v>259</v>
      </c>
      <c r="E56" s="848" t="s">
        <v>264</v>
      </c>
      <c r="F56" s="845" t="s">
        <v>30</v>
      </c>
      <c r="G56" s="846"/>
      <c r="H56" s="847">
        <v>341.1</v>
      </c>
      <c r="I56" s="300">
        <v>341.1</v>
      </c>
      <c r="J56" s="1575" t="s">
        <v>260</v>
      </c>
      <c r="K56" s="646">
        <v>44</v>
      </c>
      <c r="L56" s="294">
        <v>44</v>
      </c>
      <c r="M56" s="447">
        <v>44</v>
      </c>
    </row>
    <row r="57" spans="1:13" s="1" customFormat="1" ht="21" customHeight="1" x14ac:dyDescent="0.35">
      <c r="A57" s="1473"/>
      <c r="B57" s="1470"/>
      <c r="C57" s="1587"/>
      <c r="D57" s="1486"/>
      <c r="E57" s="1359"/>
      <c r="F57" s="42" t="s">
        <v>14</v>
      </c>
      <c r="G57" s="723">
        <v>334.4</v>
      </c>
      <c r="H57" s="724"/>
      <c r="I57" s="1360"/>
      <c r="J57" s="1586"/>
      <c r="K57" s="664"/>
      <c r="L57" s="221"/>
      <c r="M57" s="465"/>
    </row>
    <row r="58" spans="1:13" s="2" customFormat="1" ht="16.5" customHeight="1" thickBot="1" x14ac:dyDescent="0.4">
      <c r="A58" s="1474"/>
      <c r="B58" s="1471"/>
      <c r="C58" s="1584"/>
      <c r="D58" s="1487"/>
      <c r="E58" s="889" t="s">
        <v>265</v>
      </c>
      <c r="F58" s="341" t="s">
        <v>20</v>
      </c>
      <c r="G58" s="301">
        <f>SUM(G56:G57)</f>
        <v>334.4</v>
      </c>
      <c r="H58" s="187">
        <f>SUM(H56:H57)</f>
        <v>341.1</v>
      </c>
      <c r="I58" s="301">
        <f>SUM(I56:I57)</f>
        <v>341.1</v>
      </c>
      <c r="J58" s="1429"/>
      <c r="K58" s="648"/>
      <c r="L58" s="237"/>
      <c r="M58" s="844"/>
    </row>
    <row r="59" spans="1:13" s="2" customFormat="1" ht="16.5" customHeight="1" x14ac:dyDescent="0.35">
      <c r="A59" s="1472" t="s">
        <v>10</v>
      </c>
      <c r="B59" s="1481" t="s">
        <v>10</v>
      </c>
      <c r="C59" s="1378" t="s">
        <v>80</v>
      </c>
      <c r="D59" s="1485" t="s">
        <v>316</v>
      </c>
      <c r="E59" s="848" t="s">
        <v>276</v>
      </c>
      <c r="F59" s="1368" t="s">
        <v>14</v>
      </c>
      <c r="G59" s="1369">
        <v>0.3</v>
      </c>
      <c r="H59" s="1367"/>
      <c r="I59" s="1363"/>
      <c r="J59" s="1384" t="s">
        <v>147</v>
      </c>
      <c r="K59" s="664">
        <v>1</v>
      </c>
      <c r="L59" s="1349"/>
      <c r="M59" s="1365"/>
    </row>
    <row r="60" spans="1:13" s="2" customFormat="1" ht="16.5" customHeight="1" thickBot="1" x14ac:dyDescent="0.4">
      <c r="A60" s="1474"/>
      <c r="B60" s="1471"/>
      <c r="C60" s="1342"/>
      <c r="D60" s="1487"/>
      <c r="E60" s="889"/>
      <c r="F60" s="1124" t="s">
        <v>20</v>
      </c>
      <c r="G60" s="1366">
        <f>G59</f>
        <v>0.3</v>
      </c>
      <c r="H60" s="187">
        <f>H59</f>
        <v>0</v>
      </c>
      <c r="I60" s="1361">
        <f>I59</f>
        <v>0</v>
      </c>
      <c r="J60" s="1383"/>
      <c r="K60" s="648"/>
      <c r="L60" s="1350"/>
      <c r="M60" s="1362"/>
    </row>
    <row r="61" spans="1:13" s="2" customFormat="1" ht="55.5" customHeight="1" x14ac:dyDescent="0.35">
      <c r="A61" s="1472" t="s">
        <v>10</v>
      </c>
      <c r="B61" s="1481" t="s">
        <v>10</v>
      </c>
      <c r="C61" s="1340" t="s">
        <v>284</v>
      </c>
      <c r="D61" s="1485" t="s">
        <v>317</v>
      </c>
      <c r="E61" s="1359" t="s">
        <v>276</v>
      </c>
      <c r="F61" s="1370" t="s">
        <v>14</v>
      </c>
      <c r="G61" s="1369">
        <v>423.5</v>
      </c>
      <c r="H61" s="1367"/>
      <c r="I61" s="1363"/>
      <c r="J61" s="1385" t="s">
        <v>318</v>
      </c>
      <c r="K61" s="664">
        <v>1734</v>
      </c>
      <c r="L61" s="1349"/>
      <c r="M61" s="1364"/>
    </row>
    <row r="62" spans="1:13" s="2" customFormat="1" ht="16.5" customHeight="1" thickBot="1" x14ac:dyDescent="0.4">
      <c r="A62" s="1474"/>
      <c r="B62" s="1471"/>
      <c r="C62" s="1379"/>
      <c r="D62" s="1487"/>
      <c r="E62" s="889"/>
      <c r="F62" s="882" t="s">
        <v>20</v>
      </c>
      <c r="G62" s="1366">
        <f>G61</f>
        <v>423.5</v>
      </c>
      <c r="H62" s="187">
        <f>H61</f>
        <v>0</v>
      </c>
      <c r="I62" s="1361">
        <f>I61</f>
        <v>0</v>
      </c>
      <c r="J62" s="1336"/>
      <c r="K62" s="648"/>
      <c r="L62" s="1350"/>
      <c r="M62" s="1362"/>
    </row>
    <row r="63" spans="1:13" s="2" customFormat="1" ht="52.5" customHeight="1" x14ac:dyDescent="0.35">
      <c r="A63" s="1472" t="s">
        <v>10</v>
      </c>
      <c r="B63" s="1481" t="s">
        <v>10</v>
      </c>
      <c r="C63" s="1483" t="s">
        <v>327</v>
      </c>
      <c r="D63" s="1485" t="s">
        <v>328</v>
      </c>
      <c r="E63" s="1425" t="s">
        <v>276</v>
      </c>
      <c r="F63" s="168" t="s">
        <v>14</v>
      </c>
      <c r="G63" s="1416">
        <v>8.9</v>
      </c>
      <c r="H63" s="1406"/>
      <c r="I63" s="1407"/>
      <c r="J63" s="1410" t="s">
        <v>329</v>
      </c>
      <c r="K63" s="1408">
        <v>35</v>
      </c>
      <c r="L63" s="1412"/>
      <c r="M63" s="1409"/>
    </row>
    <row r="64" spans="1:13" s="2" customFormat="1" ht="45" customHeight="1" x14ac:dyDescent="0.35">
      <c r="A64" s="1473"/>
      <c r="B64" s="1470"/>
      <c r="C64" s="1469"/>
      <c r="D64" s="1486"/>
      <c r="E64" s="1426"/>
      <c r="F64" s="831"/>
      <c r="G64" s="1413"/>
      <c r="H64" s="1414"/>
      <c r="I64" s="1415"/>
      <c r="J64" s="1428" t="s">
        <v>330</v>
      </c>
      <c r="K64" s="228">
        <v>5</v>
      </c>
      <c r="L64" s="1395"/>
      <c r="M64" s="1411"/>
    </row>
    <row r="65" spans="1:18" s="2" customFormat="1" ht="14.25" customHeight="1" thickBot="1" x14ac:dyDescent="0.4">
      <c r="A65" s="1474"/>
      <c r="B65" s="1471"/>
      <c r="C65" s="1484"/>
      <c r="D65" s="1487"/>
      <c r="E65" s="1427"/>
      <c r="F65" s="1404" t="s">
        <v>20</v>
      </c>
      <c r="G65" s="1366">
        <f>G63</f>
        <v>8.9</v>
      </c>
      <c r="H65" s="1405">
        <f>H63</f>
        <v>0</v>
      </c>
      <c r="I65" s="1361">
        <f>I63</f>
        <v>0</v>
      </c>
      <c r="J65" s="1429"/>
      <c r="K65" s="648"/>
      <c r="L65" s="1391"/>
      <c r="M65" s="1362"/>
    </row>
    <row r="66" spans="1:18" s="1" customFormat="1" ht="16.5" customHeight="1" thickBot="1" x14ac:dyDescent="0.4">
      <c r="A66" s="516" t="s">
        <v>10</v>
      </c>
      <c r="B66" s="517" t="s">
        <v>10</v>
      </c>
      <c r="C66" s="1567" t="s">
        <v>35</v>
      </c>
      <c r="D66" s="1568"/>
      <c r="E66" s="1568"/>
      <c r="F66" s="1569"/>
      <c r="G66" s="211">
        <f>G50+G47+G45+G43+G53+G58+G55+G60+G62+G65</f>
        <v>61765.200000000004</v>
      </c>
      <c r="H66" s="217">
        <f>H50+H47+H45+H43+H53+H58+H55+H60+H62+H65</f>
        <v>54652.299999999996</v>
      </c>
      <c r="I66" s="1371">
        <f>I50+I47+I45+I43+I53+I58+I55+I60+I62+I65</f>
        <v>54652.299999999996</v>
      </c>
      <c r="J66" s="1600"/>
      <c r="K66" s="1601"/>
      <c r="L66" s="1601"/>
      <c r="M66" s="1602"/>
    </row>
    <row r="67" spans="1:18" s="1" customFormat="1" ht="16.5" customHeight="1" thickBot="1" x14ac:dyDescent="0.4">
      <c r="A67" s="58" t="s">
        <v>10</v>
      </c>
      <c r="B67" s="3" t="s">
        <v>28</v>
      </c>
      <c r="C67" s="1570" t="s">
        <v>36</v>
      </c>
      <c r="D67" s="1570"/>
      <c r="E67" s="1570"/>
      <c r="F67" s="1571"/>
      <c r="G67" s="1571"/>
      <c r="H67" s="1571"/>
      <c r="I67" s="1571"/>
      <c r="J67" s="1570"/>
      <c r="K67" s="1570"/>
      <c r="L67" s="1570"/>
      <c r="M67" s="1572"/>
    </row>
    <row r="68" spans="1:18" s="2" customFormat="1" ht="15" customHeight="1" x14ac:dyDescent="0.35">
      <c r="A68" s="358" t="s">
        <v>10</v>
      </c>
      <c r="B68" s="360" t="s">
        <v>28</v>
      </c>
      <c r="C68" s="368" t="s">
        <v>10</v>
      </c>
      <c r="D68" s="1566" t="s">
        <v>37</v>
      </c>
      <c r="E68" s="837" t="s">
        <v>264</v>
      </c>
      <c r="F68" s="1163" t="s">
        <v>16</v>
      </c>
      <c r="G68" s="1164">
        <v>5760.7</v>
      </c>
      <c r="H68" s="1165">
        <v>5993.1</v>
      </c>
      <c r="I68" s="1166">
        <v>5871.1</v>
      </c>
      <c r="J68" s="1143"/>
      <c r="K68" s="1133"/>
      <c r="L68" s="562"/>
      <c r="M68" s="451"/>
      <c r="O68" s="1167" t="s">
        <v>16</v>
      </c>
      <c r="P68" s="1168">
        <f>G78+G83+G92+G94+G96+G103+G113+G121+G131+G139+G149+G152</f>
        <v>5679.7</v>
      </c>
      <c r="Q68" s="1168">
        <f>H78+H83+H92+H103+H121+H131+H137+H139+H149+H152</f>
        <v>5993.1</v>
      </c>
      <c r="R68" s="1168">
        <f>I78+I83+I92+I103+I121+I131+I139+I149+I152</f>
        <v>5871.1</v>
      </c>
    </row>
    <row r="69" spans="1:18" s="2" customFormat="1" ht="15" customHeight="1" x14ac:dyDescent="0.35">
      <c r="A69" s="354"/>
      <c r="B69" s="355"/>
      <c r="C69" s="369"/>
      <c r="D69" s="1562"/>
      <c r="E69" s="1111"/>
      <c r="F69" s="306" t="s">
        <v>206</v>
      </c>
      <c r="G69" s="951">
        <f>1954.4-30.6</f>
        <v>1923.8000000000002</v>
      </c>
      <c r="H69" s="952">
        <v>1944.7</v>
      </c>
      <c r="I69" s="949">
        <v>1944.7</v>
      </c>
      <c r="J69" s="36"/>
      <c r="K69" s="900"/>
      <c r="L69" s="242"/>
      <c r="M69" s="872"/>
      <c r="O69" s="1167" t="s">
        <v>109</v>
      </c>
      <c r="P69" s="1168">
        <f>G105+G124+G144</f>
        <v>6.6999999999999993</v>
      </c>
      <c r="Q69" s="1168"/>
      <c r="R69" s="1168"/>
    </row>
    <row r="70" spans="1:18" s="2" customFormat="1" ht="15" customHeight="1" x14ac:dyDescent="0.35">
      <c r="A70" s="1009"/>
      <c r="B70" s="1010"/>
      <c r="C70" s="1090"/>
      <c r="D70" s="1059"/>
      <c r="E70" s="1111"/>
      <c r="F70" s="306" t="s">
        <v>109</v>
      </c>
      <c r="G70" s="951">
        <v>6.7</v>
      </c>
      <c r="H70" s="952"/>
      <c r="I70" s="949"/>
      <c r="J70" s="36"/>
      <c r="K70" s="900"/>
      <c r="L70" s="242"/>
      <c r="M70" s="872"/>
      <c r="O70" s="1167" t="s">
        <v>206</v>
      </c>
      <c r="P70" s="1168">
        <f>G79+G84+G93+G95+G97+G98+G104+G122+G128+G132+G140</f>
        <v>1923.8</v>
      </c>
      <c r="Q70" s="1168">
        <f>H79+H84+H93+H104+H122+H128+H132+H140</f>
        <v>1944.6999999999998</v>
      </c>
      <c r="R70" s="1168">
        <f>I79+I84+I93+I104+I122+I128+I132+I140</f>
        <v>1944.6999999999998</v>
      </c>
    </row>
    <row r="71" spans="1:18" s="2" customFormat="1" ht="15" customHeight="1" x14ac:dyDescent="0.35">
      <c r="A71" s="1009"/>
      <c r="B71" s="1010"/>
      <c r="C71" s="1090"/>
      <c r="D71" s="1059"/>
      <c r="E71" s="1111"/>
      <c r="F71" s="306" t="s">
        <v>38</v>
      </c>
      <c r="G71" s="951">
        <v>804</v>
      </c>
      <c r="H71" s="952">
        <v>793.9</v>
      </c>
      <c r="I71" s="949">
        <v>800.9</v>
      </c>
      <c r="J71" s="36"/>
      <c r="K71" s="900"/>
      <c r="L71" s="242"/>
      <c r="M71" s="872"/>
      <c r="O71" s="1167" t="s">
        <v>38</v>
      </c>
      <c r="P71" s="1168">
        <f>G80+G85+G100+G107+G125+G129</f>
        <v>791</v>
      </c>
      <c r="Q71" s="1168">
        <f>H80+H85+H100+H107+H125+H129</f>
        <v>793.9</v>
      </c>
      <c r="R71" s="1168">
        <f>I80+I85+I100+I107+I125+I129</f>
        <v>800.9</v>
      </c>
    </row>
    <row r="72" spans="1:18" s="2" customFormat="1" ht="15" customHeight="1" x14ac:dyDescent="0.35">
      <c r="A72" s="1009"/>
      <c r="B72" s="1010"/>
      <c r="C72" s="1090"/>
      <c r="D72" s="1059"/>
      <c r="E72" s="1111"/>
      <c r="F72" s="306" t="s">
        <v>79</v>
      </c>
      <c r="G72" s="951">
        <v>104</v>
      </c>
      <c r="H72" s="952"/>
      <c r="I72" s="949"/>
      <c r="J72" s="36"/>
      <c r="K72" s="900"/>
      <c r="L72" s="242"/>
      <c r="M72" s="872"/>
      <c r="O72" s="1167" t="s">
        <v>79</v>
      </c>
      <c r="P72" s="1168">
        <f>G81+G86+G101+G126+G130+G146</f>
        <v>104.00000000000001</v>
      </c>
      <c r="Q72" s="1168"/>
      <c r="R72" s="1168"/>
    </row>
    <row r="73" spans="1:18" s="2" customFormat="1" ht="15" customHeight="1" x14ac:dyDescent="0.35">
      <c r="A73" s="1009"/>
      <c r="B73" s="1010"/>
      <c r="C73" s="1090"/>
      <c r="D73" s="1059"/>
      <c r="E73" s="1111"/>
      <c r="F73" s="306" t="s">
        <v>14</v>
      </c>
      <c r="G73" s="951">
        <f>70.4+24+102.8+32.8+40.2+57+32.8+36.7+47.4+72.6+0.1+0.6</f>
        <v>517.4</v>
      </c>
      <c r="H73" s="952">
        <v>67.400000000000006</v>
      </c>
      <c r="I73" s="949">
        <v>67.400000000000006</v>
      </c>
      <c r="J73" s="36"/>
      <c r="K73" s="900"/>
      <c r="L73" s="242"/>
      <c r="M73" s="872"/>
      <c r="O73" s="1167" t="s">
        <v>14</v>
      </c>
      <c r="P73" s="1168">
        <f>G82+G90+G102+G111+G127+G133+G138+G147+G145</f>
        <v>451.19999999999993</v>
      </c>
      <c r="Q73" s="1168">
        <f>H133+H145</f>
        <v>67.400000000000006</v>
      </c>
      <c r="R73" s="1168">
        <f>I133+I145</f>
        <v>67.400000000000006</v>
      </c>
    </row>
    <row r="74" spans="1:18" s="2" customFormat="1" ht="15" customHeight="1" x14ac:dyDescent="0.35">
      <c r="A74" s="1009"/>
      <c r="B74" s="1010"/>
      <c r="C74" s="1090"/>
      <c r="D74" s="1059"/>
      <c r="E74" s="1111"/>
      <c r="F74" s="306" t="s">
        <v>111</v>
      </c>
      <c r="G74" s="951">
        <f>96.5+6.4+10</f>
        <v>112.9</v>
      </c>
      <c r="H74" s="952"/>
      <c r="I74" s="949"/>
      <c r="J74" s="36"/>
      <c r="K74" s="900"/>
      <c r="L74" s="242"/>
      <c r="M74" s="872"/>
      <c r="O74" s="1167" t="s">
        <v>39</v>
      </c>
      <c r="P74" s="1168">
        <f t="shared" ref="P74:R75" si="3">G88</f>
        <v>6</v>
      </c>
      <c r="Q74" s="1168">
        <f t="shared" si="3"/>
        <v>6</v>
      </c>
      <c r="R74" s="1168">
        <f t="shared" si="3"/>
        <v>6</v>
      </c>
    </row>
    <row r="75" spans="1:18" s="2" customFormat="1" ht="15" customHeight="1" x14ac:dyDescent="0.35">
      <c r="A75" s="1009"/>
      <c r="B75" s="1010"/>
      <c r="C75" s="1090"/>
      <c r="D75" s="1059"/>
      <c r="E75" s="1111"/>
      <c r="F75" s="306" t="s">
        <v>112</v>
      </c>
      <c r="G75" s="951">
        <v>7.3</v>
      </c>
      <c r="H75" s="952"/>
      <c r="I75" s="949"/>
      <c r="J75" s="36"/>
      <c r="K75" s="900"/>
      <c r="L75" s="242"/>
      <c r="M75" s="872"/>
      <c r="O75" s="1167" t="s">
        <v>30</v>
      </c>
      <c r="P75" s="1168">
        <f t="shared" si="3"/>
        <v>23</v>
      </c>
      <c r="Q75" s="1168">
        <f t="shared" si="3"/>
        <v>23</v>
      </c>
      <c r="R75" s="1168">
        <f t="shared" si="3"/>
        <v>23</v>
      </c>
    </row>
    <row r="76" spans="1:18" s="2" customFormat="1" ht="15" customHeight="1" x14ac:dyDescent="0.35">
      <c r="A76" s="1009"/>
      <c r="B76" s="1010"/>
      <c r="C76" s="1090"/>
      <c r="D76" s="1059"/>
      <c r="E76" s="1111"/>
      <c r="F76" s="306" t="s">
        <v>30</v>
      </c>
      <c r="G76" s="951">
        <v>23</v>
      </c>
      <c r="H76" s="952">
        <v>23</v>
      </c>
      <c r="I76" s="949">
        <v>23</v>
      </c>
      <c r="J76" s="36"/>
      <c r="K76" s="900"/>
      <c r="L76" s="242"/>
      <c r="M76" s="872"/>
      <c r="O76" s="1167" t="s">
        <v>111</v>
      </c>
      <c r="P76" s="1168">
        <f>G115</f>
        <v>112.9</v>
      </c>
      <c r="Q76" s="1168"/>
      <c r="R76" s="1168"/>
    </row>
    <row r="77" spans="1:18" s="2" customFormat="1" ht="15" customHeight="1" x14ac:dyDescent="0.35">
      <c r="A77" s="1009"/>
      <c r="B77" s="1010"/>
      <c r="C77" s="1090"/>
      <c r="D77" s="1059"/>
      <c r="E77" s="1111"/>
      <c r="F77" s="53" t="s">
        <v>39</v>
      </c>
      <c r="G77" s="735">
        <v>6</v>
      </c>
      <c r="H77" s="736">
        <v>6</v>
      </c>
      <c r="I77" s="737">
        <v>6</v>
      </c>
      <c r="J77" s="36"/>
      <c r="K77" s="900"/>
      <c r="L77" s="242"/>
      <c r="M77" s="872"/>
      <c r="O77" s="1167" t="s">
        <v>112</v>
      </c>
      <c r="P77" s="1168">
        <f>G114</f>
        <v>7.3</v>
      </c>
      <c r="Q77" s="1168"/>
      <c r="R77" s="1168"/>
    </row>
    <row r="78" spans="1:18" s="2" customFormat="1" ht="10.5" customHeight="1" x14ac:dyDescent="0.35">
      <c r="A78" s="354"/>
      <c r="B78" s="355"/>
      <c r="C78" s="362"/>
      <c r="D78" s="1598" t="s">
        <v>222</v>
      </c>
      <c r="E78" s="813" t="s">
        <v>265</v>
      </c>
      <c r="F78" s="1180" t="s">
        <v>137</v>
      </c>
      <c r="G78" s="1181">
        <f>524.4-24</f>
        <v>500.4</v>
      </c>
      <c r="H78" s="1177">
        <v>524.4</v>
      </c>
      <c r="I78" s="1178">
        <v>524.4</v>
      </c>
      <c r="J78" s="1442" t="s">
        <v>78</v>
      </c>
      <c r="K78" s="1488">
        <v>82</v>
      </c>
      <c r="L78" s="1448">
        <v>82</v>
      </c>
      <c r="M78" s="1440">
        <v>82</v>
      </c>
      <c r="P78" s="879"/>
      <c r="Q78" s="879"/>
      <c r="R78" s="879"/>
    </row>
    <row r="79" spans="1:18" s="2" customFormat="1" ht="8.25" customHeight="1" x14ac:dyDescent="0.35">
      <c r="A79" s="354"/>
      <c r="B79" s="355"/>
      <c r="C79" s="362"/>
      <c r="D79" s="1599"/>
      <c r="E79" s="1111"/>
      <c r="F79" s="1180" t="s">
        <v>214</v>
      </c>
      <c r="G79" s="1181">
        <v>56.2</v>
      </c>
      <c r="H79" s="1177">
        <v>56.2</v>
      </c>
      <c r="I79" s="1178">
        <v>56.2</v>
      </c>
      <c r="J79" s="1444"/>
      <c r="K79" s="1489"/>
      <c r="L79" s="1450"/>
      <c r="M79" s="1441"/>
      <c r="P79" s="879"/>
      <c r="Q79" s="879"/>
      <c r="R79" s="879"/>
    </row>
    <row r="80" spans="1:18" s="2" customFormat="1" ht="16.899999999999999" customHeight="1" x14ac:dyDescent="0.35">
      <c r="A80" s="354"/>
      <c r="B80" s="355"/>
      <c r="C80" s="362"/>
      <c r="D80" s="1599"/>
      <c r="E80" s="1111"/>
      <c r="F80" s="1180" t="s">
        <v>215</v>
      </c>
      <c r="G80" s="1181">
        <v>440</v>
      </c>
      <c r="H80" s="1177">
        <v>442</v>
      </c>
      <c r="I80" s="1178">
        <v>444</v>
      </c>
      <c r="J80" s="1442" t="s">
        <v>261</v>
      </c>
      <c r="K80" s="139">
        <v>23</v>
      </c>
      <c r="L80" s="912"/>
      <c r="M80" s="439"/>
      <c r="N80" s="1691"/>
      <c r="O80" s="1692"/>
      <c r="P80" s="1692"/>
    </row>
    <row r="81" spans="1:16" s="2" customFormat="1" ht="9" customHeight="1" x14ac:dyDescent="0.35">
      <c r="A81" s="354"/>
      <c r="B81" s="355"/>
      <c r="C81" s="362"/>
      <c r="D81" s="1599"/>
      <c r="E81" s="1111"/>
      <c r="F81" s="1180" t="s">
        <v>216</v>
      </c>
      <c r="G81" s="1176">
        <v>62.7</v>
      </c>
      <c r="H81" s="1177"/>
      <c r="I81" s="1178"/>
      <c r="J81" s="1443"/>
      <c r="K81" s="139"/>
      <c r="L81" s="966"/>
      <c r="M81" s="950"/>
    </row>
    <row r="82" spans="1:16" s="2" customFormat="1" ht="15" customHeight="1" x14ac:dyDescent="0.35">
      <c r="A82" s="515"/>
      <c r="B82" s="514"/>
      <c r="C82" s="512"/>
      <c r="D82" s="513"/>
      <c r="E82" s="813"/>
      <c r="F82" s="1180" t="s">
        <v>213</v>
      </c>
      <c r="G82" s="1181">
        <f>0.4+24+0.1</f>
        <v>24.5</v>
      </c>
      <c r="H82" s="1177"/>
      <c r="I82" s="1178"/>
      <c r="J82" s="1444"/>
      <c r="K82" s="1026"/>
      <c r="L82" s="1028"/>
      <c r="M82" s="987"/>
    </row>
    <row r="83" spans="1:16" s="2" customFormat="1" ht="15.65" customHeight="1" x14ac:dyDescent="0.35">
      <c r="A83" s="354"/>
      <c r="B83" s="355"/>
      <c r="C83" s="362"/>
      <c r="D83" s="1598" t="s">
        <v>319</v>
      </c>
      <c r="E83" s="806" t="s">
        <v>167</v>
      </c>
      <c r="F83" s="1180" t="s">
        <v>137</v>
      </c>
      <c r="G83" s="1181">
        <f>1171.7-102.8</f>
        <v>1068.9000000000001</v>
      </c>
      <c r="H83" s="1177">
        <v>1171.7</v>
      </c>
      <c r="I83" s="1178">
        <v>1171.7</v>
      </c>
      <c r="J83" s="1460" t="s">
        <v>148</v>
      </c>
      <c r="K83" s="1134">
        <v>160</v>
      </c>
      <c r="L83" s="231">
        <v>160</v>
      </c>
      <c r="M83" s="453">
        <v>160</v>
      </c>
    </row>
    <row r="84" spans="1:16" s="2" customFormat="1" ht="15.65" customHeight="1" x14ac:dyDescent="0.35">
      <c r="A84" s="354"/>
      <c r="B84" s="355"/>
      <c r="C84" s="362"/>
      <c r="D84" s="1599"/>
      <c r="E84" s="813" t="s">
        <v>264</v>
      </c>
      <c r="F84" s="1180" t="s">
        <v>214</v>
      </c>
      <c r="G84" s="1181">
        <v>347.6</v>
      </c>
      <c r="H84" s="1177">
        <v>347.6</v>
      </c>
      <c r="I84" s="1178">
        <v>347.6</v>
      </c>
      <c r="J84" s="1461"/>
      <c r="K84" s="651"/>
      <c r="L84" s="652"/>
      <c r="M84" s="630"/>
    </row>
    <row r="85" spans="1:16" s="2" customFormat="1" ht="27" customHeight="1" x14ac:dyDescent="0.35">
      <c r="A85" s="354"/>
      <c r="B85" s="355"/>
      <c r="C85" s="362"/>
      <c r="D85" s="384"/>
      <c r="E85" s="813"/>
      <c r="F85" s="1180" t="s">
        <v>215</v>
      </c>
      <c r="G85" s="1181">
        <v>169.1</v>
      </c>
      <c r="H85" s="1177">
        <v>170</v>
      </c>
      <c r="I85" s="1178">
        <v>175</v>
      </c>
      <c r="J85" s="1460" t="s">
        <v>151</v>
      </c>
      <c r="K85" s="1135" t="s">
        <v>267</v>
      </c>
      <c r="L85" s="627" t="s">
        <v>267</v>
      </c>
      <c r="M85" s="626" t="s">
        <v>267</v>
      </c>
      <c r="N85" s="1691"/>
      <c r="O85" s="1692"/>
      <c r="P85" s="1692"/>
    </row>
    <row r="86" spans="1:16" s="2" customFormat="1" ht="27" customHeight="1" x14ac:dyDescent="0.35">
      <c r="A86" s="354"/>
      <c r="B86" s="355"/>
      <c r="C86" s="362"/>
      <c r="D86" s="384"/>
      <c r="E86" s="813"/>
      <c r="F86" s="1180" t="s">
        <v>216</v>
      </c>
      <c r="G86" s="1181">
        <v>15.4</v>
      </c>
      <c r="H86" s="1177"/>
      <c r="I86" s="1178"/>
      <c r="J86" s="1461"/>
      <c r="K86" s="651"/>
      <c r="L86" s="652"/>
      <c r="M86" s="454"/>
    </row>
    <row r="87" spans="1:16" s="2" customFormat="1" ht="27" customHeight="1" x14ac:dyDescent="0.35">
      <c r="A87" s="1338"/>
      <c r="B87" s="1337"/>
      <c r="C87" s="1341"/>
      <c r="D87" s="1343"/>
      <c r="E87" s="813"/>
      <c r="F87" s="1180" t="s">
        <v>137</v>
      </c>
      <c r="G87" s="1181">
        <v>6.3</v>
      </c>
      <c r="H87" s="1177"/>
      <c r="I87" s="1178"/>
      <c r="J87" s="1382" t="s">
        <v>320</v>
      </c>
      <c r="K87" s="1380">
        <v>100</v>
      </c>
      <c r="L87" s="652"/>
      <c r="M87" s="454"/>
    </row>
    <row r="88" spans="1:16" s="2" customFormat="1" ht="30" customHeight="1" x14ac:dyDescent="0.35">
      <c r="A88" s="354"/>
      <c r="B88" s="355"/>
      <c r="C88" s="362"/>
      <c r="D88" s="384"/>
      <c r="E88" s="1462"/>
      <c r="F88" s="1180" t="s">
        <v>217</v>
      </c>
      <c r="G88" s="1181">
        <v>6</v>
      </c>
      <c r="H88" s="1177">
        <v>6</v>
      </c>
      <c r="I88" s="1178">
        <v>6</v>
      </c>
      <c r="J88" s="1144" t="s">
        <v>119</v>
      </c>
      <c r="K88" s="136">
        <v>250</v>
      </c>
      <c r="L88" s="241">
        <v>250</v>
      </c>
      <c r="M88" s="455">
        <v>250</v>
      </c>
    </row>
    <row r="89" spans="1:16" s="2" customFormat="1" ht="30.75" customHeight="1" x14ac:dyDescent="0.35">
      <c r="A89" s="354"/>
      <c r="B89" s="355"/>
      <c r="C89" s="362"/>
      <c r="D89" s="384"/>
      <c r="E89" s="1462"/>
      <c r="F89" s="1180" t="s">
        <v>218</v>
      </c>
      <c r="G89" s="1181">
        <v>23</v>
      </c>
      <c r="H89" s="1177">
        <v>23</v>
      </c>
      <c r="I89" s="1172">
        <v>23</v>
      </c>
      <c r="J89" s="999" t="s">
        <v>152</v>
      </c>
      <c r="K89" s="1136" t="s">
        <v>189</v>
      </c>
      <c r="L89" s="628" t="s">
        <v>189</v>
      </c>
      <c r="M89" s="854" t="s">
        <v>189</v>
      </c>
    </row>
    <row r="90" spans="1:16" s="2" customFormat="1" ht="39.75" customHeight="1" x14ac:dyDescent="0.35">
      <c r="A90" s="515"/>
      <c r="B90" s="514"/>
      <c r="C90" s="512"/>
      <c r="D90" s="513"/>
      <c r="E90" s="1114"/>
      <c r="F90" s="1180" t="s">
        <v>213</v>
      </c>
      <c r="G90" s="1176">
        <f>0.5+102.8</f>
        <v>103.3</v>
      </c>
      <c r="H90" s="1177"/>
      <c r="I90" s="1172"/>
      <c r="J90" s="999" t="s">
        <v>261</v>
      </c>
      <c r="K90" s="1136" t="s">
        <v>321</v>
      </c>
      <c r="L90" s="628"/>
      <c r="M90" s="229"/>
    </row>
    <row r="91" spans="1:16" s="2" customFormat="1" ht="39.75" customHeight="1" x14ac:dyDescent="0.35">
      <c r="A91" s="1338"/>
      <c r="B91" s="1337"/>
      <c r="C91" s="1341"/>
      <c r="D91" s="1343"/>
      <c r="E91" s="1352"/>
      <c r="F91" s="1180" t="s">
        <v>213</v>
      </c>
      <c r="G91" s="1176">
        <v>32.799999999999997</v>
      </c>
      <c r="H91" s="1177"/>
      <c r="I91" s="1172"/>
      <c r="J91" s="1346" t="s">
        <v>322</v>
      </c>
      <c r="K91" s="1136" t="s">
        <v>323</v>
      </c>
      <c r="L91" s="1373"/>
      <c r="M91" s="229"/>
    </row>
    <row r="92" spans="1:16" s="2" customFormat="1" ht="21.65" customHeight="1" x14ac:dyDescent="0.35">
      <c r="A92" s="354"/>
      <c r="B92" s="355"/>
      <c r="C92" s="362"/>
      <c r="D92" s="1598" t="s">
        <v>104</v>
      </c>
      <c r="E92" s="806" t="s">
        <v>167</v>
      </c>
      <c r="F92" s="1180" t="s">
        <v>137</v>
      </c>
      <c r="G92" s="1181">
        <f>735.8-40.2</f>
        <v>695.59999999999991</v>
      </c>
      <c r="H92" s="1177">
        <v>735.8</v>
      </c>
      <c r="I92" s="1178">
        <v>735.8</v>
      </c>
      <c r="J92" s="1428" t="s">
        <v>120</v>
      </c>
      <c r="K92" s="647">
        <v>70</v>
      </c>
      <c r="L92" s="914">
        <v>70</v>
      </c>
      <c r="M92" s="456">
        <v>70</v>
      </c>
    </row>
    <row r="93" spans="1:16" s="2" customFormat="1" ht="21.65" customHeight="1" x14ac:dyDescent="0.35">
      <c r="A93" s="354"/>
      <c r="B93" s="355"/>
      <c r="C93" s="362"/>
      <c r="D93" s="1599"/>
      <c r="E93" s="813" t="s">
        <v>264</v>
      </c>
      <c r="F93" s="1180" t="s">
        <v>214</v>
      </c>
      <c r="G93" s="1176">
        <v>139.4</v>
      </c>
      <c r="H93" s="1177">
        <v>139.4</v>
      </c>
      <c r="I93" s="1178">
        <v>139.4</v>
      </c>
      <c r="J93" s="1603"/>
      <c r="K93" s="654"/>
      <c r="L93" s="915"/>
      <c r="M93" s="457"/>
    </row>
    <row r="94" spans="1:16" s="2" customFormat="1" ht="24.75" customHeight="1" x14ac:dyDescent="0.35">
      <c r="A94" s="693"/>
      <c r="B94" s="692"/>
      <c r="C94" s="690"/>
      <c r="D94" s="691"/>
      <c r="E94" s="813" t="s">
        <v>265</v>
      </c>
      <c r="F94" s="1180" t="s">
        <v>137</v>
      </c>
      <c r="G94" s="1181">
        <v>0.7</v>
      </c>
      <c r="H94" s="1177"/>
      <c r="I94" s="1178"/>
      <c r="J94" s="1033" t="s">
        <v>268</v>
      </c>
      <c r="K94" s="654">
        <v>1</v>
      </c>
      <c r="L94" s="915"/>
      <c r="M94" s="457"/>
    </row>
    <row r="95" spans="1:16" s="2" customFormat="1" ht="17.25" customHeight="1" x14ac:dyDescent="0.35">
      <c r="A95" s="693"/>
      <c r="B95" s="692"/>
      <c r="C95" s="690"/>
      <c r="D95" s="691"/>
      <c r="E95" s="813"/>
      <c r="F95" s="1180" t="s">
        <v>214</v>
      </c>
      <c r="G95" s="1181">
        <v>0.7</v>
      </c>
      <c r="H95" s="1177"/>
      <c r="I95" s="1178"/>
      <c r="J95" s="1033" t="s">
        <v>269</v>
      </c>
      <c r="K95" s="654">
        <v>1</v>
      </c>
      <c r="L95" s="915"/>
      <c r="M95" s="457"/>
    </row>
    <row r="96" spans="1:16" s="2" customFormat="1" ht="16.5" customHeight="1" x14ac:dyDescent="0.35">
      <c r="A96" s="693"/>
      <c r="B96" s="692"/>
      <c r="C96" s="690"/>
      <c r="D96" s="691"/>
      <c r="E96" s="813"/>
      <c r="F96" s="1180" t="s">
        <v>137</v>
      </c>
      <c r="G96" s="1181">
        <v>0.8</v>
      </c>
      <c r="H96" s="1177"/>
      <c r="I96" s="1178"/>
      <c r="J96" s="1033" t="s">
        <v>270</v>
      </c>
      <c r="K96" s="654">
        <v>1</v>
      </c>
      <c r="L96" s="915"/>
      <c r="M96" s="457"/>
    </row>
    <row r="97" spans="1:14" s="2" customFormat="1" ht="18" customHeight="1" x14ac:dyDescent="0.35">
      <c r="A97" s="693"/>
      <c r="B97" s="692"/>
      <c r="C97" s="690"/>
      <c r="D97" s="691"/>
      <c r="E97" s="813"/>
      <c r="F97" s="1180" t="s">
        <v>214</v>
      </c>
      <c r="G97" s="1181">
        <v>6</v>
      </c>
      <c r="H97" s="1177"/>
      <c r="I97" s="1178"/>
      <c r="J97" s="1033" t="s">
        <v>271</v>
      </c>
      <c r="K97" s="654">
        <v>7</v>
      </c>
      <c r="L97" s="915"/>
      <c r="M97" s="457"/>
    </row>
    <row r="98" spans="1:14" s="2" customFormat="1" ht="18" customHeight="1" x14ac:dyDescent="0.35">
      <c r="A98" s="693"/>
      <c r="B98" s="692"/>
      <c r="C98" s="690"/>
      <c r="D98" s="691"/>
      <c r="E98" s="813"/>
      <c r="F98" s="1180" t="s">
        <v>214</v>
      </c>
      <c r="G98" s="1181">
        <v>3</v>
      </c>
      <c r="H98" s="1177"/>
      <c r="I98" s="1178"/>
      <c r="J98" s="1033" t="s">
        <v>272</v>
      </c>
      <c r="K98" s="654">
        <v>22</v>
      </c>
      <c r="L98" s="915"/>
      <c r="M98" s="457"/>
    </row>
    <row r="99" spans="1:14" s="2" customFormat="1" ht="18" customHeight="1" x14ac:dyDescent="0.35">
      <c r="A99" s="1390"/>
      <c r="B99" s="1389"/>
      <c r="C99" s="1388"/>
      <c r="D99" s="1392"/>
      <c r="E99" s="813"/>
      <c r="F99" s="1180"/>
      <c r="G99" s="1181"/>
      <c r="H99" s="1177"/>
      <c r="I99" s="1178"/>
      <c r="J99" s="1393" t="s">
        <v>331</v>
      </c>
      <c r="K99" s="654">
        <v>1</v>
      </c>
      <c r="L99" s="1396"/>
      <c r="M99" s="457"/>
    </row>
    <row r="100" spans="1:14" s="2" customFormat="1" ht="38.25" customHeight="1" x14ac:dyDescent="0.35">
      <c r="A100" s="693"/>
      <c r="B100" s="692"/>
      <c r="C100" s="690"/>
      <c r="D100" s="158"/>
      <c r="E100" s="1111"/>
      <c r="F100" s="1180" t="s">
        <v>215</v>
      </c>
      <c r="G100" s="1181">
        <v>108.4</v>
      </c>
      <c r="H100" s="1177">
        <v>108.4</v>
      </c>
      <c r="I100" s="1178">
        <v>108.4</v>
      </c>
      <c r="J100" s="1033" t="s">
        <v>273</v>
      </c>
      <c r="K100" s="654">
        <v>42</v>
      </c>
      <c r="L100" s="915">
        <v>42</v>
      </c>
      <c r="M100" s="458">
        <v>42</v>
      </c>
    </row>
    <row r="101" spans="1:14" s="2" customFormat="1" ht="53.25" customHeight="1" x14ac:dyDescent="0.35">
      <c r="A101" s="693"/>
      <c r="B101" s="692"/>
      <c r="C101" s="690"/>
      <c r="D101" s="158"/>
      <c r="E101" s="390"/>
      <c r="F101" s="1180" t="s">
        <v>216</v>
      </c>
      <c r="G101" s="1181">
        <v>16.7</v>
      </c>
      <c r="H101" s="1177"/>
      <c r="I101" s="1178"/>
      <c r="J101" s="1131" t="s">
        <v>285</v>
      </c>
      <c r="K101" s="655">
        <v>70</v>
      </c>
      <c r="L101" s="225">
        <v>70</v>
      </c>
      <c r="M101" s="459">
        <v>70</v>
      </c>
    </row>
    <row r="102" spans="1:14" s="2" customFormat="1" ht="41.25" customHeight="1" x14ac:dyDescent="0.35">
      <c r="A102" s="515"/>
      <c r="B102" s="514"/>
      <c r="C102" s="512"/>
      <c r="D102" s="158"/>
      <c r="E102" s="390"/>
      <c r="F102" s="1180" t="s">
        <v>213</v>
      </c>
      <c r="G102" s="1181">
        <f>0.4+40.2</f>
        <v>40.6</v>
      </c>
      <c r="H102" s="1177"/>
      <c r="I102" s="1178"/>
      <c r="J102" s="1131" t="s">
        <v>261</v>
      </c>
      <c r="K102" s="655">
        <v>35</v>
      </c>
      <c r="L102" s="225"/>
      <c r="M102" s="459"/>
    </row>
    <row r="103" spans="1:14" s="2" customFormat="1" ht="64.5" customHeight="1" x14ac:dyDescent="0.35">
      <c r="A103" s="354"/>
      <c r="B103" s="355"/>
      <c r="C103" s="362"/>
      <c r="D103" s="1464" t="s">
        <v>40</v>
      </c>
      <c r="E103" s="836" t="s">
        <v>264</v>
      </c>
      <c r="F103" s="1180" t="s">
        <v>137</v>
      </c>
      <c r="G103" s="1181">
        <f>1036.8-57</f>
        <v>979.8</v>
      </c>
      <c r="H103" s="1177">
        <v>1036.8</v>
      </c>
      <c r="I103" s="1178">
        <v>1036.8</v>
      </c>
      <c r="J103" s="901" t="s">
        <v>274</v>
      </c>
      <c r="K103" s="136">
        <v>450</v>
      </c>
      <c r="L103" s="241">
        <v>450</v>
      </c>
      <c r="M103" s="437">
        <v>450</v>
      </c>
      <c r="N103" s="918"/>
    </row>
    <row r="104" spans="1:14" s="2" customFormat="1" ht="18.75" customHeight="1" x14ac:dyDescent="0.35">
      <c r="A104" s="354"/>
      <c r="B104" s="355"/>
      <c r="C104" s="362"/>
      <c r="D104" s="1463"/>
      <c r="E104" s="390"/>
      <c r="F104" s="1180" t="s">
        <v>214</v>
      </c>
      <c r="G104" s="1181">
        <v>197.9</v>
      </c>
      <c r="H104" s="1177">
        <v>197.9</v>
      </c>
      <c r="I104" s="1178">
        <v>197.9</v>
      </c>
      <c r="J104" s="1434" t="s">
        <v>121</v>
      </c>
      <c r="K104" s="264">
        <v>10</v>
      </c>
      <c r="L104" s="984">
        <v>10</v>
      </c>
      <c r="M104" s="460">
        <v>10</v>
      </c>
    </row>
    <row r="105" spans="1:14" s="2" customFormat="1" ht="11.25" customHeight="1" x14ac:dyDescent="0.35">
      <c r="A105" s="981"/>
      <c r="B105" s="982"/>
      <c r="C105" s="983"/>
      <c r="D105" s="1463"/>
      <c r="E105" s="390"/>
      <c r="F105" s="1180" t="s">
        <v>223</v>
      </c>
      <c r="G105" s="1181">
        <v>1.1000000000000001</v>
      </c>
      <c r="H105" s="1177"/>
      <c r="I105" s="1178"/>
      <c r="J105" s="1435"/>
      <c r="K105" s="137"/>
      <c r="L105" s="1417"/>
      <c r="M105" s="461"/>
    </row>
    <row r="106" spans="1:14" s="2" customFormat="1" ht="27.75" customHeight="1" x14ac:dyDescent="0.35">
      <c r="A106" s="1422"/>
      <c r="B106" s="1421"/>
      <c r="C106" s="1420"/>
      <c r="D106" s="1463"/>
      <c r="E106" s="390"/>
      <c r="F106" s="1180"/>
      <c r="G106" s="1181"/>
      <c r="H106" s="1177"/>
      <c r="I106" s="1178"/>
      <c r="J106" s="1423" t="s">
        <v>333</v>
      </c>
      <c r="K106" s="137">
        <v>5</v>
      </c>
      <c r="L106" s="242"/>
      <c r="M106" s="442"/>
    </row>
    <row r="107" spans="1:14" s="2" customFormat="1" ht="29.25" customHeight="1" x14ac:dyDescent="0.35">
      <c r="A107" s="354"/>
      <c r="B107" s="355"/>
      <c r="C107" s="362"/>
      <c r="D107" s="1463"/>
      <c r="E107" s="87"/>
      <c r="F107" s="1180" t="s">
        <v>215</v>
      </c>
      <c r="G107" s="1181">
        <v>0.7</v>
      </c>
      <c r="H107" s="1177">
        <v>0.7</v>
      </c>
      <c r="I107" s="1172">
        <v>0.7</v>
      </c>
      <c r="J107" s="999" t="s">
        <v>291</v>
      </c>
      <c r="K107" s="298">
        <v>5</v>
      </c>
      <c r="L107" s="241">
        <v>5</v>
      </c>
      <c r="M107" s="437">
        <v>5</v>
      </c>
    </row>
    <row r="108" spans="1:14" s="2" customFormat="1" ht="42" customHeight="1" x14ac:dyDescent="0.35">
      <c r="A108" s="354"/>
      <c r="B108" s="355"/>
      <c r="C108" s="362"/>
      <c r="D108" s="172"/>
      <c r="E108" s="390"/>
      <c r="F108" s="1180"/>
      <c r="G108" s="1181"/>
      <c r="H108" s="1177"/>
      <c r="I108" s="1172"/>
      <c r="J108" s="901" t="s">
        <v>153</v>
      </c>
      <c r="K108" s="1137" t="s">
        <v>275</v>
      </c>
      <c r="L108" s="244" t="s">
        <v>275</v>
      </c>
      <c r="M108" s="632" t="s">
        <v>275</v>
      </c>
    </row>
    <row r="109" spans="1:14" s="2" customFormat="1" ht="41.25" customHeight="1" x14ac:dyDescent="0.35">
      <c r="A109" s="354"/>
      <c r="B109" s="355"/>
      <c r="C109" s="362"/>
      <c r="D109" s="172"/>
      <c r="E109" s="390"/>
      <c r="F109" s="1169"/>
      <c r="G109" s="1170"/>
      <c r="H109" s="1171"/>
      <c r="I109" s="1172"/>
      <c r="J109" s="999" t="s">
        <v>282</v>
      </c>
      <c r="K109" s="136">
        <v>150</v>
      </c>
      <c r="L109" s="241">
        <v>150</v>
      </c>
      <c r="M109" s="437">
        <v>150</v>
      </c>
    </row>
    <row r="110" spans="1:14" s="2" customFormat="1" ht="23.25" customHeight="1" x14ac:dyDescent="0.35">
      <c r="A110" s="839"/>
      <c r="B110" s="840"/>
      <c r="C110" s="842"/>
      <c r="D110" s="172"/>
      <c r="E110" s="390"/>
      <c r="F110" s="1169"/>
      <c r="G110" s="1170"/>
      <c r="H110" s="1171"/>
      <c r="I110" s="1172"/>
      <c r="J110" s="1434" t="s">
        <v>261</v>
      </c>
      <c r="K110" s="1436">
        <v>50</v>
      </c>
      <c r="L110" s="1438"/>
      <c r="M110" s="1440"/>
    </row>
    <row r="111" spans="1:14" s="2" customFormat="1" ht="15.75" customHeight="1" x14ac:dyDescent="0.35">
      <c r="A111" s="515"/>
      <c r="B111" s="514"/>
      <c r="C111" s="512"/>
      <c r="D111" s="1374"/>
      <c r="E111" s="390"/>
      <c r="F111" s="1169" t="s">
        <v>213</v>
      </c>
      <c r="G111" s="1183">
        <f>0.6+57</f>
        <v>57.6</v>
      </c>
      <c r="H111" s="1171"/>
      <c r="I111" s="1172"/>
      <c r="J111" s="1435"/>
      <c r="K111" s="1437"/>
      <c r="L111" s="1439"/>
      <c r="M111" s="1441"/>
    </row>
    <row r="112" spans="1:14" s="2" customFormat="1" ht="38.25" customHeight="1" x14ac:dyDescent="0.35">
      <c r="A112" s="1338"/>
      <c r="B112" s="1337"/>
      <c r="C112" s="1341"/>
      <c r="D112" s="750"/>
      <c r="E112" s="390"/>
      <c r="F112" s="1169" t="s">
        <v>213</v>
      </c>
      <c r="G112" s="1183">
        <v>32.799999999999997</v>
      </c>
      <c r="H112" s="1171"/>
      <c r="I112" s="1172"/>
      <c r="J112" s="1144" t="s">
        <v>322</v>
      </c>
      <c r="K112" s="136">
        <v>71</v>
      </c>
      <c r="L112" s="241"/>
      <c r="M112" s="437"/>
    </row>
    <row r="113" spans="1:16" s="2" customFormat="1" ht="42" customHeight="1" x14ac:dyDescent="0.35">
      <c r="A113" s="693"/>
      <c r="B113" s="692"/>
      <c r="C113" s="690"/>
      <c r="D113" s="930" t="s">
        <v>307</v>
      </c>
      <c r="E113" s="813" t="s">
        <v>276</v>
      </c>
      <c r="F113" s="1169" t="s">
        <v>137</v>
      </c>
      <c r="G113" s="1183">
        <v>50.5</v>
      </c>
      <c r="H113" s="1171"/>
      <c r="I113" s="1172"/>
      <c r="J113" s="1008" t="s">
        <v>140</v>
      </c>
      <c r="K113" s="900">
        <v>1</v>
      </c>
      <c r="L113" s="242"/>
      <c r="M113" s="439"/>
    </row>
    <row r="114" spans="1:16" s="1" customFormat="1" ht="21.75" customHeight="1" x14ac:dyDescent="0.35">
      <c r="A114" s="1466"/>
      <c r="B114" s="1467"/>
      <c r="C114" s="1469"/>
      <c r="D114" s="1699" t="s">
        <v>236</v>
      </c>
      <c r="E114" s="1678" t="s">
        <v>264</v>
      </c>
      <c r="F114" s="1169" t="s">
        <v>220</v>
      </c>
      <c r="G114" s="1183">
        <v>7.3</v>
      </c>
      <c r="H114" s="1171"/>
      <c r="I114" s="1178"/>
      <c r="J114" s="1029" t="s">
        <v>143</v>
      </c>
      <c r="K114" s="1138">
        <v>1</v>
      </c>
      <c r="L114" s="916"/>
      <c r="M114" s="460"/>
    </row>
    <row r="115" spans="1:16" s="1" customFormat="1" ht="35.25" customHeight="1" x14ac:dyDescent="0.35">
      <c r="A115" s="1466"/>
      <c r="B115" s="1467"/>
      <c r="C115" s="1469"/>
      <c r="D115" s="1700"/>
      <c r="E115" s="1678"/>
      <c r="F115" s="1180" t="s">
        <v>221</v>
      </c>
      <c r="G115" s="1181">
        <f>96.5+6.4+10</f>
        <v>112.9</v>
      </c>
      <c r="H115" s="1177"/>
      <c r="I115" s="1178"/>
      <c r="J115" s="1029" t="s">
        <v>144</v>
      </c>
      <c r="K115" s="1138">
        <v>6</v>
      </c>
      <c r="L115" s="916"/>
      <c r="M115" s="460"/>
    </row>
    <row r="116" spans="1:16" s="1" customFormat="1" ht="24.75" customHeight="1" x14ac:dyDescent="0.35">
      <c r="A116" s="1466"/>
      <c r="B116" s="1467"/>
      <c r="C116" s="1469"/>
      <c r="D116" s="1701"/>
      <c r="E116" s="1678"/>
      <c r="F116" s="53"/>
      <c r="G116" s="735"/>
      <c r="H116" s="1177"/>
      <c r="I116" s="1178"/>
      <c r="J116" s="1145"/>
      <c r="K116" s="656"/>
      <c r="L116" s="917"/>
      <c r="M116" s="461"/>
    </row>
    <row r="117" spans="1:16" s="2" customFormat="1" ht="17.25" customHeight="1" x14ac:dyDescent="0.35">
      <c r="A117" s="354"/>
      <c r="B117" s="355"/>
      <c r="C117" s="362"/>
      <c r="D117" s="1475" t="s">
        <v>150</v>
      </c>
      <c r="E117" s="836" t="s">
        <v>264</v>
      </c>
      <c r="F117" s="345" t="s">
        <v>137</v>
      </c>
      <c r="G117" s="328">
        <v>0.7</v>
      </c>
      <c r="H117" s="325">
        <v>0.7</v>
      </c>
      <c r="I117" s="326">
        <v>0.7</v>
      </c>
      <c r="J117" s="857" t="s">
        <v>295</v>
      </c>
      <c r="K117" s="520">
        <v>4</v>
      </c>
      <c r="L117" s="223">
        <v>4</v>
      </c>
      <c r="M117" s="437">
        <v>4</v>
      </c>
      <c r="N117" s="1693"/>
      <c r="O117" s="1694"/>
      <c r="P117" s="1694"/>
    </row>
    <row r="118" spans="1:16" s="2" customFormat="1" ht="27" customHeight="1" x14ac:dyDescent="0.35">
      <c r="A118" s="937"/>
      <c r="B118" s="936"/>
      <c r="C118" s="938"/>
      <c r="D118" s="1476"/>
      <c r="E118" s="836"/>
      <c r="F118" s="345"/>
      <c r="G118" s="324"/>
      <c r="H118" s="325"/>
      <c r="I118" s="326"/>
      <c r="J118" s="857" t="s">
        <v>140</v>
      </c>
      <c r="K118" s="520">
        <v>1</v>
      </c>
      <c r="L118" s="223">
        <v>1</v>
      </c>
      <c r="M118" s="437">
        <v>1</v>
      </c>
      <c r="N118" s="935"/>
      <c r="O118" s="935"/>
      <c r="P118" s="935"/>
    </row>
    <row r="119" spans="1:16" s="2" customFormat="1" ht="18.75" customHeight="1" x14ac:dyDescent="0.35">
      <c r="A119" s="354"/>
      <c r="B119" s="355"/>
      <c r="C119" s="362"/>
      <c r="D119" s="1475" t="s">
        <v>96</v>
      </c>
      <c r="E119" s="836" t="s">
        <v>264</v>
      </c>
      <c r="F119" s="345" t="s">
        <v>137</v>
      </c>
      <c r="G119" s="328">
        <v>2.1</v>
      </c>
      <c r="H119" s="325">
        <v>2.1</v>
      </c>
      <c r="I119" s="326">
        <v>2.1</v>
      </c>
      <c r="J119" s="1146" t="s">
        <v>295</v>
      </c>
      <c r="K119" s="520">
        <v>5</v>
      </c>
      <c r="L119" s="223">
        <v>5</v>
      </c>
      <c r="M119" s="437">
        <v>5</v>
      </c>
    </row>
    <row r="120" spans="1:16" s="2" customFormat="1" ht="26.25" customHeight="1" x14ac:dyDescent="0.35">
      <c r="A120" s="937"/>
      <c r="B120" s="936"/>
      <c r="C120" s="938"/>
      <c r="D120" s="1476"/>
      <c r="E120" s="836"/>
      <c r="F120" s="345"/>
      <c r="G120" s="328"/>
      <c r="H120" s="325"/>
      <c r="I120" s="326"/>
      <c r="J120" s="1060" t="s">
        <v>140</v>
      </c>
      <c r="K120" s="139">
        <v>2</v>
      </c>
      <c r="L120" s="948">
        <v>2</v>
      </c>
      <c r="M120" s="950">
        <v>2</v>
      </c>
    </row>
    <row r="121" spans="1:16" s="2" customFormat="1" ht="18" customHeight="1" x14ac:dyDescent="0.35">
      <c r="A121" s="354"/>
      <c r="B121" s="355"/>
      <c r="C121" s="362"/>
      <c r="D121" s="1464" t="s">
        <v>105</v>
      </c>
      <c r="E121" s="1115" t="s">
        <v>264</v>
      </c>
      <c r="F121" s="1180" t="s">
        <v>137</v>
      </c>
      <c r="G121" s="1176">
        <f>767.3-36.7</f>
        <v>730.59999999999991</v>
      </c>
      <c r="H121" s="1177">
        <v>767.3</v>
      </c>
      <c r="I121" s="1178">
        <v>767.3</v>
      </c>
      <c r="J121" s="308" t="s">
        <v>78</v>
      </c>
      <c r="K121" s="54">
        <v>171</v>
      </c>
      <c r="L121" s="910">
        <v>171</v>
      </c>
      <c r="M121" s="841">
        <v>171</v>
      </c>
      <c r="N121" s="92"/>
    </row>
    <row r="122" spans="1:16" s="2" customFormat="1" ht="15" customHeight="1" x14ac:dyDescent="0.35">
      <c r="A122" s="354"/>
      <c r="B122" s="355"/>
      <c r="C122" s="362"/>
      <c r="D122" s="1463"/>
      <c r="E122" s="836"/>
      <c r="F122" s="1180" t="s">
        <v>214</v>
      </c>
      <c r="G122" s="1181">
        <v>166.4</v>
      </c>
      <c r="H122" s="1177">
        <v>166.4</v>
      </c>
      <c r="I122" s="1178">
        <v>166.4</v>
      </c>
      <c r="J122" s="1442" t="s">
        <v>296</v>
      </c>
      <c r="K122" s="1445">
        <v>3</v>
      </c>
      <c r="L122" s="1448">
        <v>3</v>
      </c>
      <c r="M122" s="980">
        <v>3</v>
      </c>
      <c r="N122" s="92"/>
    </row>
    <row r="123" spans="1:16" s="2" customFormat="1" ht="8.25" customHeight="1" x14ac:dyDescent="0.35">
      <c r="A123" s="1390"/>
      <c r="B123" s="1389"/>
      <c r="C123" s="1388"/>
      <c r="D123" s="1463"/>
      <c r="E123" s="1394"/>
      <c r="F123" s="1180" t="s">
        <v>213</v>
      </c>
      <c r="G123" s="1181">
        <v>0.6</v>
      </c>
      <c r="H123" s="1177"/>
      <c r="I123" s="1178"/>
      <c r="J123" s="1443"/>
      <c r="K123" s="1446"/>
      <c r="L123" s="1449"/>
      <c r="M123" s="1387"/>
      <c r="N123" s="92"/>
    </row>
    <row r="124" spans="1:16" s="2" customFormat="1" ht="9.75" customHeight="1" x14ac:dyDescent="0.35">
      <c r="A124" s="981"/>
      <c r="B124" s="982"/>
      <c r="C124" s="983"/>
      <c r="D124" s="1463"/>
      <c r="E124" s="836"/>
      <c r="F124" s="1180" t="s">
        <v>223</v>
      </c>
      <c r="G124" s="1181">
        <v>4.0999999999999996</v>
      </c>
      <c r="H124" s="1177"/>
      <c r="I124" s="1178"/>
      <c r="J124" s="1443"/>
      <c r="K124" s="1446"/>
      <c r="L124" s="1449"/>
      <c r="M124" s="1451"/>
      <c r="N124" s="92"/>
    </row>
    <row r="125" spans="1:16" s="2" customFormat="1" ht="9" customHeight="1" x14ac:dyDescent="0.35">
      <c r="A125" s="354"/>
      <c r="B125" s="355"/>
      <c r="C125" s="362"/>
      <c r="D125" s="1463"/>
      <c r="E125" s="390"/>
      <c r="F125" s="1180" t="s">
        <v>215</v>
      </c>
      <c r="G125" s="1181">
        <v>10.8</v>
      </c>
      <c r="H125" s="1177">
        <v>10.8</v>
      </c>
      <c r="I125" s="1178">
        <v>10.8</v>
      </c>
      <c r="J125" s="1444"/>
      <c r="K125" s="1447"/>
      <c r="L125" s="1450"/>
      <c r="M125" s="1441"/>
    </row>
    <row r="126" spans="1:16" s="2" customFormat="1" ht="67.5" customHeight="1" x14ac:dyDescent="0.35">
      <c r="A126" s="515"/>
      <c r="B126" s="514"/>
      <c r="C126" s="512"/>
      <c r="D126" s="1463"/>
      <c r="E126" s="390"/>
      <c r="F126" s="1180" t="s">
        <v>216</v>
      </c>
      <c r="G126" s="1181">
        <v>0.7</v>
      </c>
      <c r="H126" s="1177"/>
      <c r="I126" s="1178"/>
      <c r="J126" s="857" t="s">
        <v>277</v>
      </c>
      <c r="K126" s="520">
        <v>15</v>
      </c>
      <c r="L126" s="641">
        <v>15</v>
      </c>
      <c r="M126" s="858">
        <v>15</v>
      </c>
    </row>
    <row r="127" spans="1:16" s="2" customFormat="1" ht="39.75" customHeight="1" x14ac:dyDescent="0.35">
      <c r="A127" s="354"/>
      <c r="B127" s="355"/>
      <c r="C127" s="362"/>
      <c r="D127" s="1465"/>
      <c r="E127" s="390"/>
      <c r="F127" s="1180" t="s">
        <v>213</v>
      </c>
      <c r="G127" s="1181">
        <f>0.3+36.7</f>
        <v>37</v>
      </c>
      <c r="H127" s="1177"/>
      <c r="I127" s="1178"/>
      <c r="J127" s="309" t="s">
        <v>261</v>
      </c>
      <c r="K127" s="522">
        <v>30</v>
      </c>
      <c r="L127" s="911"/>
      <c r="M127" s="462"/>
    </row>
    <row r="128" spans="1:16" s="2" customFormat="1" ht="13.5" customHeight="1" x14ac:dyDescent="0.35">
      <c r="A128" s="354"/>
      <c r="B128" s="355"/>
      <c r="C128" s="362"/>
      <c r="D128" s="1464" t="s">
        <v>106</v>
      </c>
      <c r="E128" s="836" t="s">
        <v>264</v>
      </c>
      <c r="F128" s="1180" t="s">
        <v>214</v>
      </c>
      <c r="G128" s="1181">
        <f>726.8-30.6</f>
        <v>696.19999999999993</v>
      </c>
      <c r="H128" s="1177">
        <v>726.8</v>
      </c>
      <c r="I128" s="1178">
        <v>726.8</v>
      </c>
      <c r="J128" s="1442" t="s">
        <v>102</v>
      </c>
      <c r="K128" s="1139">
        <v>60</v>
      </c>
      <c r="L128" s="953">
        <v>60</v>
      </c>
      <c r="M128" s="954">
        <v>60</v>
      </c>
      <c r="N128" s="1691"/>
      <c r="O128" s="1692"/>
      <c r="P128" s="1692"/>
    </row>
    <row r="129" spans="1:16" s="2" customFormat="1" ht="12" customHeight="1" x14ac:dyDescent="0.35">
      <c r="A129" s="354"/>
      <c r="B129" s="355"/>
      <c r="C129" s="362"/>
      <c r="D129" s="1463"/>
      <c r="E129" s="836" t="s">
        <v>265</v>
      </c>
      <c r="F129" s="1180" t="s">
        <v>215</v>
      </c>
      <c r="G129" s="1181">
        <v>62</v>
      </c>
      <c r="H129" s="1177">
        <v>62</v>
      </c>
      <c r="I129" s="1178">
        <v>62</v>
      </c>
      <c r="J129" s="1443"/>
      <c r="K129" s="1140"/>
      <c r="L129" s="948"/>
      <c r="M129" s="950"/>
      <c r="N129" s="1691"/>
      <c r="O129" s="1692"/>
      <c r="P129" s="1692"/>
    </row>
    <row r="130" spans="1:16" s="2" customFormat="1" ht="5.25" customHeight="1" x14ac:dyDescent="0.35">
      <c r="A130" s="354"/>
      <c r="B130" s="355"/>
      <c r="C130" s="362"/>
      <c r="D130" s="1463"/>
      <c r="E130" s="836"/>
      <c r="F130" s="1180" t="s">
        <v>216</v>
      </c>
      <c r="G130" s="1181">
        <v>7.4</v>
      </c>
      <c r="H130" s="1177"/>
      <c r="I130" s="1178"/>
      <c r="J130" s="1444"/>
      <c r="K130" s="1141"/>
      <c r="L130" s="919"/>
      <c r="M130" s="920"/>
      <c r="N130" s="1691"/>
      <c r="O130" s="1692"/>
      <c r="P130" s="1692"/>
    </row>
    <row r="131" spans="1:16" s="2" customFormat="1" ht="17.25" customHeight="1" x14ac:dyDescent="0.35">
      <c r="A131" s="354"/>
      <c r="B131" s="355"/>
      <c r="C131" s="362"/>
      <c r="D131" s="1463"/>
      <c r="E131" s="836"/>
      <c r="F131" s="1180" t="s">
        <v>137</v>
      </c>
      <c r="G131" s="1181">
        <f>282.2-16.8</f>
        <v>265.39999999999998</v>
      </c>
      <c r="H131" s="1177">
        <v>282.2</v>
      </c>
      <c r="I131" s="1178">
        <v>282.2</v>
      </c>
      <c r="J131" s="1443" t="s">
        <v>132</v>
      </c>
      <c r="K131" s="139">
        <v>12</v>
      </c>
      <c r="L131" s="912">
        <v>12</v>
      </c>
      <c r="M131" s="439">
        <v>12</v>
      </c>
    </row>
    <row r="132" spans="1:16" s="2" customFormat="1" ht="9" customHeight="1" x14ac:dyDescent="0.35">
      <c r="A132" s="354"/>
      <c r="B132" s="355"/>
      <c r="C132" s="362"/>
      <c r="D132" s="1463"/>
      <c r="E132" s="836"/>
      <c r="F132" s="1180" t="s">
        <v>214</v>
      </c>
      <c r="G132" s="1181">
        <v>58.8</v>
      </c>
      <c r="H132" s="1177">
        <v>58.8</v>
      </c>
      <c r="I132" s="1178">
        <v>58.8</v>
      </c>
      <c r="J132" s="1443"/>
      <c r="K132" s="139"/>
      <c r="L132" s="912"/>
      <c r="M132" s="439"/>
    </row>
    <row r="133" spans="1:16" s="2" customFormat="1" ht="3.75" customHeight="1" x14ac:dyDescent="0.35">
      <c r="A133" s="515"/>
      <c r="B133" s="514"/>
      <c r="C133" s="512"/>
      <c r="D133" s="1463"/>
      <c r="E133" s="836"/>
      <c r="F133" s="1180" t="s">
        <v>213</v>
      </c>
      <c r="G133" s="1181">
        <v>50.5</v>
      </c>
      <c r="H133" s="1177">
        <v>50.5</v>
      </c>
      <c r="I133" s="1178">
        <v>50.5</v>
      </c>
      <c r="J133" s="1444"/>
      <c r="K133" s="522"/>
      <c r="L133" s="911"/>
      <c r="M133" s="913"/>
    </row>
    <row r="134" spans="1:16" s="2" customFormat="1" ht="15.75" customHeight="1" x14ac:dyDescent="0.35">
      <c r="A134" s="1338"/>
      <c r="B134" s="1337"/>
      <c r="C134" s="1341"/>
      <c r="D134" s="1463"/>
      <c r="E134" s="1344"/>
      <c r="F134" s="1180" t="s">
        <v>137</v>
      </c>
      <c r="G134" s="1181">
        <v>1.3</v>
      </c>
      <c r="H134" s="1177"/>
      <c r="I134" s="1178"/>
      <c r="J134" s="1146" t="s">
        <v>324</v>
      </c>
      <c r="K134" s="522">
        <v>1</v>
      </c>
      <c r="L134" s="1348"/>
      <c r="M134" s="1347"/>
    </row>
    <row r="135" spans="1:16" s="2" customFormat="1" ht="27.75" customHeight="1" x14ac:dyDescent="0.35">
      <c r="A135" s="1422"/>
      <c r="B135" s="1421"/>
      <c r="C135" s="1420"/>
      <c r="D135" s="1463"/>
      <c r="E135" s="1424"/>
      <c r="F135" s="1180"/>
      <c r="G135" s="1181"/>
      <c r="H135" s="1177"/>
      <c r="I135" s="1178"/>
      <c r="J135" s="1146" t="s">
        <v>334</v>
      </c>
      <c r="K135" s="522">
        <v>100</v>
      </c>
      <c r="L135" s="1419"/>
      <c r="M135" s="1418"/>
    </row>
    <row r="136" spans="1:16" s="2" customFormat="1" ht="29.25" customHeight="1" x14ac:dyDescent="0.35">
      <c r="A136" s="1422"/>
      <c r="B136" s="1421"/>
      <c r="C136" s="1420"/>
      <c r="D136" s="1463"/>
      <c r="E136" s="1424"/>
      <c r="F136" s="1180"/>
      <c r="G136" s="1181"/>
      <c r="H136" s="1177"/>
      <c r="I136" s="1178"/>
      <c r="J136" s="1146" t="s">
        <v>335</v>
      </c>
      <c r="K136" s="522">
        <v>100</v>
      </c>
      <c r="L136" s="1419"/>
      <c r="M136" s="1418"/>
    </row>
    <row r="137" spans="1:16" s="2" customFormat="1" ht="26.25" customHeight="1" x14ac:dyDescent="0.35">
      <c r="A137" s="839"/>
      <c r="B137" s="840"/>
      <c r="C137" s="842"/>
      <c r="D137" s="1463"/>
      <c r="E137" s="836"/>
      <c r="F137" s="1180" t="s">
        <v>137</v>
      </c>
      <c r="G137" s="1181"/>
      <c r="H137" s="1177">
        <v>122</v>
      </c>
      <c r="I137" s="1178"/>
      <c r="J137" s="1008" t="s">
        <v>283</v>
      </c>
      <c r="K137" s="136"/>
      <c r="L137" s="223">
        <v>100</v>
      </c>
      <c r="M137" s="437"/>
    </row>
    <row r="138" spans="1:16" s="2" customFormat="1" ht="41.25" customHeight="1" x14ac:dyDescent="0.35">
      <c r="A138" s="354"/>
      <c r="B138" s="355"/>
      <c r="C138" s="362"/>
      <c r="D138" s="1465"/>
      <c r="E138" s="836"/>
      <c r="F138" s="1180" t="s">
        <v>213</v>
      </c>
      <c r="G138" s="1181">
        <f>0.5+47.4</f>
        <v>47.9</v>
      </c>
      <c r="H138" s="1177"/>
      <c r="I138" s="1178"/>
      <c r="J138" s="1147" t="s">
        <v>261</v>
      </c>
      <c r="K138" s="1381">
        <v>42</v>
      </c>
      <c r="L138" s="657"/>
      <c r="M138" s="463"/>
    </row>
    <row r="139" spans="1:16" s="2" customFormat="1" ht="12.75" customHeight="1" x14ac:dyDescent="0.35">
      <c r="A139" s="354"/>
      <c r="B139" s="355"/>
      <c r="C139" s="362"/>
      <c r="D139" s="1463" t="s">
        <v>41</v>
      </c>
      <c r="E139" s="836" t="s">
        <v>264</v>
      </c>
      <c r="F139" s="1180" t="s">
        <v>137</v>
      </c>
      <c r="G139" s="1176">
        <f>1088.3-72.6</f>
        <v>1015.6999999999999</v>
      </c>
      <c r="H139" s="1177">
        <v>1088.3</v>
      </c>
      <c r="I139" s="1178">
        <v>1088.3</v>
      </c>
      <c r="J139" s="1442" t="s">
        <v>122</v>
      </c>
      <c r="K139" s="1488">
        <v>56</v>
      </c>
      <c r="L139" s="1448">
        <v>56</v>
      </c>
      <c r="M139" s="1440">
        <v>56</v>
      </c>
    </row>
    <row r="140" spans="1:16" s="2" customFormat="1" ht="12.75" customHeight="1" x14ac:dyDescent="0.35">
      <c r="A140" s="59"/>
      <c r="B140" s="692"/>
      <c r="C140" s="690"/>
      <c r="D140" s="1463"/>
      <c r="E140" s="836" t="s">
        <v>265</v>
      </c>
      <c r="F140" s="1180" t="s">
        <v>214</v>
      </c>
      <c r="G140" s="1181">
        <v>251.6</v>
      </c>
      <c r="H140" s="1177">
        <v>251.6</v>
      </c>
      <c r="I140" s="1178">
        <v>251.6</v>
      </c>
      <c r="J140" s="1444"/>
      <c r="K140" s="1489"/>
      <c r="L140" s="1450"/>
      <c r="M140" s="1441"/>
    </row>
    <row r="141" spans="1:16" s="2" customFormat="1" ht="18" customHeight="1" x14ac:dyDescent="0.35">
      <c r="A141" s="59"/>
      <c r="B141" s="1337"/>
      <c r="C141" s="1341"/>
      <c r="D141" s="1463"/>
      <c r="E141" s="1344"/>
      <c r="F141" s="1180" t="s">
        <v>137</v>
      </c>
      <c r="G141" s="1181">
        <v>76.3</v>
      </c>
      <c r="H141" s="1177"/>
      <c r="I141" s="1178"/>
      <c r="J141" s="1146" t="s">
        <v>325</v>
      </c>
      <c r="K141" s="93">
        <v>100</v>
      </c>
      <c r="L141" s="223"/>
      <c r="M141" s="437"/>
    </row>
    <row r="142" spans="1:16" s="2" customFormat="1" ht="41.25" customHeight="1" x14ac:dyDescent="0.35">
      <c r="A142" s="59"/>
      <c r="B142" s="1389"/>
      <c r="C142" s="1388"/>
      <c r="D142" s="1463"/>
      <c r="E142" s="1394"/>
      <c r="F142" s="1180"/>
      <c r="G142" s="1181"/>
      <c r="H142" s="1177"/>
      <c r="I142" s="1178"/>
      <c r="J142" s="1386" t="s">
        <v>332</v>
      </c>
      <c r="K142" s="93">
        <v>100</v>
      </c>
      <c r="L142" s="223"/>
      <c r="M142" s="437"/>
    </row>
    <row r="143" spans="1:16" s="2" customFormat="1" ht="15" customHeight="1" x14ac:dyDescent="0.35">
      <c r="A143" s="59"/>
      <c r="B143" s="355"/>
      <c r="C143" s="362"/>
      <c r="D143" s="1463"/>
      <c r="E143" s="836"/>
      <c r="F143" s="1180"/>
      <c r="G143" s="1181"/>
      <c r="H143" s="1177"/>
      <c r="I143" s="1178"/>
      <c r="J143" s="1442" t="s">
        <v>278</v>
      </c>
      <c r="K143" s="139">
        <v>3</v>
      </c>
      <c r="L143" s="912">
        <v>3</v>
      </c>
      <c r="M143" s="439">
        <v>3</v>
      </c>
    </row>
    <row r="144" spans="1:16" s="2" customFormat="1" ht="16.5" customHeight="1" x14ac:dyDescent="0.35">
      <c r="A144" s="59"/>
      <c r="B144" s="982"/>
      <c r="C144" s="983"/>
      <c r="D144" s="1463"/>
      <c r="E144" s="836"/>
      <c r="F144" s="1180" t="s">
        <v>223</v>
      </c>
      <c r="G144" s="1181">
        <v>1.5</v>
      </c>
      <c r="H144" s="1177"/>
      <c r="I144" s="1178"/>
      <c r="J144" s="1443"/>
      <c r="K144" s="139"/>
      <c r="L144" s="966"/>
      <c r="M144" s="950"/>
    </row>
    <row r="145" spans="1:18" s="2" customFormat="1" ht="16.5" customHeight="1" x14ac:dyDescent="0.35">
      <c r="A145" s="59"/>
      <c r="B145" s="355"/>
      <c r="C145" s="362"/>
      <c r="D145" s="1463"/>
      <c r="E145" s="836"/>
      <c r="F145" s="1180" t="s">
        <v>213</v>
      </c>
      <c r="G145" s="1181">
        <v>16.899999999999999</v>
      </c>
      <c r="H145" s="1177">
        <v>16.899999999999999</v>
      </c>
      <c r="I145" s="1178">
        <v>16.899999999999999</v>
      </c>
      <c r="J145" s="1443"/>
      <c r="K145" s="139"/>
      <c r="L145" s="912"/>
      <c r="M145" s="439"/>
    </row>
    <row r="146" spans="1:18" s="2" customFormat="1" ht="44.25" customHeight="1" x14ac:dyDescent="0.35">
      <c r="A146" s="59"/>
      <c r="B146" s="514"/>
      <c r="C146" s="512"/>
      <c r="D146" s="1463"/>
      <c r="E146" s="836"/>
      <c r="F146" s="1180" t="s">
        <v>216</v>
      </c>
      <c r="G146" s="1176">
        <v>1.1000000000000001</v>
      </c>
      <c r="H146" s="1177"/>
      <c r="I146" s="1178"/>
      <c r="J146" s="1444"/>
      <c r="K146" s="522"/>
      <c r="L146" s="911"/>
      <c r="M146" s="913"/>
    </row>
    <row r="147" spans="1:18" s="2" customFormat="1" ht="39" customHeight="1" x14ac:dyDescent="0.35">
      <c r="A147" s="59"/>
      <c r="B147" s="355"/>
      <c r="C147" s="362"/>
      <c r="D147" s="1463"/>
      <c r="E147" s="391"/>
      <c r="F147" s="1180" t="s">
        <v>213</v>
      </c>
      <c r="G147" s="1181">
        <f>0.3+72.6</f>
        <v>72.899999999999991</v>
      </c>
      <c r="H147" s="1177"/>
      <c r="I147" s="1178"/>
      <c r="J147" s="901" t="s">
        <v>261</v>
      </c>
      <c r="K147" s="900">
        <v>59</v>
      </c>
      <c r="L147" s="242"/>
      <c r="M147" s="464"/>
      <c r="N147" s="879"/>
    </row>
    <row r="148" spans="1:18" s="2" customFormat="1" ht="30.75" customHeight="1" x14ac:dyDescent="0.35">
      <c r="A148" s="897"/>
      <c r="B148" s="898"/>
      <c r="C148" s="68"/>
      <c r="D148" s="1331" t="s">
        <v>287</v>
      </c>
      <c r="E148" s="806" t="s">
        <v>264</v>
      </c>
      <c r="F148" s="1169"/>
      <c r="G148" s="1193"/>
      <c r="H148" s="1194"/>
      <c r="I148" s="1190"/>
      <c r="J148" s="308"/>
      <c r="K148" s="54"/>
      <c r="L148" s="1330"/>
      <c r="M148" s="1332"/>
    </row>
    <row r="149" spans="1:18" s="2" customFormat="1" ht="18" customHeight="1" x14ac:dyDescent="0.35">
      <c r="A149" s="897"/>
      <c r="B149" s="898"/>
      <c r="C149" s="68"/>
      <c r="D149" s="1195" t="s">
        <v>288</v>
      </c>
      <c r="E149" s="813"/>
      <c r="F149" s="1169" t="s">
        <v>137</v>
      </c>
      <c r="G149" s="1193">
        <f>203.7+20</f>
        <v>223.7</v>
      </c>
      <c r="H149" s="1194">
        <v>210</v>
      </c>
      <c r="I149" s="1190">
        <v>210</v>
      </c>
      <c r="J149" s="309" t="s">
        <v>97</v>
      </c>
      <c r="K149" s="1026">
        <v>9</v>
      </c>
      <c r="L149" s="1028">
        <v>9</v>
      </c>
      <c r="M149" s="1051">
        <v>9</v>
      </c>
      <c r="O149" s="900"/>
    </row>
    <row r="150" spans="1:18" s="2" customFormat="1" ht="27.75" customHeight="1" x14ac:dyDescent="0.35">
      <c r="A150" s="897"/>
      <c r="B150" s="898"/>
      <c r="C150" s="68"/>
      <c r="D150" s="158"/>
      <c r="E150" s="875"/>
      <c r="F150" s="1169"/>
      <c r="G150" s="1192"/>
      <c r="H150" s="1189"/>
      <c r="I150" s="1190"/>
      <c r="J150" s="857" t="s">
        <v>179</v>
      </c>
      <c r="K150" s="520">
        <v>5</v>
      </c>
      <c r="L150" s="223">
        <v>5</v>
      </c>
      <c r="M150" s="443">
        <v>5</v>
      </c>
    </row>
    <row r="151" spans="1:18" s="2" customFormat="1" ht="42" customHeight="1" x14ac:dyDescent="0.35">
      <c r="A151" s="897"/>
      <c r="B151" s="898"/>
      <c r="C151" s="68"/>
      <c r="D151" s="876"/>
      <c r="E151" s="875"/>
      <c r="F151" s="1169"/>
      <c r="G151" s="1188"/>
      <c r="H151" s="1189"/>
      <c r="I151" s="1190"/>
      <c r="J151" s="901" t="s">
        <v>180</v>
      </c>
      <c r="K151" s="136">
        <v>3</v>
      </c>
      <c r="L151" s="241">
        <v>3</v>
      </c>
      <c r="M151" s="443">
        <v>3</v>
      </c>
    </row>
    <row r="152" spans="1:18" s="2" customFormat="1" ht="42.75" customHeight="1" x14ac:dyDescent="0.35">
      <c r="A152" s="897"/>
      <c r="B152" s="898"/>
      <c r="C152" s="68"/>
      <c r="D152" s="899" t="s">
        <v>289</v>
      </c>
      <c r="E152" s="810"/>
      <c r="F152" s="1173" t="s">
        <v>137</v>
      </c>
      <c r="G152" s="1182">
        <f>54.6+93</f>
        <v>147.6</v>
      </c>
      <c r="H152" s="1174">
        <v>54.6</v>
      </c>
      <c r="I152" s="1175">
        <v>54.6</v>
      </c>
      <c r="J152" s="1132" t="s">
        <v>290</v>
      </c>
      <c r="K152" s="264">
        <v>7</v>
      </c>
      <c r="L152" s="1068">
        <v>7</v>
      </c>
      <c r="M152" s="1050">
        <v>7</v>
      </c>
    </row>
    <row r="153" spans="1:18" s="14" customFormat="1" ht="16.5" customHeight="1" thickBot="1" x14ac:dyDescent="0.4">
      <c r="A153" s="60"/>
      <c r="B153" s="357"/>
      <c r="C153" s="48"/>
      <c r="D153" s="1667" t="s">
        <v>27</v>
      </c>
      <c r="E153" s="1668"/>
      <c r="F153" s="1669"/>
      <c r="G153" s="680">
        <f>SUM(G68:G77)</f>
        <v>9265.7999999999993</v>
      </c>
      <c r="H153" s="682">
        <f>SUM(H68:H77)</f>
        <v>8828.1</v>
      </c>
      <c r="I153" s="327">
        <f>SUM(I68:I77)</f>
        <v>8713.1</v>
      </c>
      <c r="J153" s="1148"/>
      <c r="K153" s="1191"/>
      <c r="L153" s="1069"/>
      <c r="M153" s="444"/>
    </row>
    <row r="154" spans="1:18" s="14" customFormat="1" ht="21.75" customHeight="1" x14ac:dyDescent="0.35">
      <c r="A154" s="1679" t="s">
        <v>10</v>
      </c>
      <c r="B154" s="1456" t="s">
        <v>28</v>
      </c>
      <c r="C154" s="1681" t="s">
        <v>28</v>
      </c>
      <c r="D154" s="1452" t="s">
        <v>241</v>
      </c>
      <c r="E154" s="837" t="s">
        <v>265</v>
      </c>
      <c r="F154" s="1197" t="s">
        <v>16</v>
      </c>
      <c r="G154" s="1198">
        <f>295.5+235</f>
        <v>530.5</v>
      </c>
      <c r="H154" s="1199">
        <v>321.7</v>
      </c>
      <c r="I154" s="1196">
        <v>354.4</v>
      </c>
      <c r="J154" s="1203"/>
      <c r="K154" s="1204"/>
      <c r="L154" s="587"/>
      <c r="M154" s="466"/>
    </row>
    <row r="155" spans="1:18" s="14" customFormat="1" ht="18.75" customHeight="1" x14ac:dyDescent="0.35">
      <c r="A155" s="1680"/>
      <c r="B155" s="1457"/>
      <c r="C155" s="1682"/>
      <c r="D155" s="1453"/>
      <c r="E155" s="1297"/>
      <c r="F155" s="607" t="s">
        <v>206</v>
      </c>
      <c r="G155" s="649">
        <f>666.7+11.3</f>
        <v>678</v>
      </c>
      <c r="H155" s="650">
        <v>659.7</v>
      </c>
      <c r="I155" s="417">
        <v>659.7</v>
      </c>
      <c r="J155" s="1008"/>
      <c r="K155" s="1205"/>
      <c r="L155" s="564"/>
      <c r="M155" s="441"/>
    </row>
    <row r="156" spans="1:18" s="15" customFormat="1" ht="25.15" customHeight="1" x14ac:dyDescent="0.35">
      <c r="A156" s="1680"/>
      <c r="B156" s="1457"/>
      <c r="C156" s="1682"/>
      <c r="D156" s="1458" t="s">
        <v>243</v>
      </c>
      <c r="E156" s="1108" t="s">
        <v>264</v>
      </c>
      <c r="F156" s="1169" t="s">
        <v>137</v>
      </c>
      <c r="G156" s="1200">
        <f>295.5+235</f>
        <v>530.5</v>
      </c>
      <c r="H156" s="1194">
        <v>321.7</v>
      </c>
      <c r="I156" s="1202">
        <v>354.4</v>
      </c>
      <c r="J156" s="1649" t="s">
        <v>88</v>
      </c>
      <c r="K156" s="264">
        <v>146</v>
      </c>
      <c r="L156" s="956">
        <v>150</v>
      </c>
      <c r="M156" s="957">
        <v>155</v>
      </c>
      <c r="N156" s="1691"/>
      <c r="O156" s="1692"/>
      <c r="P156" s="1692"/>
    </row>
    <row r="157" spans="1:18" s="15" customFormat="1" ht="31.5" customHeight="1" x14ac:dyDescent="0.35">
      <c r="A157" s="381"/>
      <c r="B157" s="379"/>
      <c r="C157" s="377"/>
      <c r="D157" s="1459"/>
      <c r="E157" s="1110"/>
      <c r="F157" s="1169" t="s">
        <v>214</v>
      </c>
      <c r="G157" s="1193">
        <f>659.7-0.8</f>
        <v>658.90000000000009</v>
      </c>
      <c r="H157" s="1194">
        <v>659.7</v>
      </c>
      <c r="I157" s="1202">
        <v>659.7</v>
      </c>
      <c r="J157" s="1650"/>
      <c r="K157" s="924"/>
      <c r="L157" s="925"/>
      <c r="M157" s="926"/>
      <c r="N157" s="1691"/>
      <c r="O157" s="1692"/>
      <c r="P157" s="1692"/>
      <c r="Q157" s="16"/>
    </row>
    <row r="158" spans="1:18" s="15" customFormat="1" ht="28.5" customHeight="1" x14ac:dyDescent="0.35">
      <c r="A158" s="381"/>
      <c r="B158" s="379"/>
      <c r="C158" s="377"/>
      <c r="D158" s="491" t="s">
        <v>242</v>
      </c>
      <c r="E158" s="836" t="s">
        <v>264</v>
      </c>
      <c r="F158" s="1173" t="s">
        <v>214</v>
      </c>
      <c r="G158" s="1186">
        <f>7+0.8+11.3</f>
        <v>19.100000000000001</v>
      </c>
      <c r="H158" s="1187"/>
      <c r="I158" s="1201"/>
      <c r="J158" s="1149" t="s">
        <v>244</v>
      </c>
      <c r="K158" s="635">
        <v>1</v>
      </c>
      <c r="L158" s="234"/>
      <c r="M158" s="477"/>
      <c r="Q158" s="16"/>
    </row>
    <row r="159" spans="1:18" s="16" customFormat="1" ht="15.75" customHeight="1" thickBot="1" x14ac:dyDescent="0.4">
      <c r="A159" s="382"/>
      <c r="B159" s="380"/>
      <c r="C159" s="378"/>
      <c r="D159" s="492"/>
      <c r="E159" s="392"/>
      <c r="F159" s="1121" t="s">
        <v>20</v>
      </c>
      <c r="G159" s="302">
        <f>SUM(G154:G155)</f>
        <v>1208.5</v>
      </c>
      <c r="H159" s="197">
        <f>SUM(H154:H155)</f>
        <v>981.40000000000009</v>
      </c>
      <c r="I159" s="302">
        <f>SUM(I154:I155)</f>
        <v>1014.1</v>
      </c>
      <c r="J159" s="533"/>
      <c r="K159" s="660"/>
      <c r="L159" s="250"/>
      <c r="M159" s="493"/>
    </row>
    <row r="160" spans="1:18" s="1" customFormat="1" ht="42" customHeight="1" x14ac:dyDescent="0.35">
      <c r="A160" s="61" t="s">
        <v>10</v>
      </c>
      <c r="B160" s="17" t="s">
        <v>28</v>
      </c>
      <c r="C160" s="103" t="s">
        <v>31</v>
      </c>
      <c r="D160" s="1492" t="s">
        <v>42</v>
      </c>
      <c r="E160" s="393"/>
      <c r="F160" s="1314" t="s">
        <v>16</v>
      </c>
      <c r="G160" s="1315">
        <v>1007.5</v>
      </c>
      <c r="H160" s="290">
        <v>190.3</v>
      </c>
      <c r="I160" s="1316">
        <v>190.3</v>
      </c>
      <c r="J160" s="1150"/>
      <c r="K160" s="13"/>
      <c r="L160" s="509"/>
      <c r="M160" s="434"/>
      <c r="O160" s="1208" t="s">
        <v>16</v>
      </c>
      <c r="P160" s="1209">
        <f>G163+G165</f>
        <v>468.6</v>
      </c>
      <c r="Q160" s="1209">
        <f>H163+H165</f>
        <v>190.3</v>
      </c>
      <c r="R160" s="1209">
        <f>I163+I165</f>
        <v>190.3</v>
      </c>
    </row>
    <row r="161" spans="1:18" s="1" customFormat="1" ht="52.5" customHeight="1" x14ac:dyDescent="0.35">
      <c r="A161" s="62"/>
      <c r="B161" s="18"/>
      <c r="C161" s="364"/>
      <c r="D161" s="1493"/>
      <c r="E161" s="1116"/>
      <c r="F161" s="989" t="s">
        <v>206</v>
      </c>
      <c r="G161" s="772">
        <f>1276.6-325</f>
        <v>951.59999999999991</v>
      </c>
      <c r="H161" s="773">
        <v>1329.9</v>
      </c>
      <c r="I161" s="1210">
        <v>1383.1</v>
      </c>
      <c r="J161" s="1151"/>
      <c r="K161" s="639"/>
      <c r="L161" s="236"/>
      <c r="M161" s="462"/>
      <c r="O161" s="1208" t="s">
        <v>206</v>
      </c>
      <c r="P161" s="1209">
        <f>G162+G166+G168+G170+G172+G173</f>
        <v>951.59999999999991</v>
      </c>
      <c r="Q161" s="1209">
        <f>H162+H166+H168+H170+H172+H173</f>
        <v>1329.9</v>
      </c>
      <c r="R161" s="1209">
        <f>I162+I166+I168+I170+I172+I173</f>
        <v>1383.1</v>
      </c>
    </row>
    <row r="162" spans="1:18" s="1" customFormat="1" ht="55.5" customHeight="1" x14ac:dyDescent="0.35">
      <c r="A162" s="62"/>
      <c r="B162" s="18"/>
      <c r="C162" s="364"/>
      <c r="D162" s="386" t="s">
        <v>81</v>
      </c>
      <c r="E162" s="815" t="s">
        <v>293</v>
      </c>
      <c r="F162" s="1169" t="s">
        <v>214</v>
      </c>
      <c r="G162" s="1193">
        <v>82.6</v>
      </c>
      <c r="H162" s="1194">
        <v>82.6</v>
      </c>
      <c r="I162" s="1190">
        <v>82.6</v>
      </c>
      <c r="J162" s="1021" t="s">
        <v>195</v>
      </c>
      <c r="K162" s="639">
        <v>13</v>
      </c>
      <c r="L162" s="236">
        <v>13</v>
      </c>
      <c r="M162" s="462">
        <v>13</v>
      </c>
      <c r="O162" s="1208" t="s">
        <v>310</v>
      </c>
      <c r="P162" s="1209">
        <f>SUM(P160:P161)</f>
        <v>1420.1999999999998</v>
      </c>
      <c r="Q162" s="1209">
        <f>SUM(Q160:Q161)</f>
        <v>1520.2</v>
      </c>
      <c r="R162" s="1209">
        <f>SUM(R160:R161)</f>
        <v>1573.3999999999999</v>
      </c>
    </row>
    <row r="163" spans="1:18" s="1" customFormat="1" ht="41.25" customHeight="1" x14ac:dyDescent="0.35">
      <c r="A163" s="62"/>
      <c r="B163" s="18"/>
      <c r="C163" s="364"/>
      <c r="D163" s="1464" t="s">
        <v>82</v>
      </c>
      <c r="E163" s="806" t="s">
        <v>293</v>
      </c>
      <c r="F163" s="1206" t="s">
        <v>137</v>
      </c>
      <c r="G163" s="1211">
        <v>51.9</v>
      </c>
      <c r="H163" s="1207">
        <v>51.9</v>
      </c>
      <c r="I163" s="1212">
        <v>51.9</v>
      </c>
      <c r="J163" s="1697" t="s">
        <v>123</v>
      </c>
      <c r="K163" s="661">
        <v>14</v>
      </c>
      <c r="L163" s="662">
        <v>14</v>
      </c>
      <c r="M163" s="456">
        <v>14</v>
      </c>
      <c r="O163" s="1208"/>
      <c r="P163" s="1208">
        <f>+P162-G175</f>
        <v>-538.90000000000009</v>
      </c>
      <c r="Q163" s="1208">
        <f>+Q162-H175</f>
        <v>0</v>
      </c>
      <c r="R163" s="1208">
        <f>+R162-I175</f>
        <v>0</v>
      </c>
    </row>
    <row r="164" spans="1:18" s="1" customFormat="1" ht="16.5" customHeight="1" x14ac:dyDescent="0.35">
      <c r="A164" s="62"/>
      <c r="B164" s="18"/>
      <c r="C164" s="364"/>
      <c r="D164" s="1465"/>
      <c r="E164" s="813" t="s">
        <v>167</v>
      </c>
      <c r="F164" s="1354"/>
      <c r="G164" s="768"/>
      <c r="H164" s="1207"/>
      <c r="I164" s="1212"/>
      <c r="J164" s="1698"/>
      <c r="K164" s="663"/>
      <c r="L164" s="243"/>
      <c r="M164" s="457"/>
    </row>
    <row r="165" spans="1:18" s="1" customFormat="1" ht="22.5" customHeight="1" x14ac:dyDescent="0.35">
      <c r="A165" s="62"/>
      <c r="B165" s="18"/>
      <c r="C165" s="364"/>
      <c r="D165" s="1464" t="s">
        <v>230</v>
      </c>
      <c r="E165" s="806" t="s">
        <v>167</v>
      </c>
      <c r="F165" s="1169" t="s">
        <v>137</v>
      </c>
      <c r="G165" s="1193">
        <f>138.4+278.3</f>
        <v>416.70000000000005</v>
      </c>
      <c r="H165" s="1194">
        <v>138.4</v>
      </c>
      <c r="I165" s="1190">
        <v>138.4</v>
      </c>
      <c r="J165" s="1490" t="s">
        <v>171</v>
      </c>
      <c r="K165" s="1499">
        <v>112</v>
      </c>
      <c r="L165" s="1604">
        <v>80</v>
      </c>
      <c r="M165" s="1702">
        <v>80</v>
      </c>
    </row>
    <row r="166" spans="1:18" s="1" customFormat="1" ht="21" customHeight="1" x14ac:dyDescent="0.35">
      <c r="A166" s="62"/>
      <c r="B166" s="18"/>
      <c r="C166" s="702"/>
      <c r="D166" s="1463"/>
      <c r="E166" s="813" t="s">
        <v>264</v>
      </c>
      <c r="F166" s="1169" t="s">
        <v>214</v>
      </c>
      <c r="G166" s="1193">
        <f>270.3-100</f>
        <v>170.3</v>
      </c>
      <c r="H166" s="1194">
        <v>270.3</v>
      </c>
      <c r="I166" s="1190">
        <v>270.3</v>
      </c>
      <c r="J166" s="1491"/>
      <c r="K166" s="1500"/>
      <c r="L166" s="1605"/>
      <c r="M166" s="1703"/>
    </row>
    <row r="167" spans="1:18" s="1" customFormat="1" ht="15" customHeight="1" x14ac:dyDescent="0.35">
      <c r="A167" s="62"/>
      <c r="B167" s="18"/>
      <c r="C167" s="364"/>
      <c r="D167" s="1463"/>
      <c r="E167" s="813" t="s">
        <v>265</v>
      </c>
      <c r="F167" s="1169"/>
      <c r="G167" s="1200"/>
      <c r="H167" s="1194"/>
      <c r="I167" s="1190"/>
      <c r="J167" s="1145"/>
      <c r="K167" s="1312"/>
      <c r="L167" s="1310"/>
      <c r="M167" s="1303"/>
    </row>
    <row r="168" spans="1:18" s="1" customFormat="1" ht="30" customHeight="1" x14ac:dyDescent="0.35">
      <c r="A168" s="62"/>
      <c r="B168" s="18"/>
      <c r="C168" s="364"/>
      <c r="D168" s="1464" t="s">
        <v>83</v>
      </c>
      <c r="E168" s="806" t="s">
        <v>265</v>
      </c>
      <c r="F168" s="1169" t="s">
        <v>214</v>
      </c>
      <c r="G168" s="1193">
        <f>544.8-225</f>
        <v>319.79999999999995</v>
      </c>
      <c r="H168" s="1194">
        <v>544.79999999999995</v>
      </c>
      <c r="I168" s="1190">
        <v>544.79999999999995</v>
      </c>
      <c r="J168" s="1428" t="s">
        <v>124</v>
      </c>
      <c r="K168" s="647">
        <v>300</v>
      </c>
      <c r="L168" s="909">
        <v>200</v>
      </c>
      <c r="M168" s="908">
        <v>200</v>
      </c>
    </row>
    <row r="169" spans="1:18" s="1" customFormat="1" ht="25.5" customHeight="1" x14ac:dyDescent="0.35">
      <c r="A169" s="62"/>
      <c r="B169" s="18"/>
      <c r="C169" s="364"/>
      <c r="D169" s="1465"/>
      <c r="E169" s="815" t="s">
        <v>281</v>
      </c>
      <c r="F169" s="1169" t="s">
        <v>137</v>
      </c>
      <c r="G169" s="1193">
        <v>430.8</v>
      </c>
      <c r="H169" s="1194"/>
      <c r="I169" s="1202"/>
      <c r="J169" s="1603"/>
      <c r="K169" s="654"/>
      <c r="L169" s="263"/>
      <c r="M169" s="293"/>
    </row>
    <row r="170" spans="1:18" s="1" customFormat="1" ht="30" customHeight="1" x14ac:dyDescent="0.35">
      <c r="A170" s="62"/>
      <c r="B170" s="18"/>
      <c r="C170" s="364"/>
      <c r="D170" s="1454" t="s">
        <v>91</v>
      </c>
      <c r="E170" s="1674" t="s">
        <v>264</v>
      </c>
      <c r="F170" s="1169" t="s">
        <v>214</v>
      </c>
      <c r="G170" s="1193">
        <v>35.200000000000003</v>
      </c>
      <c r="H170" s="1194">
        <v>35.200000000000003</v>
      </c>
      <c r="I170" s="1190">
        <v>35.200000000000003</v>
      </c>
      <c r="J170" s="1428" t="s">
        <v>125</v>
      </c>
      <c r="K170" s="1704">
        <v>150</v>
      </c>
      <c r="L170" s="1687">
        <v>150</v>
      </c>
      <c r="M170" s="1689">
        <v>150</v>
      </c>
    </row>
    <row r="171" spans="1:18" s="1" customFormat="1" ht="48" customHeight="1" x14ac:dyDescent="0.35">
      <c r="A171" s="62"/>
      <c r="B171" s="18"/>
      <c r="C171" s="518"/>
      <c r="D171" s="1455"/>
      <c r="E171" s="1675"/>
      <c r="F171" s="1353"/>
      <c r="G171" s="1372"/>
      <c r="H171" s="1194"/>
      <c r="I171" s="1190"/>
      <c r="J171" s="1603"/>
      <c r="K171" s="1705"/>
      <c r="L171" s="1688"/>
      <c r="M171" s="1690"/>
    </row>
    <row r="172" spans="1:18" s="1" customFormat="1" ht="53.25" customHeight="1" x14ac:dyDescent="0.35">
      <c r="A172" s="354"/>
      <c r="B172" s="355"/>
      <c r="C172" s="362"/>
      <c r="D172" s="261" t="s">
        <v>43</v>
      </c>
      <c r="E172" s="806" t="s">
        <v>264</v>
      </c>
      <c r="F172" s="1169" t="s">
        <v>214</v>
      </c>
      <c r="G172" s="1193">
        <v>24.4</v>
      </c>
      <c r="H172" s="1194">
        <v>24.4</v>
      </c>
      <c r="I172" s="1190">
        <v>24.4</v>
      </c>
      <c r="J172" s="262" t="s">
        <v>126</v>
      </c>
      <c r="K172" s="664">
        <v>1</v>
      </c>
      <c r="L172" s="221">
        <v>20</v>
      </c>
      <c r="M172" s="465">
        <v>20</v>
      </c>
    </row>
    <row r="173" spans="1:18" s="1" customFormat="1" ht="18.649999999999999" customHeight="1" x14ac:dyDescent="0.35">
      <c r="A173" s="354"/>
      <c r="B173" s="355"/>
      <c r="C173" s="362"/>
      <c r="D173" s="1496" t="s">
        <v>197</v>
      </c>
      <c r="E173" s="806" t="s">
        <v>264</v>
      </c>
      <c r="F173" s="1169" t="s">
        <v>214</v>
      </c>
      <c r="G173" s="1200">
        <f>319.3</f>
        <v>319.3</v>
      </c>
      <c r="H173" s="1194">
        <v>372.6</v>
      </c>
      <c r="I173" s="1202">
        <v>425.8</v>
      </c>
      <c r="J173" s="1428" t="s">
        <v>198</v>
      </c>
      <c r="K173" s="647">
        <v>50</v>
      </c>
      <c r="L173" s="958">
        <v>35</v>
      </c>
      <c r="M173" s="955">
        <v>40</v>
      </c>
      <c r="N173" s="1691"/>
      <c r="O173" s="1692"/>
      <c r="P173" s="1692"/>
    </row>
    <row r="174" spans="1:18" s="1" customFormat="1" ht="10.9" customHeight="1" x14ac:dyDescent="0.35">
      <c r="A174" s="515"/>
      <c r="B174" s="514"/>
      <c r="C174" s="512"/>
      <c r="D174" s="1497"/>
      <c r="E174" s="813" t="s">
        <v>265</v>
      </c>
      <c r="F174" s="1169" t="s">
        <v>137</v>
      </c>
      <c r="G174" s="1186">
        <v>309.10000000000002</v>
      </c>
      <c r="H174" s="1187"/>
      <c r="I174" s="1201"/>
      <c r="J174" s="1586"/>
      <c r="K174" s="927"/>
      <c r="L174" s="928"/>
      <c r="M174" s="929"/>
      <c r="N174" s="1691"/>
      <c r="O174" s="1692"/>
      <c r="P174" s="1692"/>
    </row>
    <row r="175" spans="1:18" s="1" customFormat="1" ht="16.149999999999999" customHeight="1" thickBot="1" x14ac:dyDescent="0.4">
      <c r="A175" s="359"/>
      <c r="B175" s="357"/>
      <c r="C175" s="363"/>
      <c r="D175" s="1498"/>
      <c r="E175" s="1117"/>
      <c r="F175" s="341" t="s">
        <v>20</v>
      </c>
      <c r="G175" s="302">
        <f>SUM(G160:G161)</f>
        <v>1959.1</v>
      </c>
      <c r="H175" s="197">
        <f>SUM(H160:H161)</f>
        <v>1520.2</v>
      </c>
      <c r="I175" s="302">
        <f>SUM(I160:I161)</f>
        <v>1573.3999999999999</v>
      </c>
      <c r="J175" s="1429"/>
      <c r="K175" s="648"/>
      <c r="L175" s="237"/>
      <c r="M175" s="450"/>
      <c r="N175" s="1691"/>
      <c r="O175" s="1692"/>
      <c r="P175" s="1692"/>
    </row>
    <row r="176" spans="1:18" s="1" customFormat="1" ht="15.75" customHeight="1" x14ac:dyDescent="0.35">
      <c r="A176" s="61" t="s">
        <v>10</v>
      </c>
      <c r="B176" s="17" t="s">
        <v>28</v>
      </c>
      <c r="C176" s="103" t="s">
        <v>33</v>
      </c>
      <c r="D176" s="1492" t="s">
        <v>44</v>
      </c>
      <c r="E176" s="141" t="s">
        <v>265</v>
      </c>
      <c r="F176" s="1213" t="s">
        <v>16</v>
      </c>
      <c r="G176" s="1214">
        <v>43.2</v>
      </c>
      <c r="H176" s="1215">
        <v>43.2</v>
      </c>
      <c r="I176" s="1216">
        <v>43.2</v>
      </c>
      <c r="J176" s="784"/>
      <c r="K176" s="13"/>
      <c r="L176" s="509"/>
      <c r="M176" s="466"/>
    </row>
    <row r="177" spans="1:18" s="1" customFormat="1" ht="15.75" customHeight="1" x14ac:dyDescent="0.35">
      <c r="A177" s="62"/>
      <c r="B177" s="18"/>
      <c r="C177" s="364"/>
      <c r="D177" s="1670"/>
      <c r="E177" s="1118"/>
      <c r="F177" s="1217" t="s">
        <v>206</v>
      </c>
      <c r="G177" s="1218">
        <v>110.8</v>
      </c>
      <c r="H177" s="1219">
        <v>110.8</v>
      </c>
      <c r="I177" s="420">
        <v>110.8</v>
      </c>
      <c r="J177" s="785"/>
      <c r="K177" s="12"/>
      <c r="L177" s="239"/>
      <c r="M177" s="467"/>
      <c r="O177" s="1208" t="s">
        <v>16</v>
      </c>
      <c r="P177" s="1209">
        <f t="shared" ref="P177:R178" si="4">G180+G182</f>
        <v>43.2</v>
      </c>
      <c r="Q177" s="1209">
        <f t="shared" si="4"/>
        <v>43.2</v>
      </c>
      <c r="R177" s="1209">
        <f t="shared" si="4"/>
        <v>43.2</v>
      </c>
    </row>
    <row r="178" spans="1:18" s="1" customFormat="1" ht="15.75" customHeight="1" x14ac:dyDescent="0.35">
      <c r="A178" s="62"/>
      <c r="B178" s="18"/>
      <c r="C178" s="1055"/>
      <c r="D178" s="1076"/>
      <c r="E178" s="1118"/>
      <c r="F178" s="989" t="s">
        <v>30</v>
      </c>
      <c r="G178" s="772"/>
      <c r="H178" s="773">
        <v>269.60000000000002</v>
      </c>
      <c r="I178" s="781">
        <v>269.60000000000002</v>
      </c>
      <c r="J178" s="785"/>
      <c r="K178" s="12"/>
      <c r="L178" s="239"/>
      <c r="M178" s="467"/>
      <c r="O178" s="1208" t="s">
        <v>206</v>
      </c>
      <c r="P178" s="1209">
        <f t="shared" si="4"/>
        <v>110.8</v>
      </c>
      <c r="Q178" s="1209">
        <f t="shared" si="4"/>
        <v>110.8</v>
      </c>
      <c r="R178" s="1209">
        <f t="shared" si="4"/>
        <v>110.8</v>
      </c>
    </row>
    <row r="179" spans="1:18" s="1" customFormat="1" ht="15.75" customHeight="1" x14ac:dyDescent="0.35">
      <c r="A179" s="62"/>
      <c r="B179" s="18"/>
      <c r="C179" s="1351"/>
      <c r="D179" s="1339"/>
      <c r="E179" s="1118"/>
      <c r="F179" s="1356" t="s">
        <v>14</v>
      </c>
      <c r="G179" s="772">
        <v>256.8</v>
      </c>
      <c r="H179" s="773"/>
      <c r="I179" s="781"/>
      <c r="J179" s="785"/>
      <c r="K179" s="12"/>
      <c r="L179" s="239"/>
      <c r="M179" s="467"/>
      <c r="O179" s="1208"/>
      <c r="P179" s="1209"/>
      <c r="Q179" s="1209"/>
      <c r="R179" s="1209"/>
    </row>
    <row r="180" spans="1:18" s="1" customFormat="1" ht="20.25" customHeight="1" x14ac:dyDescent="0.35">
      <c r="A180" s="62"/>
      <c r="B180" s="18"/>
      <c r="C180" s="364"/>
      <c r="D180" s="1454" t="s">
        <v>45</v>
      </c>
      <c r="E180" s="806" t="s">
        <v>167</v>
      </c>
      <c r="F180" s="1220" t="s">
        <v>137</v>
      </c>
      <c r="G180" s="1225">
        <v>23.2</v>
      </c>
      <c r="H180" s="1221">
        <v>23.2</v>
      </c>
      <c r="I180" s="1224">
        <v>23.2</v>
      </c>
      <c r="J180" s="1477" t="s">
        <v>238</v>
      </c>
      <c r="K180" s="638">
        <v>20</v>
      </c>
      <c r="L180" s="245">
        <v>20</v>
      </c>
      <c r="M180" s="436">
        <v>20</v>
      </c>
      <c r="O180" s="1208" t="s">
        <v>310</v>
      </c>
      <c r="P180" s="1168">
        <f>+P177+P178+G178</f>
        <v>154</v>
      </c>
      <c r="Q180" s="1209"/>
      <c r="R180" s="1209"/>
    </row>
    <row r="181" spans="1:18" s="1" customFormat="1" ht="19.5" customHeight="1" x14ac:dyDescent="0.35">
      <c r="A181" s="62"/>
      <c r="B181" s="18"/>
      <c r="C181" s="364"/>
      <c r="D181" s="1455"/>
      <c r="E181" s="813" t="s">
        <v>264</v>
      </c>
      <c r="F181" s="1220" t="s">
        <v>214</v>
      </c>
      <c r="G181" s="1225">
        <v>76.8</v>
      </c>
      <c r="H181" s="1221">
        <v>76.8</v>
      </c>
      <c r="I181" s="1224">
        <v>76.8</v>
      </c>
      <c r="J181" s="1478"/>
      <c r="K181" s="12"/>
      <c r="L181" s="239"/>
      <c r="M181" s="439"/>
      <c r="P181" s="2"/>
    </row>
    <row r="182" spans="1:18" s="1" customFormat="1" ht="15" customHeight="1" x14ac:dyDescent="0.35">
      <c r="A182" s="1473"/>
      <c r="B182" s="1470"/>
      <c r="C182" s="362"/>
      <c r="D182" s="1706" t="s">
        <v>46</v>
      </c>
      <c r="E182" s="1108" t="s">
        <v>264</v>
      </c>
      <c r="F182" s="1220" t="s">
        <v>137</v>
      </c>
      <c r="G182" s="1225">
        <v>20</v>
      </c>
      <c r="H182" s="1221">
        <v>20</v>
      </c>
      <c r="I182" s="1222">
        <v>20</v>
      </c>
      <c r="J182" s="1593" t="s">
        <v>160</v>
      </c>
      <c r="K182" s="665">
        <v>12</v>
      </c>
      <c r="L182" s="259">
        <v>12</v>
      </c>
      <c r="M182" s="700">
        <v>12</v>
      </c>
    </row>
    <row r="183" spans="1:18" s="1" customFormat="1" ht="17.5" customHeight="1" x14ac:dyDescent="0.35">
      <c r="A183" s="1473"/>
      <c r="B183" s="1470"/>
      <c r="C183" s="362"/>
      <c r="D183" s="1707"/>
      <c r="E183" s="496"/>
      <c r="F183" s="1220" t="s">
        <v>214</v>
      </c>
      <c r="G183" s="1225">
        <v>34</v>
      </c>
      <c r="H183" s="1221">
        <v>34</v>
      </c>
      <c r="I183" s="1224">
        <v>34</v>
      </c>
      <c r="J183" s="1594"/>
      <c r="K183" s="666"/>
      <c r="L183" s="240"/>
      <c r="M183" s="465"/>
    </row>
    <row r="184" spans="1:18" s="1" customFormat="1" ht="17.5" customHeight="1" x14ac:dyDescent="0.35">
      <c r="A184" s="1338"/>
      <c r="B184" s="1337"/>
      <c r="C184" s="1341"/>
      <c r="D184" s="1707"/>
      <c r="E184" s="496"/>
      <c r="F184" s="1220" t="s">
        <v>213</v>
      </c>
      <c r="G184" s="1321">
        <v>256.8</v>
      </c>
      <c r="H184" s="1221"/>
      <c r="I184" s="1321"/>
      <c r="J184" s="1345"/>
      <c r="K184" s="666"/>
      <c r="L184" s="240"/>
      <c r="M184" s="465"/>
    </row>
    <row r="185" spans="1:18" s="1" customFormat="1" ht="16.5" customHeight="1" thickBot="1" x14ac:dyDescent="0.4">
      <c r="A185" s="359"/>
      <c r="B185" s="357"/>
      <c r="C185" s="904"/>
      <c r="D185" s="1708"/>
      <c r="E185" s="1119"/>
      <c r="F185" s="1121" t="s">
        <v>20</v>
      </c>
      <c r="G185" s="302">
        <f>SUM(G176:G179)</f>
        <v>410.8</v>
      </c>
      <c r="H185" s="197">
        <f>SUM(H176:H179)</f>
        <v>423.6</v>
      </c>
      <c r="I185" s="302">
        <f>SUM(I176:I179)</f>
        <v>423.6</v>
      </c>
      <c r="J185" s="786"/>
      <c r="K185" s="1226"/>
      <c r="L185" s="260"/>
      <c r="M185" s="20"/>
    </row>
    <row r="186" spans="1:18" s="1" customFormat="1" ht="16.149999999999999" customHeight="1" x14ac:dyDescent="0.35">
      <c r="A186" s="61" t="s">
        <v>10</v>
      </c>
      <c r="B186" s="17" t="s">
        <v>28</v>
      </c>
      <c r="C186" s="122" t="s">
        <v>34</v>
      </c>
      <c r="D186" s="752" t="s">
        <v>47</v>
      </c>
      <c r="E186" s="837" t="s">
        <v>264</v>
      </c>
      <c r="F186" s="1227" t="s">
        <v>16</v>
      </c>
      <c r="G186" s="1228">
        <f>16.3+105.8</f>
        <v>122.1</v>
      </c>
      <c r="H186" s="1229">
        <v>18.7</v>
      </c>
      <c r="I186" s="428">
        <v>18.7</v>
      </c>
      <c r="J186" s="1575" t="s">
        <v>326</v>
      </c>
      <c r="K186" s="646">
        <v>30</v>
      </c>
      <c r="L186" s="294">
        <v>26</v>
      </c>
      <c r="M186" s="447">
        <v>26</v>
      </c>
    </row>
    <row r="187" spans="1:18" s="1" customFormat="1" ht="16.149999999999999" customHeight="1" x14ac:dyDescent="0.35">
      <c r="A187" s="62"/>
      <c r="B187" s="18"/>
      <c r="C187" s="123"/>
      <c r="D187" s="172"/>
      <c r="E187" s="813" t="s">
        <v>265</v>
      </c>
      <c r="F187" s="1064" t="s">
        <v>206</v>
      </c>
      <c r="G187" s="332">
        <v>98.7</v>
      </c>
      <c r="H187" s="295">
        <v>98.7</v>
      </c>
      <c r="I187" s="776">
        <v>98.7</v>
      </c>
      <c r="J187" s="1603"/>
      <c r="K187" s="654"/>
      <c r="L187" s="699"/>
      <c r="M187" s="701"/>
    </row>
    <row r="188" spans="1:18" s="1" customFormat="1" ht="42.75" customHeight="1" x14ac:dyDescent="0.35">
      <c r="A188" s="62"/>
      <c r="B188" s="18"/>
      <c r="C188" s="123"/>
      <c r="D188" s="172"/>
      <c r="E188" s="754"/>
      <c r="F188" s="1122" t="s">
        <v>30</v>
      </c>
      <c r="G188" s="709"/>
      <c r="H188" s="186">
        <v>207.7</v>
      </c>
      <c r="I188" s="409">
        <v>207.7</v>
      </c>
      <c r="J188" s="1152" t="s">
        <v>89</v>
      </c>
      <c r="K188" s="654">
        <v>17</v>
      </c>
      <c r="L188" s="1334">
        <v>10</v>
      </c>
      <c r="M188" s="1335">
        <v>10</v>
      </c>
      <c r="O188" s="2"/>
    </row>
    <row r="189" spans="1:18" s="1" customFormat="1" ht="30" customHeight="1" x14ac:dyDescent="0.35">
      <c r="A189" s="62"/>
      <c r="B189" s="18"/>
      <c r="C189" s="123"/>
      <c r="D189" s="172"/>
      <c r="E189" s="754"/>
      <c r="F189" s="1123" t="s">
        <v>14</v>
      </c>
      <c r="G189" s="777">
        <v>289.8</v>
      </c>
      <c r="H189" s="199"/>
      <c r="I189" s="778"/>
      <c r="J189" s="1377" t="s">
        <v>100</v>
      </c>
      <c r="K189" s="664">
        <v>36</v>
      </c>
      <c r="L189" s="1333">
        <v>36</v>
      </c>
      <c r="M189" s="465">
        <v>36</v>
      </c>
    </row>
    <row r="190" spans="1:18" s="1" customFormat="1" ht="16.5" customHeight="1" thickBot="1" x14ac:dyDescent="0.4">
      <c r="A190" s="62"/>
      <c r="B190" s="18"/>
      <c r="C190" s="123"/>
      <c r="D190" s="387"/>
      <c r="E190" s="754"/>
      <c r="F190" s="343" t="s">
        <v>20</v>
      </c>
      <c r="G190" s="301">
        <f>SUM(G186:G189)</f>
        <v>510.6</v>
      </c>
      <c r="H190" s="187">
        <f>SUM(H186:H189)</f>
        <v>325.10000000000002</v>
      </c>
      <c r="I190" s="301">
        <f>SUM(I186:I189)</f>
        <v>325.10000000000002</v>
      </c>
      <c r="J190" s="1375"/>
      <c r="K190" s="1355"/>
      <c r="L190" s="237"/>
      <c r="M190" s="1376"/>
      <c r="N190" s="2"/>
    </row>
    <row r="191" spans="1:18" s="1" customFormat="1" ht="20.5" customHeight="1" x14ac:dyDescent="0.35">
      <c r="A191" s="358" t="s">
        <v>10</v>
      </c>
      <c r="B191" s="360" t="s">
        <v>28</v>
      </c>
      <c r="C191" s="361" t="s">
        <v>48</v>
      </c>
      <c r="D191" s="1494" t="s">
        <v>92</v>
      </c>
      <c r="E191" s="838" t="s">
        <v>264</v>
      </c>
      <c r="F191" s="988" t="s">
        <v>16</v>
      </c>
      <c r="G191" s="208">
        <v>5.2</v>
      </c>
      <c r="H191" s="200">
        <v>5.2</v>
      </c>
      <c r="I191" s="425">
        <v>5.2</v>
      </c>
      <c r="J191" s="1479" t="s">
        <v>140</v>
      </c>
      <c r="K191" s="13">
        <v>2</v>
      </c>
      <c r="L191" s="509">
        <v>2</v>
      </c>
      <c r="M191" s="469">
        <v>2</v>
      </c>
    </row>
    <row r="192" spans="1:18" s="1" customFormat="1" ht="16.5" customHeight="1" thickBot="1" x14ac:dyDescent="0.4">
      <c r="A192" s="359"/>
      <c r="B192" s="357"/>
      <c r="C192" s="363"/>
      <c r="D192" s="1495"/>
      <c r="E192" s="396"/>
      <c r="F192" s="1121" t="s">
        <v>20</v>
      </c>
      <c r="G192" s="301">
        <f t="shared" ref="G192:I192" si="5">G191</f>
        <v>5.2</v>
      </c>
      <c r="H192" s="187">
        <f t="shared" si="5"/>
        <v>5.2</v>
      </c>
      <c r="I192" s="176">
        <f t="shared" si="5"/>
        <v>5.2</v>
      </c>
      <c r="J192" s="1480"/>
      <c r="K192" s="11"/>
      <c r="L192" s="510"/>
      <c r="M192" s="470"/>
    </row>
    <row r="193" spans="1:13" s="1" customFormat="1" ht="15" customHeight="1" x14ac:dyDescent="0.35">
      <c r="A193" s="1482" t="s">
        <v>10</v>
      </c>
      <c r="B193" s="1672" t="s">
        <v>28</v>
      </c>
      <c r="C193" s="1483" t="s">
        <v>49</v>
      </c>
      <c r="D193" s="1676" t="s">
        <v>94</v>
      </c>
      <c r="E193" s="1573" t="s">
        <v>264</v>
      </c>
      <c r="F193" s="1085" t="s">
        <v>14</v>
      </c>
      <c r="G193" s="717">
        <v>11.9</v>
      </c>
      <c r="H193" s="718"/>
      <c r="I193" s="426"/>
      <c r="J193" s="784" t="s">
        <v>93</v>
      </c>
      <c r="K193" s="13">
        <v>900</v>
      </c>
      <c r="L193" s="509"/>
      <c r="M193" s="466"/>
    </row>
    <row r="194" spans="1:13" s="1" customFormat="1" ht="15" customHeight="1" x14ac:dyDescent="0.35">
      <c r="A194" s="1466"/>
      <c r="B194" s="1467"/>
      <c r="C194" s="1469"/>
      <c r="D194" s="1599"/>
      <c r="E194" s="1678"/>
      <c r="F194" s="548" t="s">
        <v>158</v>
      </c>
      <c r="G194" s="719">
        <v>4</v>
      </c>
      <c r="H194" s="720"/>
      <c r="I194" s="410"/>
      <c r="J194" s="785"/>
      <c r="K194" s="12"/>
      <c r="L194" s="239"/>
      <c r="M194" s="467"/>
    </row>
    <row r="195" spans="1:13" s="1" customFormat="1" ht="15" customHeight="1" x14ac:dyDescent="0.35">
      <c r="A195" s="1466"/>
      <c r="B195" s="1467"/>
      <c r="C195" s="1469"/>
      <c r="D195" s="1599"/>
      <c r="E195" s="1678"/>
      <c r="F195" s="548" t="s">
        <v>111</v>
      </c>
      <c r="G195" s="719">
        <v>285</v>
      </c>
      <c r="H195" s="720"/>
      <c r="I195" s="410"/>
      <c r="J195" s="785"/>
      <c r="K195" s="12"/>
      <c r="L195" s="239"/>
      <c r="M195" s="467"/>
    </row>
    <row r="196" spans="1:13" s="1" customFormat="1" ht="15" customHeight="1" x14ac:dyDescent="0.35">
      <c r="A196" s="1466"/>
      <c r="B196" s="1467"/>
      <c r="C196" s="1469"/>
      <c r="D196" s="1599"/>
      <c r="E196" s="1678"/>
      <c r="F196" s="548" t="s">
        <v>116</v>
      </c>
      <c r="G196" s="709">
        <v>36.6</v>
      </c>
      <c r="H196" s="186"/>
      <c r="I196" s="427"/>
      <c r="J196" s="785"/>
      <c r="K196" s="12"/>
      <c r="L196" s="239"/>
      <c r="M196" s="467"/>
    </row>
    <row r="197" spans="1:13" s="1" customFormat="1" ht="15" customHeight="1" thickBot="1" x14ac:dyDescent="0.4">
      <c r="A197" s="1671"/>
      <c r="B197" s="1673"/>
      <c r="C197" s="1484"/>
      <c r="D197" s="1677"/>
      <c r="E197" s="1574"/>
      <c r="F197" s="341" t="s">
        <v>20</v>
      </c>
      <c r="G197" s="301">
        <f t="shared" ref="G197:I197" si="6">SUM(G193:G196)</f>
        <v>337.5</v>
      </c>
      <c r="H197" s="187">
        <f t="shared" si="6"/>
        <v>0</v>
      </c>
      <c r="I197" s="176">
        <f t="shared" si="6"/>
        <v>0</v>
      </c>
      <c r="J197" s="1153"/>
      <c r="K197" s="11"/>
      <c r="L197" s="510"/>
      <c r="M197" s="471"/>
    </row>
    <row r="198" spans="1:13" s="1" customFormat="1" ht="30" customHeight="1" x14ac:dyDescent="0.35">
      <c r="A198" s="1482" t="s">
        <v>10</v>
      </c>
      <c r="B198" s="1672" t="s">
        <v>28</v>
      </c>
      <c r="C198" s="1483" t="s">
        <v>80</v>
      </c>
      <c r="D198" s="1566" t="s">
        <v>115</v>
      </c>
      <c r="E198" s="1573" t="s">
        <v>264</v>
      </c>
      <c r="F198" s="1230" t="s">
        <v>16</v>
      </c>
      <c r="G198" s="1231">
        <v>21.3</v>
      </c>
      <c r="H198" s="304"/>
      <c r="I198" s="1232"/>
      <c r="J198" s="1001" t="s">
        <v>305</v>
      </c>
      <c r="K198" s="1142">
        <v>120</v>
      </c>
      <c r="L198" s="860"/>
      <c r="M198" s="861"/>
    </row>
    <row r="199" spans="1:13" s="1" customFormat="1" ht="53.25" customHeight="1" x14ac:dyDescent="0.35">
      <c r="A199" s="1466"/>
      <c r="B199" s="1467"/>
      <c r="C199" s="1469"/>
      <c r="D199" s="1562"/>
      <c r="E199" s="1678"/>
      <c r="F199" s="313" t="s">
        <v>111</v>
      </c>
      <c r="G199" s="709">
        <v>134.9</v>
      </c>
      <c r="H199" s="199"/>
      <c r="I199" s="1233"/>
      <c r="J199" s="1146" t="s">
        <v>304</v>
      </c>
      <c r="K199" s="522">
        <v>1</v>
      </c>
      <c r="L199" s="1028"/>
      <c r="M199" s="987"/>
    </row>
    <row r="200" spans="1:13" s="1" customFormat="1" ht="46.15" customHeight="1" x14ac:dyDescent="0.35">
      <c r="A200" s="1466"/>
      <c r="B200" s="1467"/>
      <c r="C200" s="1469"/>
      <c r="D200" s="1562"/>
      <c r="E200" s="1678"/>
      <c r="F200" s="529"/>
      <c r="G200" s="1234"/>
      <c r="H200" s="708"/>
      <c r="I200" s="1235"/>
      <c r="J200" s="1442" t="s">
        <v>279</v>
      </c>
      <c r="K200" s="1025">
        <v>1</v>
      </c>
      <c r="L200" s="966"/>
      <c r="M200" s="950"/>
    </row>
    <row r="201" spans="1:13" s="1" customFormat="1" ht="15.75" customHeight="1" thickBot="1" x14ac:dyDescent="0.4">
      <c r="A201" s="1466"/>
      <c r="B201" s="1467"/>
      <c r="C201" s="1469"/>
      <c r="D201" s="1599"/>
      <c r="E201" s="1574"/>
      <c r="F201" s="1124" t="s">
        <v>20</v>
      </c>
      <c r="G201" s="1120">
        <f>SUM(G198:G199)</f>
        <v>156.20000000000002</v>
      </c>
      <c r="H201" s="187">
        <f>SUM(H198:H199)</f>
        <v>0</v>
      </c>
      <c r="I201" s="1120">
        <f>SUM(I198:I199)</f>
        <v>0</v>
      </c>
      <c r="J201" s="1468"/>
      <c r="K201" s="522"/>
      <c r="L201" s="510"/>
      <c r="M201" s="444"/>
    </row>
    <row r="202" spans="1:13" s="1" customFormat="1" ht="16.5" customHeight="1" thickBot="1" x14ac:dyDescent="0.4">
      <c r="A202" s="57" t="s">
        <v>10</v>
      </c>
      <c r="B202" s="3" t="s">
        <v>28</v>
      </c>
      <c r="C202" s="1592" t="s">
        <v>35</v>
      </c>
      <c r="D202" s="1592"/>
      <c r="E202" s="1592"/>
      <c r="F202" s="1592"/>
      <c r="G202" s="194">
        <f>+G201+G197+G192+G190+G185+G175+G159+G153</f>
        <v>13853.699999999999</v>
      </c>
      <c r="H202" s="204">
        <f>+H201+H197+H192+H190+H185+H175+H159+H153</f>
        <v>12083.6</v>
      </c>
      <c r="I202" s="191">
        <f>+I201+I197+I192+I190+I185+I175+I159+I153</f>
        <v>12054.5</v>
      </c>
      <c r="J202" s="1601"/>
      <c r="K202" s="1601"/>
      <c r="L202" s="1601"/>
      <c r="M202" s="1602"/>
    </row>
    <row r="203" spans="1:13" s="1" customFormat="1" ht="14.25" customHeight="1" thickBot="1" x14ac:dyDescent="0.4">
      <c r="A203" s="58" t="s">
        <v>10</v>
      </c>
      <c r="B203" s="3" t="s">
        <v>31</v>
      </c>
      <c r="C203" s="1695" t="s">
        <v>178</v>
      </c>
      <c r="D203" s="1695"/>
      <c r="E203" s="1695"/>
      <c r="F203" s="1695"/>
      <c r="G203" s="1695"/>
      <c r="H203" s="1695"/>
      <c r="I203" s="1695"/>
      <c r="J203" s="1695"/>
      <c r="K203" s="1695"/>
      <c r="L203" s="1695"/>
      <c r="M203" s="1696"/>
    </row>
    <row r="204" spans="1:13" s="2" customFormat="1" ht="16.5" customHeight="1" x14ac:dyDescent="0.35">
      <c r="A204" s="358" t="s">
        <v>10</v>
      </c>
      <c r="B204" s="360" t="s">
        <v>31</v>
      </c>
      <c r="C204" s="111" t="s">
        <v>10</v>
      </c>
      <c r="D204" s="1683" t="s">
        <v>51</v>
      </c>
      <c r="E204" s="398"/>
      <c r="F204" s="636" t="s">
        <v>16</v>
      </c>
      <c r="G204" s="1244">
        <f>201.8-84.8</f>
        <v>117.00000000000001</v>
      </c>
      <c r="H204" s="1245">
        <f>170+21.8+32.9+84.8</f>
        <v>309.5</v>
      </c>
      <c r="I204" s="1246">
        <f>365.2-21.8</f>
        <v>343.4</v>
      </c>
      <c r="J204" s="1126"/>
      <c r="K204" s="524"/>
      <c r="L204" s="224"/>
      <c r="M204" s="472"/>
    </row>
    <row r="205" spans="1:13" s="2" customFormat="1" ht="15" customHeight="1" x14ac:dyDescent="0.35">
      <c r="A205" s="1009"/>
      <c r="B205" s="1010"/>
      <c r="C205" s="68"/>
      <c r="D205" s="1684"/>
      <c r="E205" s="1239"/>
      <c r="F205" s="1243" t="s">
        <v>109</v>
      </c>
      <c r="G205" s="1247">
        <v>49</v>
      </c>
      <c r="H205" s="1248"/>
      <c r="I205" s="1249"/>
      <c r="J205" s="1241"/>
      <c r="K205" s="523"/>
      <c r="L205" s="331"/>
      <c r="M205" s="1242"/>
    </row>
    <row r="206" spans="1:13" s="2" customFormat="1" ht="15" customHeight="1" x14ac:dyDescent="0.35">
      <c r="A206" s="1009"/>
      <c r="B206" s="1010"/>
      <c r="C206" s="68"/>
      <c r="D206" s="1684"/>
      <c r="E206" s="1239"/>
      <c r="F206" s="1243" t="s">
        <v>111</v>
      </c>
      <c r="G206" s="1247">
        <v>419.6</v>
      </c>
      <c r="H206" s="1248"/>
      <c r="I206" s="1249"/>
      <c r="J206" s="1241"/>
      <c r="K206" s="523"/>
      <c r="L206" s="331"/>
      <c r="M206" s="1242"/>
    </row>
    <row r="207" spans="1:13" s="2" customFormat="1" ht="16.5" customHeight="1" x14ac:dyDescent="0.35">
      <c r="A207" s="1009"/>
      <c r="B207" s="1010"/>
      <c r="C207" s="68"/>
      <c r="D207" s="1684"/>
      <c r="E207" s="1239"/>
      <c r="F207" s="1243" t="s">
        <v>116</v>
      </c>
      <c r="G207" s="1247">
        <v>0.3</v>
      </c>
      <c r="H207" s="1248"/>
      <c r="I207" s="1249"/>
      <c r="J207" s="1241"/>
      <c r="K207" s="523"/>
      <c r="L207" s="331"/>
      <c r="M207" s="1242"/>
    </row>
    <row r="208" spans="1:13" s="2" customFormat="1" ht="17.25" customHeight="1" x14ac:dyDescent="0.35">
      <c r="A208" s="1009"/>
      <c r="B208" s="1010"/>
      <c r="C208" s="68"/>
      <c r="D208" s="1238"/>
      <c r="E208" s="1239"/>
      <c r="F208" s="1240" t="s">
        <v>50</v>
      </c>
      <c r="G208" s="1250"/>
      <c r="H208" s="1251">
        <v>935</v>
      </c>
      <c r="I208" s="1252">
        <v>1899.8</v>
      </c>
      <c r="J208" s="1241"/>
      <c r="K208" s="523"/>
      <c r="L208" s="331"/>
      <c r="M208" s="1242"/>
    </row>
    <row r="209" spans="1:20" s="2" customFormat="1" ht="27" customHeight="1" x14ac:dyDescent="0.35">
      <c r="A209" s="354"/>
      <c r="B209" s="355"/>
      <c r="C209" s="40"/>
      <c r="D209" s="1432" t="s">
        <v>200</v>
      </c>
      <c r="E209" s="790" t="s">
        <v>52</v>
      </c>
      <c r="F209" s="1220" t="s">
        <v>223</v>
      </c>
      <c r="G209" s="1225">
        <v>19.600000000000001</v>
      </c>
      <c r="H209" s="1257"/>
      <c r="I209" s="1256"/>
      <c r="J209" s="1428" t="s">
        <v>312</v>
      </c>
      <c r="K209" s="1685">
        <v>100</v>
      </c>
      <c r="L209" s="1687"/>
      <c r="M209" s="1689"/>
      <c r="O209" s="1167" t="s">
        <v>16</v>
      </c>
      <c r="P209" s="1168">
        <f>G215+G217</f>
        <v>117</v>
      </c>
      <c r="Q209" s="1168">
        <f>H217+H220</f>
        <v>191.8</v>
      </c>
      <c r="R209" s="1168">
        <f>I217+I220</f>
        <v>343.4</v>
      </c>
    </row>
    <row r="210" spans="1:20" s="2" customFormat="1" ht="24.75" customHeight="1" x14ac:dyDescent="0.35">
      <c r="A210" s="354"/>
      <c r="B210" s="355"/>
      <c r="C210" s="40"/>
      <c r="D210" s="1433"/>
      <c r="E210" s="793"/>
      <c r="F210" s="1220"/>
      <c r="G210" s="1259"/>
      <c r="H210" s="1257"/>
      <c r="I210" s="1256"/>
      <c r="J210" s="1603"/>
      <c r="K210" s="1686"/>
      <c r="L210" s="1688"/>
      <c r="M210" s="1690"/>
      <c r="O210" s="1167" t="s">
        <v>311</v>
      </c>
      <c r="P210" s="1168">
        <f>G211+G216</f>
        <v>343.4</v>
      </c>
      <c r="Q210" s="1168"/>
      <c r="R210" s="1168"/>
    </row>
    <row r="211" spans="1:20" s="371" customFormat="1" ht="18" customHeight="1" x14ac:dyDescent="0.25">
      <c r="A211" s="354"/>
      <c r="B211" s="355"/>
      <c r="C211" s="362"/>
      <c r="D211" s="1454" t="s">
        <v>168</v>
      </c>
      <c r="E211" s="790" t="s">
        <v>52</v>
      </c>
      <c r="F211" s="1220" t="s">
        <v>221</v>
      </c>
      <c r="G211" s="1225">
        <v>343.4</v>
      </c>
      <c r="H211" s="1253"/>
      <c r="I211" s="974"/>
      <c r="J211" s="1000" t="s">
        <v>117</v>
      </c>
      <c r="K211" s="54">
        <v>90</v>
      </c>
      <c r="L211" s="731">
        <v>100</v>
      </c>
      <c r="M211" s="460"/>
      <c r="O211" s="1266" t="s">
        <v>109</v>
      </c>
      <c r="P211" s="1267">
        <f>G209+G214</f>
        <v>49</v>
      </c>
      <c r="Q211" s="1267"/>
      <c r="R211" s="1267"/>
    </row>
    <row r="212" spans="1:20" s="371" customFormat="1" ht="49.5" customHeight="1" x14ac:dyDescent="0.25">
      <c r="A212" s="505"/>
      <c r="B212" s="5"/>
      <c r="C212" s="508"/>
      <c r="D212" s="1486"/>
      <c r="E212" s="1063" t="s">
        <v>265</v>
      </c>
      <c r="F212" s="1220" t="s">
        <v>224</v>
      </c>
      <c r="G212" s="1225">
        <v>0.3</v>
      </c>
      <c r="H212" s="1253"/>
      <c r="I212" s="974"/>
      <c r="J212" s="1000" t="s">
        <v>193</v>
      </c>
      <c r="K212" s="54"/>
      <c r="L212" s="731">
        <v>100</v>
      </c>
      <c r="M212" s="460"/>
      <c r="O212" s="1266" t="s">
        <v>310</v>
      </c>
      <c r="P212" s="1267">
        <f>SUM(P209:P211)</f>
        <v>509.4</v>
      </c>
      <c r="Q212" s="1267"/>
      <c r="R212" s="1267"/>
    </row>
    <row r="213" spans="1:20" s="371" customFormat="1" ht="4.5" customHeight="1" x14ac:dyDescent="0.25">
      <c r="A213" s="1399"/>
      <c r="B213" s="5"/>
      <c r="C213" s="1400"/>
      <c r="D213" s="1397"/>
      <c r="E213" s="1403"/>
      <c r="F213" s="1220" t="s">
        <v>137</v>
      </c>
      <c r="G213" s="1225"/>
      <c r="H213" s="1221">
        <v>32.9</v>
      </c>
      <c r="I213" s="974"/>
      <c r="J213" s="1398"/>
      <c r="K213" s="1402"/>
      <c r="L213" s="1401"/>
      <c r="M213" s="461"/>
      <c r="O213" s="1266"/>
      <c r="P213" s="1267"/>
      <c r="Q213" s="1267"/>
      <c r="R213" s="1267"/>
    </row>
    <row r="214" spans="1:20" s="16" customFormat="1" ht="18" customHeight="1" x14ac:dyDescent="0.35">
      <c r="A214" s="63"/>
      <c r="B214" s="32"/>
      <c r="C214" s="33"/>
      <c r="D214" s="1598" t="s">
        <v>203</v>
      </c>
      <c r="E214" s="733" t="s">
        <v>52</v>
      </c>
      <c r="F214" s="1220" t="s">
        <v>223</v>
      </c>
      <c r="G214" s="1225">
        <v>29.4</v>
      </c>
      <c r="H214" s="1221"/>
      <c r="I214" s="776"/>
      <c r="J214" s="901" t="s">
        <v>117</v>
      </c>
      <c r="K214" s="136">
        <v>10</v>
      </c>
      <c r="L214" s="241">
        <v>100</v>
      </c>
      <c r="M214" s="800"/>
      <c r="O214" s="1268"/>
      <c r="P214" s="1269">
        <f>P212+G212</f>
        <v>509.7</v>
      </c>
      <c r="Q214" s="1269">
        <f>Q209+H218</f>
        <v>1126.8</v>
      </c>
      <c r="R214" s="1269">
        <f>R209+I218</f>
        <v>2243.1999999999998</v>
      </c>
    </row>
    <row r="215" spans="1:20" s="16" customFormat="1" ht="16.5" customHeight="1" x14ac:dyDescent="0.35">
      <c r="A215" s="63"/>
      <c r="B215" s="32"/>
      <c r="C215" s="33"/>
      <c r="D215" s="1599"/>
      <c r="E215" s="703" t="s">
        <v>265</v>
      </c>
      <c r="F215" s="1220" t="s">
        <v>137</v>
      </c>
      <c r="G215" s="1225"/>
      <c r="H215" s="1221">
        <v>84.8</v>
      </c>
      <c r="I215" s="776"/>
      <c r="J215" s="1434" t="s">
        <v>201</v>
      </c>
      <c r="K215" s="698"/>
      <c r="L215" s="242">
        <v>100</v>
      </c>
      <c r="M215" s="802"/>
      <c r="P215" s="1237"/>
      <c r="Q215" s="1237"/>
      <c r="R215" s="1237"/>
    </row>
    <row r="216" spans="1:20" s="16" customFormat="1" ht="18.75" customHeight="1" x14ac:dyDescent="0.35">
      <c r="A216" s="63"/>
      <c r="B216" s="32"/>
      <c r="C216" s="33"/>
      <c r="D216" s="1662"/>
      <c r="E216" s="732"/>
      <c r="F216" s="1220" t="s">
        <v>221</v>
      </c>
      <c r="G216" s="1225"/>
      <c r="H216" s="1221">
        <v>76.2</v>
      </c>
      <c r="I216" s="776"/>
      <c r="J216" s="1435"/>
      <c r="K216" s="698"/>
      <c r="L216" s="242"/>
      <c r="M216" s="802"/>
      <c r="P216" s="1237"/>
      <c r="Q216" s="1237"/>
      <c r="R216" s="1237"/>
    </row>
    <row r="217" spans="1:20" s="2" customFormat="1" ht="27" customHeight="1" x14ac:dyDescent="0.35">
      <c r="A217" s="505"/>
      <c r="B217" s="506"/>
      <c r="C217" s="68"/>
      <c r="D217" s="1598" t="s">
        <v>299</v>
      </c>
      <c r="E217" s="806" t="s">
        <v>167</v>
      </c>
      <c r="F217" s="1220" t="s">
        <v>137</v>
      </c>
      <c r="G217" s="1254">
        <v>117</v>
      </c>
      <c r="H217" s="1255">
        <f>165+21.8</f>
        <v>186.8</v>
      </c>
      <c r="I217" s="1263">
        <f>335.2-21.8</f>
        <v>313.39999999999998</v>
      </c>
      <c r="J217" s="1132" t="s">
        <v>266</v>
      </c>
      <c r="K217" s="264"/>
      <c r="L217" s="561">
        <v>1</v>
      </c>
      <c r="M217" s="812"/>
    </row>
    <row r="218" spans="1:20" s="2" customFormat="1" ht="15" customHeight="1" x14ac:dyDescent="0.35">
      <c r="A218" s="505"/>
      <c r="B218" s="506"/>
      <c r="C218" s="68"/>
      <c r="D218" s="1599"/>
      <c r="E218" s="813" t="s">
        <v>52</v>
      </c>
      <c r="F218" s="1220" t="s">
        <v>219</v>
      </c>
      <c r="G218" s="1264"/>
      <c r="H218" s="1255">
        <v>935</v>
      </c>
      <c r="I218" s="1224">
        <v>1899.8</v>
      </c>
      <c r="J218" s="1132" t="s">
        <v>117</v>
      </c>
      <c r="K218" s="264"/>
      <c r="L218" s="561">
        <v>30</v>
      </c>
      <c r="M218" s="812">
        <v>100</v>
      </c>
    </row>
    <row r="219" spans="1:20" s="2" customFormat="1" ht="40.5" customHeight="1" x14ac:dyDescent="0.35">
      <c r="A219" s="505"/>
      <c r="B219" s="506"/>
      <c r="C219" s="68"/>
      <c r="D219" s="1662"/>
      <c r="E219" s="815" t="s">
        <v>265</v>
      </c>
      <c r="F219" s="1220"/>
      <c r="G219" s="1260"/>
      <c r="H219" s="1257"/>
      <c r="I219" s="1224"/>
      <c r="J219" s="901" t="s">
        <v>210</v>
      </c>
      <c r="K219" s="264"/>
      <c r="L219" s="814"/>
      <c r="M219" s="812">
        <v>80</v>
      </c>
    </row>
    <row r="220" spans="1:20" s="2" customFormat="1" ht="48.65" customHeight="1" x14ac:dyDescent="0.35">
      <c r="A220" s="505"/>
      <c r="B220" s="506"/>
      <c r="C220" s="68"/>
      <c r="D220" s="1542" t="s">
        <v>194</v>
      </c>
      <c r="E220" s="817" t="s">
        <v>292</v>
      </c>
      <c r="F220" s="1223" t="s">
        <v>137</v>
      </c>
      <c r="G220" s="1258"/>
      <c r="H220" s="1261">
        <v>5</v>
      </c>
      <c r="I220" s="1262">
        <v>30</v>
      </c>
      <c r="J220" s="1434" t="s">
        <v>266</v>
      </c>
      <c r="K220" s="264"/>
      <c r="L220" s="1438"/>
      <c r="M220" s="812">
        <v>1</v>
      </c>
    </row>
    <row r="221" spans="1:20" s="1" customFormat="1" ht="16.5" customHeight="1" thickBot="1" x14ac:dyDescent="0.4">
      <c r="A221" s="359"/>
      <c r="B221" s="357"/>
      <c r="C221" s="41"/>
      <c r="D221" s="1597"/>
      <c r="E221" s="1317"/>
      <c r="F221" s="1313" t="s">
        <v>20</v>
      </c>
      <c r="G221" s="683">
        <f>SUM(G204:G208)</f>
        <v>585.9</v>
      </c>
      <c r="H221" s="214">
        <f>SUM(H204:H208)</f>
        <v>1244.5</v>
      </c>
      <c r="I221" s="1265">
        <f>SUM(I204:I208)</f>
        <v>2243.1999999999998</v>
      </c>
      <c r="J221" s="1664"/>
      <c r="K221" s="863"/>
      <c r="L221" s="1665"/>
      <c r="M221" s="864"/>
    </row>
    <row r="222" spans="1:20" s="1" customFormat="1" ht="16.5" customHeight="1" thickBot="1" x14ac:dyDescent="0.4">
      <c r="A222" s="57" t="s">
        <v>10</v>
      </c>
      <c r="B222" s="22" t="s">
        <v>31</v>
      </c>
      <c r="C222" s="1591" t="s">
        <v>35</v>
      </c>
      <c r="D222" s="1592"/>
      <c r="E222" s="1592"/>
      <c r="F222" s="1592"/>
      <c r="G222" s="194">
        <f t="shared" ref="G222:I222" si="7">G221</f>
        <v>585.9</v>
      </c>
      <c r="H222" s="204">
        <f t="shared" si="7"/>
        <v>1244.5</v>
      </c>
      <c r="I222" s="191">
        <f t="shared" si="7"/>
        <v>2243.1999999999998</v>
      </c>
      <c r="J222" s="1600"/>
      <c r="K222" s="1601"/>
      <c r="L222" s="1601"/>
      <c r="M222" s="1602"/>
    </row>
    <row r="223" spans="1:20" s="371" customFormat="1" ht="16.5" customHeight="1" thickBot="1" x14ac:dyDescent="0.3">
      <c r="A223" s="57" t="s">
        <v>10</v>
      </c>
      <c r="B223" s="22" t="s">
        <v>33</v>
      </c>
      <c r="C223" s="1666" t="s">
        <v>53</v>
      </c>
      <c r="D223" s="1570"/>
      <c r="E223" s="1570"/>
      <c r="F223" s="1570"/>
      <c r="G223" s="1570"/>
      <c r="H223" s="1570"/>
      <c r="I223" s="1570"/>
      <c r="J223" s="1570"/>
      <c r="K223" s="1570"/>
      <c r="L223" s="1570"/>
      <c r="M223" s="1572"/>
    </row>
    <row r="224" spans="1:20" s="371" customFormat="1" ht="13.5" customHeight="1" x14ac:dyDescent="0.25">
      <c r="A224" s="358" t="s">
        <v>10</v>
      </c>
      <c r="B224" s="360" t="s">
        <v>33</v>
      </c>
      <c r="C224" s="361" t="s">
        <v>10</v>
      </c>
      <c r="D224" s="399" t="s">
        <v>54</v>
      </c>
      <c r="E224" s="1125"/>
      <c r="F224" s="333" t="s">
        <v>16</v>
      </c>
      <c r="G224" s="1198"/>
      <c r="H224" s="1199"/>
      <c r="I224" s="1246">
        <v>129.9</v>
      </c>
      <c r="J224" s="1126"/>
      <c r="K224" s="524"/>
      <c r="L224" s="224"/>
      <c r="M224" s="466"/>
      <c r="O224" s="1270" t="s">
        <v>141</v>
      </c>
      <c r="P224" s="1267">
        <f>G228+G231</f>
        <v>450</v>
      </c>
      <c r="Q224" s="1267">
        <f>H228+H231</f>
        <v>300</v>
      </c>
      <c r="R224" s="1267">
        <f>I228</f>
        <v>250</v>
      </c>
      <c r="T224" s="372"/>
    </row>
    <row r="225" spans="1:20" s="371" customFormat="1" ht="15" customHeight="1" x14ac:dyDescent="0.25">
      <c r="A225" s="1305"/>
      <c r="B225" s="1304"/>
      <c r="C225" s="1306"/>
      <c r="D225" s="1318"/>
      <c r="E225" s="1319"/>
      <c r="F225" s="531" t="s">
        <v>141</v>
      </c>
      <c r="G225" s="653">
        <v>450</v>
      </c>
      <c r="H225" s="232">
        <v>300</v>
      </c>
      <c r="I225" s="1249">
        <v>250</v>
      </c>
      <c r="J225" s="1241"/>
      <c r="K225" s="523"/>
      <c r="L225" s="331"/>
      <c r="M225" s="467"/>
      <c r="O225" s="1270" t="s">
        <v>145</v>
      </c>
      <c r="P225" s="1267">
        <f>G229+G232</f>
        <v>141.4</v>
      </c>
      <c r="Q225" s="1267">
        <f>H232</f>
        <v>342.2</v>
      </c>
      <c r="R225" s="1267">
        <f>I232</f>
        <v>500</v>
      </c>
      <c r="T225" s="372"/>
    </row>
    <row r="226" spans="1:20" s="371" customFormat="1" ht="15" customHeight="1" x14ac:dyDescent="0.25">
      <c r="A226" s="1305"/>
      <c r="B226" s="1304"/>
      <c r="C226" s="1306"/>
      <c r="D226" s="1318"/>
      <c r="E226" s="1319"/>
      <c r="F226" s="531" t="s">
        <v>145</v>
      </c>
      <c r="G226" s="653">
        <v>141.4</v>
      </c>
      <c r="H226" s="232">
        <v>342.2</v>
      </c>
      <c r="I226" s="1249">
        <v>500</v>
      </c>
      <c r="J226" s="1241"/>
      <c r="K226" s="523"/>
      <c r="L226" s="331"/>
      <c r="M226" s="467"/>
      <c r="P226" s="880"/>
      <c r="Q226" s="880"/>
      <c r="R226" s="880"/>
      <c r="T226" s="372"/>
    </row>
    <row r="227" spans="1:20" s="371" customFormat="1" ht="18" customHeight="1" x14ac:dyDescent="0.25">
      <c r="A227" s="1305"/>
      <c r="B227" s="1304"/>
      <c r="C227" s="1306"/>
      <c r="D227" s="1318"/>
      <c r="E227" s="1319"/>
      <c r="F227" s="1311" t="s">
        <v>50</v>
      </c>
      <c r="G227" s="1322"/>
      <c r="H227" s="650">
        <v>805.2</v>
      </c>
      <c r="I227" s="1323">
        <v>2152.3000000000002</v>
      </c>
      <c r="J227" s="1241"/>
      <c r="K227" s="523"/>
      <c r="L227" s="331"/>
      <c r="M227" s="467"/>
      <c r="P227" s="880"/>
      <c r="Q227" s="880"/>
      <c r="R227" s="880"/>
      <c r="T227" s="372"/>
    </row>
    <row r="228" spans="1:20" s="371" customFormat="1" ht="26.25" customHeight="1" x14ac:dyDescent="0.25">
      <c r="A228" s="354"/>
      <c r="B228" s="355"/>
      <c r="C228" s="362"/>
      <c r="D228" s="1464" t="s">
        <v>231</v>
      </c>
      <c r="E228" s="130" t="s">
        <v>265</v>
      </c>
      <c r="F228" s="1220" t="s">
        <v>225</v>
      </c>
      <c r="G228" s="1321">
        <v>86.5</v>
      </c>
      <c r="H228" s="1221">
        <v>142.19999999999999</v>
      </c>
      <c r="I228" s="1324">
        <v>250</v>
      </c>
      <c r="J228" s="1127" t="s">
        <v>266</v>
      </c>
      <c r="K228" s="655">
        <v>1</v>
      </c>
      <c r="L228" s="225"/>
      <c r="M228" s="459"/>
      <c r="P228" s="880"/>
      <c r="Q228" s="880"/>
      <c r="R228" s="880"/>
    </row>
    <row r="229" spans="1:20" s="371" customFormat="1" ht="14.25" customHeight="1" x14ac:dyDescent="0.25">
      <c r="A229" s="970"/>
      <c r="B229" s="969"/>
      <c r="C229" s="971"/>
      <c r="D229" s="1463"/>
      <c r="E229" s="1308" t="s">
        <v>52</v>
      </c>
      <c r="F229" s="1220" t="s">
        <v>226</v>
      </c>
      <c r="G229" s="1225">
        <v>4.9000000000000004</v>
      </c>
      <c r="H229" s="1221"/>
      <c r="I229" s="1324"/>
      <c r="J229" s="1070" t="s">
        <v>117</v>
      </c>
      <c r="K229" s="664"/>
      <c r="L229" s="221">
        <v>30</v>
      </c>
      <c r="M229" s="465">
        <v>100</v>
      </c>
    </row>
    <row r="230" spans="1:20" s="371" customFormat="1" ht="16.5" customHeight="1" x14ac:dyDescent="0.25">
      <c r="A230" s="354"/>
      <c r="B230" s="355"/>
      <c r="C230" s="362"/>
      <c r="D230" s="1463"/>
      <c r="E230" s="932" t="s">
        <v>167</v>
      </c>
      <c r="F230" s="1220" t="s">
        <v>219</v>
      </c>
      <c r="G230" s="1225"/>
      <c r="H230" s="1221">
        <v>805.2</v>
      </c>
      <c r="I230" s="1324">
        <v>2152.3000000000002</v>
      </c>
      <c r="J230" s="1300"/>
      <c r="K230" s="654"/>
      <c r="L230" s="1301"/>
      <c r="M230" s="1302"/>
    </row>
    <row r="231" spans="1:20" s="371" customFormat="1" ht="12.75" customHeight="1" x14ac:dyDescent="0.25">
      <c r="A231" s="695"/>
      <c r="B231" s="696"/>
      <c r="C231" s="697"/>
      <c r="D231" s="1464" t="s">
        <v>280</v>
      </c>
      <c r="E231" s="931" t="s">
        <v>276</v>
      </c>
      <c r="F231" s="1220" t="s">
        <v>225</v>
      </c>
      <c r="G231" s="1276">
        <v>363.5</v>
      </c>
      <c r="H231" s="1328">
        <v>157.80000000000001</v>
      </c>
      <c r="I231" s="1256"/>
      <c r="J231" s="1586" t="s">
        <v>133</v>
      </c>
      <c r="K231" s="664">
        <v>10</v>
      </c>
      <c r="L231" s="221">
        <v>10</v>
      </c>
      <c r="M231" s="872">
        <v>10</v>
      </c>
    </row>
    <row r="232" spans="1:20" s="371" customFormat="1" ht="14.25" customHeight="1" x14ac:dyDescent="0.25">
      <c r="A232" s="892"/>
      <c r="B232" s="893"/>
      <c r="C232" s="894"/>
      <c r="D232" s="1463"/>
      <c r="E232" s="1309" t="s">
        <v>265</v>
      </c>
      <c r="F232" s="1223" t="s">
        <v>226</v>
      </c>
      <c r="G232" s="1327">
        <v>136.5</v>
      </c>
      <c r="H232" s="1326">
        <v>342.2</v>
      </c>
      <c r="I232" s="1325">
        <v>500</v>
      </c>
      <c r="J232" s="1586"/>
      <c r="K232" s="664"/>
      <c r="L232" s="221"/>
      <c r="M232" s="872"/>
    </row>
    <row r="233" spans="1:20" s="371" customFormat="1" ht="15" customHeight="1" thickBot="1" x14ac:dyDescent="0.3">
      <c r="A233" s="359"/>
      <c r="B233" s="357"/>
      <c r="C233" s="363"/>
      <c r="D233" s="1320"/>
      <c r="E233" s="1329"/>
      <c r="F233" s="1307" t="s">
        <v>20</v>
      </c>
      <c r="G233" s="85">
        <f>SUM(G224:G227)</f>
        <v>591.4</v>
      </c>
      <c r="H233" s="214">
        <f>SUM(H224:H227)</f>
        <v>1447.4</v>
      </c>
      <c r="I233" s="1236">
        <f>SUM(I224:I227)</f>
        <v>3032.2000000000003</v>
      </c>
      <c r="J233" s="1128"/>
      <c r="K233" s="668"/>
      <c r="L233" s="669"/>
      <c r="M233" s="474"/>
    </row>
    <row r="234" spans="1:20" s="371" customFormat="1" ht="18" customHeight="1" x14ac:dyDescent="0.25">
      <c r="A234" s="354" t="s">
        <v>10</v>
      </c>
      <c r="B234" s="355" t="s">
        <v>33</v>
      </c>
      <c r="C234" s="40" t="s">
        <v>28</v>
      </c>
      <c r="D234" s="1663" t="s">
        <v>56</v>
      </c>
      <c r="E234" s="886" t="s">
        <v>264</v>
      </c>
      <c r="F234" s="555" t="s">
        <v>38</v>
      </c>
      <c r="G234" s="338">
        <v>1917</v>
      </c>
      <c r="H234" s="216">
        <v>1917</v>
      </c>
      <c r="I234" s="429">
        <v>1917</v>
      </c>
      <c r="J234" s="353"/>
      <c r="K234" s="12"/>
      <c r="L234" s="239"/>
      <c r="M234" s="467"/>
      <c r="N234" s="880"/>
    </row>
    <row r="235" spans="1:20" s="371" customFormat="1" ht="18" customHeight="1" x14ac:dyDescent="0.25">
      <c r="A235" s="354"/>
      <c r="B235" s="355"/>
      <c r="C235" s="40"/>
      <c r="D235" s="1663"/>
      <c r="E235" s="891"/>
      <c r="F235" s="314" t="s">
        <v>79</v>
      </c>
      <c r="G235" s="719">
        <v>231.5</v>
      </c>
      <c r="H235" s="706"/>
      <c r="I235" s="410"/>
      <c r="J235" s="353"/>
      <c r="K235" s="12"/>
      <c r="L235" s="239"/>
      <c r="M235" s="467"/>
    </row>
    <row r="236" spans="1:20" s="371" customFormat="1" ht="18" customHeight="1" x14ac:dyDescent="0.25">
      <c r="A236" s="354"/>
      <c r="B236" s="355"/>
      <c r="C236" s="40"/>
      <c r="D236" s="1663"/>
      <c r="E236" s="891"/>
      <c r="F236" s="312" t="s">
        <v>30</v>
      </c>
      <c r="G236" s="777">
        <v>10</v>
      </c>
      <c r="H236" s="216">
        <v>10</v>
      </c>
      <c r="I236" s="430">
        <v>10</v>
      </c>
      <c r="J236" s="353"/>
      <c r="K236" s="12"/>
      <c r="L236" s="239"/>
      <c r="M236" s="467"/>
      <c r="O236" s="372"/>
    </row>
    <row r="237" spans="1:20" s="371" customFormat="1" ht="21" customHeight="1" x14ac:dyDescent="0.25">
      <c r="A237" s="354"/>
      <c r="B237" s="355"/>
      <c r="C237" s="40"/>
      <c r="D237" s="1595" t="s">
        <v>57</v>
      </c>
      <c r="E237" s="887" t="s">
        <v>265</v>
      </c>
      <c r="F237" s="1271" t="s">
        <v>215</v>
      </c>
      <c r="G237" s="1276">
        <v>955.4</v>
      </c>
      <c r="H237" s="1273">
        <v>955.4</v>
      </c>
      <c r="I237" s="1274">
        <v>955.4</v>
      </c>
      <c r="J237" s="1129" t="s">
        <v>139</v>
      </c>
      <c r="K237" s="665">
        <v>30</v>
      </c>
      <c r="L237" s="259">
        <v>30</v>
      </c>
      <c r="M237" s="456">
        <v>30</v>
      </c>
      <c r="O237" s="1270" t="s">
        <v>38</v>
      </c>
      <c r="P237" s="1267">
        <f>G237+G239+G241+G243+G246</f>
        <v>1917</v>
      </c>
      <c r="Q237" s="1267">
        <f>H237+H239+H241+H243+H246</f>
        <v>1917</v>
      </c>
      <c r="R237" s="1267">
        <f>I237+I239+I241+I243+I246</f>
        <v>1917</v>
      </c>
    </row>
    <row r="238" spans="1:20" s="371" customFormat="1" ht="21" customHeight="1" x14ac:dyDescent="0.25">
      <c r="A238" s="354"/>
      <c r="B238" s="355"/>
      <c r="C238" s="40"/>
      <c r="D238" s="1596"/>
      <c r="E238" s="401"/>
      <c r="F238" s="1271"/>
      <c r="G238" s="1272"/>
      <c r="H238" s="1273"/>
      <c r="I238" s="1274"/>
      <c r="J238" s="1130"/>
      <c r="K238" s="666"/>
      <c r="L238" s="240"/>
      <c r="M238" s="475"/>
      <c r="P238" s="880"/>
      <c r="Q238" s="880"/>
      <c r="R238" s="880"/>
    </row>
    <row r="239" spans="1:20" s="371" customFormat="1" ht="33.75" customHeight="1" x14ac:dyDescent="0.25">
      <c r="A239" s="354"/>
      <c r="B239" s="355"/>
      <c r="C239" s="40"/>
      <c r="D239" s="1595" t="s">
        <v>58</v>
      </c>
      <c r="E239" s="402"/>
      <c r="F239" s="1271" t="s">
        <v>215</v>
      </c>
      <c r="G239" s="1276">
        <v>281</v>
      </c>
      <c r="H239" s="1273">
        <v>281</v>
      </c>
      <c r="I239" s="1274">
        <v>281</v>
      </c>
      <c r="J239" s="1593" t="s">
        <v>306</v>
      </c>
      <c r="K239" s="665">
        <v>260</v>
      </c>
      <c r="L239" s="259">
        <v>270</v>
      </c>
      <c r="M239" s="456">
        <v>280</v>
      </c>
    </row>
    <row r="240" spans="1:20" s="371" customFormat="1" ht="33.75" customHeight="1" x14ac:dyDescent="0.25">
      <c r="A240" s="354"/>
      <c r="B240" s="355"/>
      <c r="C240" s="40"/>
      <c r="D240" s="1596"/>
      <c r="E240" s="402"/>
      <c r="F240" s="1271"/>
      <c r="G240" s="1272"/>
      <c r="H240" s="1273"/>
      <c r="I240" s="1274"/>
      <c r="J240" s="1594"/>
      <c r="K240" s="666"/>
      <c r="L240" s="240"/>
      <c r="M240" s="475"/>
    </row>
    <row r="241" spans="1:13" s="371" customFormat="1" ht="28.5" customHeight="1" x14ac:dyDescent="0.25">
      <c r="A241" s="354"/>
      <c r="B241" s="355"/>
      <c r="C241" s="40"/>
      <c r="D241" s="1595" t="s">
        <v>59</v>
      </c>
      <c r="E241" s="402"/>
      <c r="F241" s="1271" t="s">
        <v>215</v>
      </c>
      <c r="G241" s="1276">
        <v>48.1</v>
      </c>
      <c r="H241" s="1273">
        <v>48.1</v>
      </c>
      <c r="I241" s="1274">
        <v>48.1</v>
      </c>
      <c r="J241" s="1593" t="s">
        <v>90</v>
      </c>
      <c r="K241" s="665">
        <v>35</v>
      </c>
      <c r="L241" s="259">
        <v>35</v>
      </c>
      <c r="M241" s="456">
        <v>35</v>
      </c>
    </row>
    <row r="242" spans="1:13" s="371" customFormat="1" ht="26.25" customHeight="1" x14ac:dyDescent="0.25">
      <c r="A242" s="354"/>
      <c r="B242" s="355"/>
      <c r="C242" s="40"/>
      <c r="D242" s="1596"/>
      <c r="E242" s="402"/>
      <c r="F242" s="1271"/>
      <c r="G242" s="1272"/>
      <c r="H242" s="1273"/>
      <c r="I242" s="1274"/>
      <c r="J242" s="1661"/>
      <c r="K242" s="666"/>
      <c r="L242" s="240"/>
      <c r="M242" s="475"/>
    </row>
    <row r="243" spans="1:13" s="371" customFormat="1" ht="15" customHeight="1" x14ac:dyDescent="0.25">
      <c r="A243" s="354"/>
      <c r="B243" s="355"/>
      <c r="C243" s="40"/>
      <c r="D243" s="1595" t="s">
        <v>60</v>
      </c>
      <c r="E243" s="402"/>
      <c r="F243" s="1271" t="s">
        <v>215</v>
      </c>
      <c r="G243" s="1276">
        <v>359.4</v>
      </c>
      <c r="H243" s="1273">
        <v>359.4</v>
      </c>
      <c r="I243" s="1274">
        <v>359.4</v>
      </c>
      <c r="J243" s="1593" t="s">
        <v>61</v>
      </c>
      <c r="K243" s="665">
        <v>95</v>
      </c>
      <c r="L243" s="259">
        <v>95</v>
      </c>
      <c r="M243" s="456">
        <v>95</v>
      </c>
    </row>
    <row r="244" spans="1:13" s="371" customFormat="1" ht="24.75" customHeight="1" x14ac:dyDescent="0.25">
      <c r="A244" s="354"/>
      <c r="B244" s="355"/>
      <c r="C244" s="40"/>
      <c r="D244" s="1596"/>
      <c r="E244" s="402"/>
      <c r="F244" s="1271"/>
      <c r="G244" s="1272"/>
      <c r="H244" s="1273"/>
      <c r="I244" s="1274"/>
      <c r="J244" s="1661"/>
      <c r="K244" s="666"/>
      <c r="L244" s="240"/>
      <c r="M244" s="475"/>
    </row>
    <row r="245" spans="1:13" s="371" customFormat="1" ht="40.5" customHeight="1" x14ac:dyDescent="0.25">
      <c r="A245" s="354"/>
      <c r="B245" s="355"/>
      <c r="C245" s="40"/>
      <c r="D245" s="148" t="s">
        <v>62</v>
      </c>
      <c r="E245" s="402"/>
      <c r="F245" s="1271" t="s">
        <v>218</v>
      </c>
      <c r="G245" s="1276">
        <v>10</v>
      </c>
      <c r="H245" s="1273">
        <v>10</v>
      </c>
      <c r="I245" s="1274">
        <v>10</v>
      </c>
      <c r="J245" s="857" t="s">
        <v>130</v>
      </c>
      <c r="K245" s="520">
        <v>12</v>
      </c>
      <c r="L245" s="223">
        <v>12</v>
      </c>
      <c r="M245" s="437">
        <v>12</v>
      </c>
    </row>
    <row r="246" spans="1:13" s="371" customFormat="1" ht="22.5" customHeight="1" x14ac:dyDescent="0.25">
      <c r="A246" s="354"/>
      <c r="B246" s="355"/>
      <c r="C246" s="40"/>
      <c r="D246" s="1655" t="s">
        <v>63</v>
      </c>
      <c r="E246" s="402"/>
      <c r="F246" s="1271" t="s">
        <v>215</v>
      </c>
      <c r="G246" s="1276">
        <v>273.10000000000002</v>
      </c>
      <c r="H246" s="1273">
        <v>273.10000000000002</v>
      </c>
      <c r="I246" s="1274">
        <v>273.10000000000002</v>
      </c>
      <c r="J246" s="1594" t="s">
        <v>64</v>
      </c>
      <c r="K246" s="666">
        <v>100</v>
      </c>
      <c r="L246" s="240">
        <v>100</v>
      </c>
      <c r="M246" s="475">
        <v>100</v>
      </c>
    </row>
    <row r="247" spans="1:13" s="371" customFormat="1" ht="26.5" customHeight="1" x14ac:dyDescent="0.25">
      <c r="A247" s="59"/>
      <c r="B247" s="355"/>
      <c r="C247" s="40"/>
      <c r="D247" s="1655"/>
      <c r="E247" s="402"/>
      <c r="F247" s="1271"/>
      <c r="G247" s="1275"/>
      <c r="H247" s="1273"/>
      <c r="I247" s="1274"/>
      <c r="J247" s="1594"/>
      <c r="K247" s="666"/>
      <c r="L247" s="240"/>
      <c r="M247" s="475"/>
    </row>
    <row r="248" spans="1:13" s="371" customFormat="1" ht="13.5" customHeight="1" thickBot="1" x14ac:dyDescent="0.3">
      <c r="A248" s="60" t="s">
        <v>95</v>
      </c>
      <c r="B248" s="357"/>
      <c r="C248" s="41"/>
      <c r="D248" s="1656"/>
      <c r="E248" s="403"/>
      <c r="F248" s="341" t="s">
        <v>20</v>
      </c>
      <c r="G248" s="301">
        <f>SUM(G234:G236)</f>
        <v>2158.5</v>
      </c>
      <c r="H248" s="187">
        <f>SUM(H234:H236)</f>
        <v>1927</v>
      </c>
      <c r="I248" s="301">
        <f>SUM(I234:I236)</f>
        <v>1927</v>
      </c>
      <c r="J248" s="1657"/>
      <c r="K248" s="667"/>
      <c r="L248" s="260"/>
      <c r="M248" s="476"/>
    </row>
    <row r="249" spans="1:13" s="371" customFormat="1" ht="52.5" customHeight="1" x14ac:dyDescent="0.25">
      <c r="A249" s="358" t="s">
        <v>10</v>
      </c>
      <c r="B249" s="360" t="s">
        <v>33</v>
      </c>
      <c r="C249" s="361" t="s">
        <v>31</v>
      </c>
      <c r="D249" s="399" t="s">
        <v>65</v>
      </c>
      <c r="E249" s="400"/>
      <c r="F249" s="342"/>
      <c r="G249" s="830"/>
      <c r="H249" s="215"/>
      <c r="I249" s="429"/>
      <c r="J249" s="1126"/>
      <c r="K249" s="524"/>
      <c r="L249" s="224"/>
      <c r="M249" s="466"/>
    </row>
    <row r="250" spans="1:13" s="371" customFormat="1" ht="33" customHeight="1" x14ac:dyDescent="0.25">
      <c r="A250" s="354"/>
      <c r="B250" s="355"/>
      <c r="C250" s="362"/>
      <c r="D250" s="1598" t="s">
        <v>108</v>
      </c>
      <c r="E250" s="870" t="s">
        <v>264</v>
      </c>
      <c r="F250" s="340" t="s">
        <v>30</v>
      </c>
      <c r="G250" s="337">
        <v>50</v>
      </c>
      <c r="H250" s="201"/>
      <c r="I250" s="405"/>
      <c r="J250" s="1000" t="s">
        <v>133</v>
      </c>
      <c r="K250" s="54">
        <v>1</v>
      </c>
      <c r="L250" s="873"/>
      <c r="M250" s="874"/>
    </row>
    <row r="251" spans="1:13" s="371" customFormat="1" ht="15" customHeight="1" thickBot="1" x14ac:dyDescent="0.3">
      <c r="A251" s="354"/>
      <c r="B251" s="355"/>
      <c r="C251" s="362"/>
      <c r="D251" s="1599"/>
      <c r="E251" s="403"/>
      <c r="F251" s="343" t="s">
        <v>20</v>
      </c>
      <c r="G251" s="895">
        <f>SUM(G250:G250)</f>
        <v>50</v>
      </c>
      <c r="H251" s="184">
        <f t="shared" ref="H251:I251" si="8">SUM(H250:H250)</f>
        <v>0</v>
      </c>
      <c r="I251" s="177">
        <f t="shared" si="8"/>
        <v>0</v>
      </c>
      <c r="J251" s="1128"/>
      <c r="K251" s="523"/>
      <c r="L251" s="669"/>
      <c r="M251" s="474"/>
    </row>
    <row r="252" spans="1:13" s="1" customFormat="1" ht="16.5" customHeight="1" thickBot="1" x14ac:dyDescent="0.4">
      <c r="A252" s="57" t="s">
        <v>10</v>
      </c>
      <c r="B252" s="3" t="s">
        <v>33</v>
      </c>
      <c r="C252" s="1592" t="s">
        <v>35</v>
      </c>
      <c r="D252" s="1592"/>
      <c r="E252" s="1592"/>
      <c r="F252" s="1592"/>
      <c r="G252" s="211">
        <f t="shared" ref="G252:I252" si="9">+G251+G248+G233</f>
        <v>2799.9</v>
      </c>
      <c r="H252" s="217">
        <f t="shared" si="9"/>
        <v>3374.4</v>
      </c>
      <c r="I252" s="685">
        <f t="shared" si="9"/>
        <v>4959.2000000000007</v>
      </c>
      <c r="J252" s="1600"/>
      <c r="K252" s="1601"/>
      <c r="L252" s="1601"/>
      <c r="M252" s="1602"/>
    </row>
    <row r="253" spans="1:13" s="371" customFormat="1" ht="16.5" customHeight="1" thickBot="1" x14ac:dyDescent="0.3">
      <c r="A253" s="359" t="s">
        <v>10</v>
      </c>
      <c r="B253" s="64"/>
      <c r="C253" s="1654" t="s">
        <v>66</v>
      </c>
      <c r="D253" s="1654"/>
      <c r="E253" s="1654"/>
      <c r="F253" s="1654"/>
      <c r="G253" s="212">
        <f>G252+G222+G202+G66</f>
        <v>79004.700000000012</v>
      </c>
      <c r="H253" s="218">
        <f>H252+H222+H202+H66</f>
        <v>71354.799999999988</v>
      </c>
      <c r="I253" s="209">
        <f>I252+I222+I202+I66</f>
        <v>73909.2</v>
      </c>
      <c r="J253" s="1658"/>
      <c r="K253" s="1659"/>
      <c r="L253" s="1659"/>
      <c r="M253" s="1660"/>
    </row>
    <row r="254" spans="1:13" s="1" customFormat="1" ht="16.5" customHeight="1" thickBot="1" x14ac:dyDescent="0.4">
      <c r="A254" s="65" t="s">
        <v>67</v>
      </c>
      <c r="B254" s="1608" t="s">
        <v>68</v>
      </c>
      <c r="C254" s="1609"/>
      <c r="D254" s="1609"/>
      <c r="E254" s="1609"/>
      <c r="F254" s="1609"/>
      <c r="G254" s="213">
        <f t="shared" ref="G254:I254" si="10">G253</f>
        <v>79004.700000000012</v>
      </c>
      <c r="H254" s="219">
        <f t="shared" si="10"/>
        <v>71354.799999999988</v>
      </c>
      <c r="I254" s="210">
        <f t="shared" si="10"/>
        <v>73909.2</v>
      </c>
      <c r="J254" s="1651"/>
      <c r="K254" s="1652"/>
      <c r="L254" s="1652"/>
      <c r="M254" s="1653"/>
    </row>
    <row r="255" spans="1:13" s="1" customFormat="1" ht="16.5" customHeight="1" x14ac:dyDescent="0.35">
      <c r="A255" s="1607" t="s">
        <v>314</v>
      </c>
      <c r="B255" s="1607"/>
      <c r="C255" s="1607"/>
      <c r="D255" s="1607"/>
      <c r="E255" s="1607"/>
      <c r="F255" s="1607"/>
      <c r="G255" s="1607"/>
      <c r="H255" s="1607"/>
      <c r="I255" s="1607"/>
      <c r="J255" s="1607"/>
      <c r="K255" s="1607"/>
      <c r="L255" s="1607"/>
      <c r="M255" s="1607"/>
    </row>
    <row r="256" spans="1:13" s="1" customFormat="1" ht="5.25" customHeight="1" x14ac:dyDescent="0.35">
      <c r="A256" s="620"/>
      <c r="B256" s="620"/>
      <c r="C256" s="620"/>
      <c r="D256" s="620"/>
      <c r="E256" s="620"/>
      <c r="F256" s="620"/>
      <c r="G256" s="620"/>
      <c r="H256" s="620"/>
      <c r="I256" s="620"/>
      <c r="J256" s="620"/>
      <c r="K256" s="620"/>
      <c r="L256" s="620"/>
      <c r="M256" s="620"/>
    </row>
    <row r="257" spans="1:18" s="372" customFormat="1" ht="15.75" customHeight="1" thickBot="1" x14ac:dyDescent="0.35">
      <c r="A257" s="1606" t="s">
        <v>69</v>
      </c>
      <c r="B257" s="1606"/>
      <c r="C257" s="1606"/>
      <c r="D257" s="1606"/>
      <c r="E257" s="1606"/>
      <c r="F257" s="1606"/>
      <c r="G257" s="1606"/>
      <c r="H257" s="1606"/>
      <c r="I257" s="1606"/>
      <c r="J257" s="23"/>
      <c r="K257" s="23"/>
      <c r="L257" s="23"/>
      <c r="M257" s="34"/>
    </row>
    <row r="258" spans="1:18" s="15" customFormat="1" ht="93.75" customHeight="1" thickBot="1" x14ac:dyDescent="0.4">
      <c r="A258" s="1621" t="s">
        <v>70</v>
      </c>
      <c r="B258" s="1622"/>
      <c r="C258" s="1622"/>
      <c r="D258" s="1622"/>
      <c r="E258" s="1622"/>
      <c r="F258" s="1623"/>
      <c r="G258" s="1298" t="s">
        <v>252</v>
      </c>
      <c r="H258" s="624" t="s">
        <v>301</v>
      </c>
      <c r="I258" s="1299" t="s">
        <v>253</v>
      </c>
      <c r="J258" s="147"/>
      <c r="K258" s="147"/>
      <c r="L258" s="147"/>
      <c r="M258" s="147"/>
    </row>
    <row r="259" spans="1:18" s="1" customFormat="1" ht="15.75" customHeight="1" x14ac:dyDescent="0.35">
      <c r="A259" s="1624" t="s">
        <v>315</v>
      </c>
      <c r="B259" s="1625"/>
      <c r="C259" s="1625"/>
      <c r="D259" s="1625"/>
      <c r="E259" s="1625"/>
      <c r="F259" s="1626"/>
      <c r="G259" s="269">
        <f t="shared" ref="G259:I259" si="11">+G260+G268+G269+G270+G271+G272</f>
        <v>36263.599999999991</v>
      </c>
      <c r="H259" s="285">
        <f t="shared" si="11"/>
        <v>28676.500000000004</v>
      </c>
      <c r="I259" s="277">
        <f t="shared" si="11"/>
        <v>28919</v>
      </c>
      <c r="J259" s="143"/>
      <c r="K259" s="143"/>
      <c r="L259" s="143"/>
      <c r="M259" s="143"/>
    </row>
    <row r="260" spans="1:18" s="1" customFormat="1" ht="15.75" customHeight="1" x14ac:dyDescent="0.35">
      <c r="A260" s="1641" t="s">
        <v>157</v>
      </c>
      <c r="B260" s="1642"/>
      <c r="C260" s="1642"/>
      <c r="D260" s="1642"/>
      <c r="E260" s="1642"/>
      <c r="F260" s="1642"/>
      <c r="G260" s="270">
        <f t="shared" ref="G260:I260" si="12">SUM(G261:G267)</f>
        <v>35540.099999999991</v>
      </c>
      <c r="H260" s="286">
        <f t="shared" si="12"/>
        <v>28334.300000000003</v>
      </c>
      <c r="I260" s="278">
        <f t="shared" si="12"/>
        <v>28419</v>
      </c>
      <c r="J260" s="143"/>
      <c r="K260" s="143"/>
      <c r="L260" s="143"/>
      <c r="M260" s="143"/>
    </row>
    <row r="261" spans="1:18" s="1" customFormat="1" ht="15.75" customHeight="1" x14ac:dyDescent="0.35">
      <c r="A261" s="1486" t="s">
        <v>72</v>
      </c>
      <c r="B261" s="1617"/>
      <c r="C261" s="1617"/>
      <c r="D261" s="1617"/>
      <c r="E261" s="1617"/>
      <c r="F261" s="1618"/>
      <c r="G261" s="266">
        <f>SUMIF(F15:F250,"sb",G15:G250)</f>
        <v>10438.4</v>
      </c>
      <c r="H261" s="220">
        <f>SUMIF(F15:F250,"sb",H15:H250)</f>
        <v>7695.2</v>
      </c>
      <c r="I261" s="267">
        <f>SUMIF(F15:F250,"sb",I15:I250)</f>
        <v>7769.6999999999989</v>
      </c>
      <c r="J261" s="146"/>
      <c r="K261" s="146"/>
      <c r="L261" s="146"/>
      <c r="M261" s="146"/>
    </row>
    <row r="262" spans="1:18" s="1" customFormat="1" ht="28.5" customHeight="1" x14ac:dyDescent="0.35">
      <c r="A262" s="1646" t="s">
        <v>205</v>
      </c>
      <c r="B262" s="1647"/>
      <c r="C262" s="1647"/>
      <c r="D262" s="1647"/>
      <c r="E262" s="1647"/>
      <c r="F262" s="1648"/>
      <c r="G262" s="169">
        <f>SUMIF(F15:F250,"sb(S)",G15:G250)</f>
        <v>6842.2000000000007</v>
      </c>
      <c r="H262" s="195">
        <f>SUMIF(F15:F250,"sb(S)",H15:H250)</f>
        <v>7626.7999999999993</v>
      </c>
      <c r="I262" s="189">
        <f>SUMIF(F15:F250,"sb(S)",I15:I250)</f>
        <v>7680</v>
      </c>
      <c r="J262" s="146"/>
      <c r="K262" s="146"/>
      <c r="L262" s="146"/>
      <c r="M262" s="146"/>
    </row>
    <row r="263" spans="1:18" s="1" customFormat="1" ht="26.25" customHeight="1" x14ac:dyDescent="0.35">
      <c r="A263" s="1619" t="s">
        <v>142</v>
      </c>
      <c r="B263" s="1620"/>
      <c r="C263" s="1620"/>
      <c r="D263" s="1620"/>
      <c r="E263" s="1620"/>
      <c r="F263" s="1620"/>
      <c r="G263" s="253">
        <f>SUMIF(F15:F250,"sb(f)",G15:G250)</f>
        <v>450</v>
      </c>
      <c r="H263" s="254">
        <f>SUMIF(F15:F250,"sb(f)",H15:H250)</f>
        <v>300</v>
      </c>
      <c r="I263" s="252">
        <f>SUMIF(F15:F250,"sb(f)",I15:I250)</f>
        <v>250</v>
      </c>
      <c r="J263" s="146"/>
      <c r="K263" s="146"/>
      <c r="L263" s="146"/>
      <c r="M263" s="146"/>
      <c r="R263" s="2"/>
    </row>
    <row r="264" spans="1:18" s="1" customFormat="1" ht="28.5" customHeight="1" x14ac:dyDescent="0.35">
      <c r="A264" s="1619" t="s">
        <v>134</v>
      </c>
      <c r="B264" s="1620"/>
      <c r="C264" s="1620"/>
      <c r="D264" s="1620"/>
      <c r="E264" s="1620"/>
      <c r="F264" s="1620"/>
      <c r="G264" s="253">
        <f>SUMIF(F10:F250,"sb(es)",G10:G250)</f>
        <v>954.5</v>
      </c>
      <c r="H264" s="254">
        <f>SUMIF(F20:F250,"sb(es)",H20:H250)</f>
        <v>0</v>
      </c>
      <c r="I264" s="252">
        <f>SUMIF(F20:F250,"sb(es)",I20:I250)</f>
        <v>0</v>
      </c>
      <c r="J264" s="146"/>
      <c r="K264" s="146"/>
      <c r="L264" s="146"/>
      <c r="M264" s="145"/>
    </row>
    <row r="265" spans="1:18" s="1" customFormat="1" ht="29.65" customHeight="1" x14ac:dyDescent="0.35">
      <c r="A265" s="1619" t="s">
        <v>131</v>
      </c>
      <c r="B265" s="1620"/>
      <c r="C265" s="1620"/>
      <c r="D265" s="1620"/>
      <c r="E265" s="1620"/>
      <c r="F265" s="1620"/>
      <c r="G265" s="253">
        <f>SUMIF(F17:F250,"SB(esa)",G17:G250)</f>
        <v>7.3</v>
      </c>
      <c r="H265" s="254">
        <f>SUMIF(F17:F250,"SB(esa)",H17:H250)</f>
        <v>0</v>
      </c>
      <c r="I265" s="252">
        <f>SUMIF(F17:F250,"SB(esa)",I17:I250)</f>
        <v>0</v>
      </c>
      <c r="J265" s="145"/>
      <c r="K265" s="145"/>
      <c r="L265" s="145"/>
      <c r="M265" s="145"/>
    </row>
    <row r="266" spans="1:18" s="1" customFormat="1" ht="15.75" customHeight="1" x14ac:dyDescent="0.35">
      <c r="A266" s="1643" t="s">
        <v>73</v>
      </c>
      <c r="B266" s="1644"/>
      <c r="C266" s="1644"/>
      <c r="D266" s="1644"/>
      <c r="E266" s="1644"/>
      <c r="F266" s="1645"/>
      <c r="G266" s="255">
        <f>SUMIF(F15:F250,"sb(sp)",G15:G250)</f>
        <v>2721</v>
      </c>
      <c r="H266" s="256">
        <f>SUMIF(F15:F250,"sb(sp)",H15:H250)</f>
        <v>2710.9</v>
      </c>
      <c r="I266" s="257">
        <f>SUMIF(F15:F250,"sb(sp)",I15:I250)</f>
        <v>2717.9</v>
      </c>
      <c r="J266" s="146"/>
      <c r="K266" s="146"/>
      <c r="L266" s="146"/>
      <c r="M266" s="145"/>
    </row>
    <row r="267" spans="1:18" s="1" customFormat="1" ht="29.25" customHeight="1" x14ac:dyDescent="0.35">
      <c r="A267" s="1643" t="s">
        <v>74</v>
      </c>
      <c r="B267" s="1644"/>
      <c r="C267" s="1644"/>
      <c r="D267" s="1644"/>
      <c r="E267" s="1644"/>
      <c r="F267" s="1645"/>
      <c r="G267" s="253">
        <f>SUMIF(F15:F250,"sb(vb)",G15:G250)</f>
        <v>14126.699999999997</v>
      </c>
      <c r="H267" s="254">
        <f>SUMIF(F15:F250,"sb(vb)",H15:H250)</f>
        <v>10001.400000000001</v>
      </c>
      <c r="I267" s="252">
        <f>SUMIF(F15:F250,"sb(vb)",I15:I250)</f>
        <v>10001.400000000001</v>
      </c>
      <c r="J267" s="146"/>
      <c r="K267" s="146"/>
      <c r="L267" s="146"/>
      <c r="M267" s="145"/>
    </row>
    <row r="268" spans="1:18" s="1" customFormat="1" ht="15.75" customHeight="1" x14ac:dyDescent="0.35">
      <c r="A268" s="1630" t="s">
        <v>110</v>
      </c>
      <c r="B268" s="1631"/>
      <c r="C268" s="1631"/>
      <c r="D268" s="1631"/>
      <c r="E268" s="1631"/>
      <c r="F268" s="1632"/>
      <c r="G268" s="271">
        <f>SUMIF(F15:F250,"sb(l)",G15:G250)</f>
        <v>155.69999999999999</v>
      </c>
      <c r="H268" s="287">
        <f>SUMIF(F15:F250,"sb(l)",H15:H250)</f>
        <v>0</v>
      </c>
      <c r="I268" s="279">
        <f>SUMIF(F15:F250,"sb(l)",I15:I250)</f>
        <v>0</v>
      </c>
      <c r="J268" s="146"/>
      <c r="K268" s="146"/>
      <c r="L268" s="146"/>
      <c r="M268" s="146"/>
    </row>
    <row r="269" spans="1:18" s="1" customFormat="1" ht="15.75" customHeight="1" x14ac:dyDescent="0.35">
      <c r="A269" s="1633" t="s">
        <v>181</v>
      </c>
      <c r="B269" s="1634"/>
      <c r="C269" s="1634"/>
      <c r="D269" s="1634"/>
      <c r="E269" s="1634"/>
      <c r="F269" s="1634"/>
      <c r="G269" s="271">
        <f>SUMIF(F15:F250,"sb(spl)",G15:G250)</f>
        <v>335.5</v>
      </c>
      <c r="H269" s="287">
        <f>SUMIF(F15:F250,"sb(spl)",H15:H250)</f>
        <v>0</v>
      </c>
      <c r="I269" s="279">
        <f>SUMIF(F15:F250,"sb(spl)",I15:I250)</f>
        <v>0</v>
      </c>
      <c r="J269" s="146"/>
      <c r="K269" s="146"/>
      <c r="L269" s="146"/>
      <c r="M269" s="146"/>
    </row>
    <row r="270" spans="1:18" s="1" customFormat="1" ht="15.75" customHeight="1" x14ac:dyDescent="0.35">
      <c r="A270" s="1630" t="s">
        <v>155</v>
      </c>
      <c r="B270" s="1631"/>
      <c r="C270" s="1631"/>
      <c r="D270" s="1631"/>
      <c r="E270" s="1631"/>
      <c r="F270" s="1632"/>
      <c r="G270" s="271">
        <f>SUMIF(F15:F250,"sb(vbl)",G15:G250)</f>
        <v>4</v>
      </c>
      <c r="H270" s="287">
        <f>SUMIF(F15:F250,"sb(vbl)",H15:H250)</f>
        <v>0</v>
      </c>
      <c r="I270" s="279">
        <f>SUMIF(F15:F250,"sb(vbl)",I15:I250)</f>
        <v>0</v>
      </c>
      <c r="J270" s="145"/>
      <c r="K270" s="145"/>
      <c r="L270" s="145"/>
      <c r="M270" s="145"/>
    </row>
    <row r="271" spans="1:18" s="1" customFormat="1" ht="26.25" customHeight="1" x14ac:dyDescent="0.35">
      <c r="A271" s="1633" t="s">
        <v>303</v>
      </c>
      <c r="B271" s="1634"/>
      <c r="C271" s="1634"/>
      <c r="D271" s="1634"/>
      <c r="E271" s="1634"/>
      <c r="F271" s="1634"/>
      <c r="G271" s="271">
        <f>SUMIF(F15:F250,"sb(fl)",G15:G250)</f>
        <v>141.4</v>
      </c>
      <c r="H271" s="287">
        <f>SUMIF(F15:F250,"sb(fl)",H15:H250)</f>
        <v>342.2</v>
      </c>
      <c r="I271" s="279">
        <f>SUMIF(F15:F250,"sb(fl)",I15:I250)</f>
        <v>500</v>
      </c>
      <c r="J271" s="146"/>
      <c r="K271" s="146"/>
      <c r="L271" s="146"/>
      <c r="M271" s="146"/>
    </row>
    <row r="272" spans="1:18" s="1" customFormat="1" ht="30" customHeight="1" thickBot="1" x14ac:dyDescent="0.4">
      <c r="A272" s="1635" t="s">
        <v>156</v>
      </c>
      <c r="B272" s="1636"/>
      <c r="C272" s="1636"/>
      <c r="D272" s="1636"/>
      <c r="E272" s="1636"/>
      <c r="F272" s="1637"/>
      <c r="G272" s="272">
        <f>SUMIF(F15:F250,"sb(esl)",G15:G250)</f>
        <v>86.899999999999991</v>
      </c>
      <c r="H272" s="288">
        <f>SUMIF(F15:F250,"sb(esl)",H15:H250)</f>
        <v>0</v>
      </c>
      <c r="I272" s="280">
        <f>SUMIF(F15:F250,"sb(esl)",I15:I250)</f>
        <v>0</v>
      </c>
      <c r="J272" s="145"/>
      <c r="K272" s="145"/>
      <c r="L272" s="145"/>
      <c r="M272" s="145"/>
    </row>
    <row r="273" spans="1:13" s="1" customFormat="1" ht="15.75" customHeight="1" thickBot="1" x14ac:dyDescent="0.4">
      <c r="A273" s="1638" t="s">
        <v>75</v>
      </c>
      <c r="B273" s="1639"/>
      <c r="C273" s="1639"/>
      <c r="D273" s="1639"/>
      <c r="E273" s="1639"/>
      <c r="F273" s="1640"/>
      <c r="G273" s="273">
        <f t="shared" ref="G273:I273" si="13">SUM(G274:G276)</f>
        <v>42741.100000000006</v>
      </c>
      <c r="H273" s="289">
        <f t="shared" si="13"/>
        <v>42678.299999999988</v>
      </c>
      <c r="I273" s="281">
        <f t="shared" si="13"/>
        <v>44990.19999999999</v>
      </c>
      <c r="J273" s="145"/>
      <c r="K273" s="145"/>
      <c r="L273" s="145"/>
      <c r="M273" s="145"/>
    </row>
    <row r="274" spans="1:13" s="1" customFormat="1" ht="15.75" customHeight="1" x14ac:dyDescent="0.35">
      <c r="A274" s="1643" t="s">
        <v>98</v>
      </c>
      <c r="B274" s="1644"/>
      <c r="C274" s="1644"/>
      <c r="D274" s="1644"/>
      <c r="E274" s="1644"/>
      <c r="F274" s="1645"/>
      <c r="G274" s="274">
        <f>SUMIF(F14:F250,"es",G14:G250)</f>
        <v>0</v>
      </c>
      <c r="H274" s="290">
        <f>SUMIF(F14:F250,"es",H14:H250)</f>
        <v>1740.2</v>
      </c>
      <c r="I274" s="282">
        <f>SUMIF(F14:F250,"es",I14:I250)</f>
        <v>4052.1000000000004</v>
      </c>
      <c r="J274" s="31"/>
      <c r="K274" s="31"/>
      <c r="L274" s="31"/>
      <c r="M274" s="143"/>
    </row>
    <row r="275" spans="1:13" s="1" customFormat="1" ht="15.75" customHeight="1" x14ac:dyDescent="0.35">
      <c r="A275" s="1627" t="s">
        <v>76</v>
      </c>
      <c r="B275" s="1628"/>
      <c r="C275" s="1628"/>
      <c r="D275" s="1628"/>
      <c r="E275" s="1628"/>
      <c r="F275" s="1629"/>
      <c r="G275" s="255">
        <f>SUMIF(F15:F250,"lrvb",G15:G250)</f>
        <v>42735.100000000006</v>
      </c>
      <c r="H275" s="256">
        <f>SUMIF(F15:F250,"lrvb",H15:H250)</f>
        <v>40932.099999999991</v>
      </c>
      <c r="I275" s="257">
        <f>SUMIF(F15:F250,"lrvb",I15:I250)</f>
        <v>40932.099999999991</v>
      </c>
      <c r="J275" s="24"/>
      <c r="K275" s="24"/>
      <c r="L275" s="24"/>
      <c r="M275" s="145"/>
    </row>
    <row r="276" spans="1:13" s="1" customFormat="1" ht="15.75" customHeight="1" thickBot="1" x14ac:dyDescent="0.4">
      <c r="A276" s="1611" t="s">
        <v>177</v>
      </c>
      <c r="B276" s="1612"/>
      <c r="C276" s="1612"/>
      <c r="D276" s="1612"/>
      <c r="E276" s="1612"/>
      <c r="F276" s="1613"/>
      <c r="G276" s="275">
        <f>SUMIF(F15:F250,"kt",G15:G250)</f>
        <v>6</v>
      </c>
      <c r="H276" s="291">
        <f>SUMIF(F15:F250,"kt",H15:H250)</f>
        <v>6</v>
      </c>
      <c r="I276" s="283">
        <f>SUMIF(F15:F250,"kt",I15:I250)</f>
        <v>6</v>
      </c>
      <c r="J276" s="24"/>
      <c r="K276" s="24"/>
      <c r="L276" s="24"/>
      <c r="M276" s="145"/>
    </row>
    <row r="277" spans="1:13" s="1" customFormat="1" ht="15.75" customHeight="1" thickBot="1" x14ac:dyDescent="0.4">
      <c r="A277" s="1614" t="s">
        <v>77</v>
      </c>
      <c r="B277" s="1615"/>
      <c r="C277" s="1615"/>
      <c r="D277" s="1615"/>
      <c r="E277" s="1615"/>
      <c r="F277" s="1616"/>
      <c r="G277" s="276">
        <f t="shared" ref="G277:I277" si="14">G259+G273</f>
        <v>79004.7</v>
      </c>
      <c r="H277" s="292">
        <f t="shared" si="14"/>
        <v>71354.799999999988</v>
      </c>
      <c r="I277" s="284">
        <f t="shared" si="14"/>
        <v>73909.199999999983</v>
      </c>
      <c r="J277" s="30"/>
      <c r="K277" s="30"/>
      <c r="L277" s="30"/>
      <c r="M277" s="143"/>
    </row>
    <row r="278" spans="1:13" x14ac:dyDescent="0.35">
      <c r="F278" s="1610"/>
      <c r="G278" s="1610"/>
      <c r="H278" s="1610"/>
      <c r="I278" s="1610"/>
    </row>
    <row r="279" spans="1:13" x14ac:dyDescent="0.35">
      <c r="F279" s="1095"/>
      <c r="G279" s="1095"/>
      <c r="H279" s="1095"/>
      <c r="I279" s="1097">
        <f>+I254-I277</f>
        <v>0</v>
      </c>
      <c r="J279" s="374"/>
      <c r="K279" s="374"/>
      <c r="L279" s="374"/>
    </row>
    <row r="280" spans="1:13" x14ac:dyDescent="0.35">
      <c r="I280" s="160"/>
      <c r="J280" s="374"/>
      <c r="K280" s="374"/>
      <c r="L280" s="374"/>
    </row>
    <row r="281" spans="1:13" x14ac:dyDescent="0.35">
      <c r="F281" s="375"/>
      <c r="G281" s="375"/>
      <c r="H281" s="375"/>
      <c r="I281" s="56"/>
      <c r="J281" s="144"/>
      <c r="K281" s="144"/>
      <c r="L281" s="144"/>
    </row>
    <row r="282" spans="1:13" x14ac:dyDescent="0.35">
      <c r="I282" s="160"/>
      <c r="J282" s="374"/>
      <c r="K282" s="374"/>
      <c r="L282" s="374"/>
    </row>
    <row r="283" spans="1:13" x14ac:dyDescent="0.35">
      <c r="I283" s="160"/>
      <c r="J283" s="374" t="s">
        <v>176</v>
      </c>
      <c r="K283" s="374"/>
      <c r="L283" s="374"/>
    </row>
    <row r="285" spans="1:13" x14ac:dyDescent="0.35">
      <c r="I285" s="161"/>
    </row>
  </sheetData>
  <mergeCells count="237">
    <mergeCell ref="N80:P80"/>
    <mergeCell ref="N85:P85"/>
    <mergeCell ref="N117:P117"/>
    <mergeCell ref="N128:P130"/>
    <mergeCell ref="N156:P157"/>
    <mergeCell ref="N173:P175"/>
    <mergeCell ref="C203:M203"/>
    <mergeCell ref="D128:D138"/>
    <mergeCell ref="J131:J133"/>
    <mergeCell ref="J128:J130"/>
    <mergeCell ref="J163:J164"/>
    <mergeCell ref="J139:J140"/>
    <mergeCell ref="J143:J146"/>
    <mergeCell ref="D114:D116"/>
    <mergeCell ref="J173:J175"/>
    <mergeCell ref="J170:J171"/>
    <mergeCell ref="M165:M166"/>
    <mergeCell ref="L170:L171"/>
    <mergeCell ref="M170:M171"/>
    <mergeCell ref="K170:K171"/>
    <mergeCell ref="D182:D185"/>
    <mergeCell ref="D198:D201"/>
    <mergeCell ref="E198:E201"/>
    <mergeCell ref="E114:E116"/>
    <mergeCell ref="C223:M223"/>
    <mergeCell ref="D217:D219"/>
    <mergeCell ref="D153:F153"/>
    <mergeCell ref="B182:B183"/>
    <mergeCell ref="A182:A183"/>
    <mergeCell ref="D168:D169"/>
    <mergeCell ref="D176:D177"/>
    <mergeCell ref="A193:A197"/>
    <mergeCell ref="B193:B197"/>
    <mergeCell ref="D170:D171"/>
    <mergeCell ref="E170:E171"/>
    <mergeCell ref="C193:C197"/>
    <mergeCell ref="D193:D197"/>
    <mergeCell ref="E193:E197"/>
    <mergeCell ref="A154:A156"/>
    <mergeCell ref="C154:C156"/>
    <mergeCell ref="D204:D207"/>
    <mergeCell ref="J209:J210"/>
    <mergeCell ref="K209:K210"/>
    <mergeCell ref="L209:L210"/>
    <mergeCell ref="M209:M210"/>
    <mergeCell ref="B198:B201"/>
    <mergeCell ref="C198:C201"/>
    <mergeCell ref="D243:D244"/>
    <mergeCell ref="J186:J187"/>
    <mergeCell ref="J156:J157"/>
    <mergeCell ref="J182:J183"/>
    <mergeCell ref="J168:J169"/>
    <mergeCell ref="J254:M254"/>
    <mergeCell ref="C253:F253"/>
    <mergeCell ref="D246:D248"/>
    <mergeCell ref="J246:J248"/>
    <mergeCell ref="D250:D251"/>
    <mergeCell ref="C252:F252"/>
    <mergeCell ref="J252:M252"/>
    <mergeCell ref="J253:M253"/>
    <mergeCell ref="J243:J244"/>
    <mergeCell ref="J215:J216"/>
    <mergeCell ref="D211:D212"/>
    <mergeCell ref="J241:J242"/>
    <mergeCell ref="J222:M222"/>
    <mergeCell ref="D214:D216"/>
    <mergeCell ref="D234:D236"/>
    <mergeCell ref="J220:J221"/>
    <mergeCell ref="L220:L221"/>
    <mergeCell ref="D241:D242"/>
    <mergeCell ref="D239:D240"/>
    <mergeCell ref="A257:I257"/>
    <mergeCell ref="A255:M255"/>
    <mergeCell ref="B254:F254"/>
    <mergeCell ref="F278:I278"/>
    <mergeCell ref="A276:F276"/>
    <mergeCell ref="A277:F277"/>
    <mergeCell ref="A261:F261"/>
    <mergeCell ref="A263:F263"/>
    <mergeCell ref="A264:F264"/>
    <mergeCell ref="A265:F265"/>
    <mergeCell ref="A258:F258"/>
    <mergeCell ref="A259:F259"/>
    <mergeCell ref="A275:F275"/>
    <mergeCell ref="A270:F270"/>
    <mergeCell ref="A271:F271"/>
    <mergeCell ref="A272:F272"/>
    <mergeCell ref="A273:F273"/>
    <mergeCell ref="A260:F260"/>
    <mergeCell ref="A274:F274"/>
    <mergeCell ref="A268:F268"/>
    <mergeCell ref="A269:F269"/>
    <mergeCell ref="A262:F262"/>
    <mergeCell ref="A267:F267"/>
    <mergeCell ref="A266:F266"/>
    <mergeCell ref="D231:D232"/>
    <mergeCell ref="J231:J232"/>
    <mergeCell ref="C222:F222"/>
    <mergeCell ref="D228:D230"/>
    <mergeCell ref="J239:J240"/>
    <mergeCell ref="D237:D238"/>
    <mergeCell ref="D220:D221"/>
    <mergeCell ref="M78:M79"/>
    <mergeCell ref="D56:D58"/>
    <mergeCell ref="J83:J84"/>
    <mergeCell ref="D83:D84"/>
    <mergeCell ref="J66:M66"/>
    <mergeCell ref="D78:D81"/>
    <mergeCell ref="J78:J79"/>
    <mergeCell ref="K78:K79"/>
    <mergeCell ref="L78:L79"/>
    <mergeCell ref="D59:D60"/>
    <mergeCell ref="D61:D62"/>
    <mergeCell ref="D103:D107"/>
    <mergeCell ref="D92:D93"/>
    <mergeCell ref="J92:J93"/>
    <mergeCell ref="J202:M202"/>
    <mergeCell ref="L165:L166"/>
    <mergeCell ref="C202:F202"/>
    <mergeCell ref="J29:J30"/>
    <mergeCell ref="D15:D20"/>
    <mergeCell ref="J8:M8"/>
    <mergeCell ref="J35:J38"/>
    <mergeCell ref="D68:D69"/>
    <mergeCell ref="C66:F66"/>
    <mergeCell ref="C67:M67"/>
    <mergeCell ref="D33:D34"/>
    <mergeCell ref="D54:D55"/>
    <mergeCell ref="E54:E55"/>
    <mergeCell ref="J54:J55"/>
    <mergeCell ref="J48:J50"/>
    <mergeCell ref="K54:K55"/>
    <mergeCell ref="L54:L55"/>
    <mergeCell ref="M54:M55"/>
    <mergeCell ref="C54:C55"/>
    <mergeCell ref="D35:D38"/>
    <mergeCell ref="M40:M41"/>
    <mergeCell ref="J56:J58"/>
    <mergeCell ref="C56:C58"/>
    <mergeCell ref="C48:C50"/>
    <mergeCell ref="J46:J47"/>
    <mergeCell ref="J33:J34"/>
    <mergeCell ref="J39:J41"/>
    <mergeCell ref="A4:M4"/>
    <mergeCell ref="A5:M5"/>
    <mergeCell ref="A33:A34"/>
    <mergeCell ref="B33:B34"/>
    <mergeCell ref="A6:M6"/>
    <mergeCell ref="I8:I10"/>
    <mergeCell ref="A8:A10"/>
    <mergeCell ref="B8:B10"/>
    <mergeCell ref="G8:G10"/>
    <mergeCell ref="H8:H10"/>
    <mergeCell ref="A11:M11"/>
    <mergeCell ref="A12:M12"/>
    <mergeCell ref="B13:M13"/>
    <mergeCell ref="C14:M14"/>
    <mergeCell ref="J18:J19"/>
    <mergeCell ref="J15:J17"/>
    <mergeCell ref="E25:E26"/>
    <mergeCell ref="D21:D23"/>
    <mergeCell ref="C8:C10"/>
    <mergeCell ref="D8:D10"/>
    <mergeCell ref="E8:E10"/>
    <mergeCell ref="F8:F10"/>
    <mergeCell ref="J9:J10"/>
    <mergeCell ref="K9:M9"/>
    <mergeCell ref="E43:F43"/>
    <mergeCell ref="D51:D52"/>
    <mergeCell ref="D48:D50"/>
    <mergeCell ref="D46:D47"/>
    <mergeCell ref="A44:A45"/>
    <mergeCell ref="C44:C45"/>
    <mergeCell ref="E44:E45"/>
    <mergeCell ref="A35:A38"/>
    <mergeCell ref="B35:B38"/>
    <mergeCell ref="B48:B50"/>
    <mergeCell ref="D39:D41"/>
    <mergeCell ref="D44:D45"/>
    <mergeCell ref="D42:D43"/>
    <mergeCell ref="K139:K140"/>
    <mergeCell ref="L139:L140"/>
    <mergeCell ref="J165:J166"/>
    <mergeCell ref="D160:D161"/>
    <mergeCell ref="D191:D192"/>
    <mergeCell ref="D173:D175"/>
    <mergeCell ref="D163:D164"/>
    <mergeCell ref="D165:D167"/>
    <mergeCell ref="K165:K166"/>
    <mergeCell ref="J52:J53"/>
    <mergeCell ref="A114:A116"/>
    <mergeCell ref="B114:B116"/>
    <mergeCell ref="J200:J201"/>
    <mergeCell ref="C114:C116"/>
    <mergeCell ref="B44:B45"/>
    <mergeCell ref="A48:A50"/>
    <mergeCell ref="D117:D118"/>
    <mergeCell ref="D119:D120"/>
    <mergeCell ref="J180:J181"/>
    <mergeCell ref="J191:J192"/>
    <mergeCell ref="B54:B55"/>
    <mergeCell ref="A59:A60"/>
    <mergeCell ref="A61:A62"/>
    <mergeCell ref="B59:B60"/>
    <mergeCell ref="B61:B62"/>
    <mergeCell ref="A54:A55"/>
    <mergeCell ref="A56:A58"/>
    <mergeCell ref="B56:B58"/>
    <mergeCell ref="A198:A201"/>
    <mergeCell ref="A63:A65"/>
    <mergeCell ref="B63:B65"/>
    <mergeCell ref="C63:C65"/>
    <mergeCell ref="D63:D65"/>
    <mergeCell ref="E63:E65"/>
    <mergeCell ref="J64:J65"/>
    <mergeCell ref="J1:M1"/>
    <mergeCell ref="A7:M7"/>
    <mergeCell ref="D209:D210"/>
    <mergeCell ref="J110:J111"/>
    <mergeCell ref="K110:K111"/>
    <mergeCell ref="L110:L111"/>
    <mergeCell ref="M110:M111"/>
    <mergeCell ref="J80:J82"/>
    <mergeCell ref="J122:J125"/>
    <mergeCell ref="K122:K125"/>
    <mergeCell ref="L122:L125"/>
    <mergeCell ref="M124:M125"/>
    <mergeCell ref="D154:D155"/>
    <mergeCell ref="D180:D181"/>
    <mergeCell ref="M139:M140"/>
    <mergeCell ref="B154:B156"/>
    <mergeCell ref="D156:D157"/>
    <mergeCell ref="J85:J86"/>
    <mergeCell ref="E88:E89"/>
    <mergeCell ref="D139:D147"/>
    <mergeCell ref="D121:D127"/>
    <mergeCell ref="J104:J105"/>
  </mergeCells>
  <printOptions horizontalCentered="1"/>
  <pageMargins left="0.59055118110236227" right="0.31496062992125984" top="0.39370078740157483" bottom="0.39370078740157483" header="0" footer="0"/>
  <pageSetup paperSize="9" scale="78" fitToHeight="0" orientation="portrait" r:id="rId1"/>
  <rowBreaks count="8" manualBreakCount="8">
    <brk id="28" max="12" man="1"/>
    <brk id="60" max="12" man="1"/>
    <brk id="98" max="12" man="1"/>
    <brk id="127" max="12" man="1"/>
    <brk id="161" max="12" man="1"/>
    <brk id="197" max="12" man="1"/>
    <brk id="236" max="12" man="1"/>
    <brk id="25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1"/>
  <sheetViews>
    <sheetView zoomScaleNormal="100" zoomScaleSheetLayoutView="100" workbookViewId="0">
      <selection activeCell="A4" sqref="A4:Q4"/>
    </sheetView>
  </sheetViews>
  <sheetFormatPr defaultColWidth="9.26953125" defaultRowHeight="14.5" x14ac:dyDescent="0.35"/>
  <cols>
    <col min="1" max="4" width="3.26953125" style="29" customWidth="1"/>
    <col min="5" max="5" width="25.26953125" style="373" customWidth="1"/>
    <col min="6" max="6" width="4" style="1071" customWidth="1"/>
    <col min="7" max="7" width="14.26953125" style="1071" customWidth="1"/>
    <col min="8" max="10" width="8.54296875" style="373" customWidth="1"/>
    <col min="11" max="11" width="8.26953125" style="373" customWidth="1"/>
    <col min="12" max="12" width="7.7265625" style="1071" customWidth="1"/>
    <col min="13" max="13" width="25.26953125" style="373" customWidth="1"/>
    <col min="14" max="16" width="7.453125" style="373" customWidth="1"/>
    <col min="17" max="17" width="6.7265625" style="74" customWidth="1"/>
    <col min="18" max="16384" width="9.26953125" style="373"/>
  </cols>
  <sheetData>
    <row r="1" spans="1:19" s="45" customFormat="1" ht="15.5" x14ac:dyDescent="0.35">
      <c r="A1" s="43"/>
      <c r="B1" s="43"/>
      <c r="C1" s="43"/>
      <c r="D1" s="43"/>
      <c r="E1" s="43"/>
      <c r="F1" s="44"/>
      <c r="G1" s="1807" t="s">
        <v>308</v>
      </c>
      <c r="H1" s="1807"/>
      <c r="I1" s="1807"/>
      <c r="J1" s="1807"/>
      <c r="K1" s="1807"/>
      <c r="L1" s="1807"/>
      <c r="M1" s="1807"/>
      <c r="N1" s="1807"/>
      <c r="O1" s="1807"/>
      <c r="P1" s="1807"/>
      <c r="Q1" s="1807"/>
    </row>
    <row r="2" spans="1:19" s="45" customFormat="1" ht="18" customHeight="1" x14ac:dyDescent="0.35">
      <c r="A2" s="43"/>
      <c r="B2" s="43"/>
      <c r="C2" s="43"/>
      <c r="D2" s="43"/>
      <c r="E2" s="43"/>
      <c r="F2" s="44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</row>
    <row r="3" spans="1:19" s="370" customFormat="1" ht="16.5" customHeight="1" x14ac:dyDescent="0.35">
      <c r="A3" s="1509" t="s">
        <v>247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</row>
    <row r="4" spans="1:19" s="28" customFormat="1" ht="16.5" customHeight="1" x14ac:dyDescent="0.35">
      <c r="A4" s="1510" t="s">
        <v>0</v>
      </c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</row>
    <row r="5" spans="1:19" s="28" customFormat="1" ht="16.5" customHeight="1" x14ac:dyDescent="0.35">
      <c r="A5" s="1511" t="s">
        <v>1</v>
      </c>
      <c r="B5" s="1511"/>
      <c r="C5" s="1511"/>
      <c r="D5" s="1511"/>
      <c r="E5" s="1511"/>
      <c r="F5" s="1511"/>
      <c r="G5" s="1511"/>
      <c r="H5" s="1511"/>
      <c r="I5" s="1511"/>
      <c r="J5" s="1511"/>
      <c r="K5" s="1511"/>
      <c r="L5" s="1511"/>
      <c r="M5" s="1511"/>
      <c r="N5" s="1511"/>
      <c r="O5" s="1511"/>
      <c r="P5" s="1511"/>
      <c r="Q5" s="1511"/>
    </row>
    <row r="6" spans="1:19" s="1" customFormat="1" ht="21.75" customHeight="1" thickBot="1" x14ac:dyDescent="0.35">
      <c r="A6" s="1431" t="s">
        <v>2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  <c r="N6" s="1431"/>
      <c r="O6" s="1431"/>
      <c r="P6" s="1431"/>
      <c r="Q6" s="1431"/>
    </row>
    <row r="7" spans="1:19" s="2" customFormat="1" ht="16.899999999999999" customHeight="1" thickBot="1" x14ac:dyDescent="0.4">
      <c r="A7" s="1515" t="s">
        <v>248</v>
      </c>
      <c r="B7" s="1518" t="s">
        <v>3</v>
      </c>
      <c r="C7" s="1545" t="s">
        <v>4</v>
      </c>
      <c r="D7" s="1545" t="s">
        <v>159</v>
      </c>
      <c r="E7" s="1548" t="s">
        <v>5</v>
      </c>
      <c r="F7" s="1551" t="s">
        <v>249</v>
      </c>
      <c r="G7" s="1801" t="s">
        <v>250</v>
      </c>
      <c r="H7" s="1554" t="s">
        <v>6</v>
      </c>
      <c r="I7" s="1804" t="s">
        <v>251</v>
      </c>
      <c r="J7" s="1521" t="s">
        <v>252</v>
      </c>
      <c r="K7" s="1524" t="s">
        <v>301</v>
      </c>
      <c r="L7" s="1512" t="s">
        <v>253</v>
      </c>
      <c r="M7" s="1563" t="s">
        <v>7</v>
      </c>
      <c r="N7" s="1564"/>
      <c r="O7" s="1564"/>
      <c r="P7" s="1564"/>
      <c r="Q7" s="1565"/>
      <c r="R7" s="879"/>
    </row>
    <row r="8" spans="1:19" s="2" customFormat="1" ht="17.25" customHeight="1" x14ac:dyDescent="0.35">
      <c r="A8" s="1516"/>
      <c r="B8" s="1519"/>
      <c r="C8" s="1546"/>
      <c r="D8" s="1546"/>
      <c r="E8" s="1549"/>
      <c r="F8" s="1552"/>
      <c r="G8" s="1802"/>
      <c r="H8" s="1555"/>
      <c r="I8" s="1805"/>
      <c r="J8" s="1522"/>
      <c r="K8" s="1525"/>
      <c r="L8" s="1513"/>
      <c r="M8" s="1557" t="s">
        <v>5</v>
      </c>
      <c r="N8" s="1555" t="s">
        <v>254</v>
      </c>
      <c r="O8" s="1559" t="s">
        <v>239</v>
      </c>
      <c r="P8" s="1560"/>
      <c r="Q8" s="1561"/>
    </row>
    <row r="9" spans="1:19" s="2" customFormat="1" ht="100.5" customHeight="1" thickBot="1" x14ac:dyDescent="0.4">
      <c r="A9" s="1517"/>
      <c r="B9" s="1520"/>
      <c r="C9" s="1547"/>
      <c r="D9" s="1547"/>
      <c r="E9" s="1550"/>
      <c r="F9" s="1553"/>
      <c r="G9" s="1803"/>
      <c r="H9" s="1556"/>
      <c r="I9" s="1806"/>
      <c r="J9" s="1523"/>
      <c r="K9" s="1526"/>
      <c r="L9" s="1514"/>
      <c r="M9" s="1558"/>
      <c r="N9" s="1556"/>
      <c r="O9" s="1049" t="s">
        <v>255</v>
      </c>
      <c r="P9" s="1048" t="s">
        <v>256</v>
      </c>
      <c r="Q9" s="525" t="s">
        <v>257</v>
      </c>
    </row>
    <row r="10" spans="1:19" s="1" customFormat="1" ht="16.899999999999999" customHeight="1" x14ac:dyDescent="0.35">
      <c r="A10" s="1527" t="s">
        <v>8</v>
      </c>
      <c r="B10" s="1528"/>
      <c r="C10" s="1528"/>
      <c r="D10" s="1528"/>
      <c r="E10" s="1528"/>
      <c r="F10" s="1528"/>
      <c r="G10" s="1528"/>
      <c r="H10" s="1528"/>
      <c r="I10" s="1528"/>
      <c r="J10" s="1528"/>
      <c r="K10" s="1528"/>
      <c r="L10" s="1528"/>
      <c r="M10" s="1528"/>
      <c r="N10" s="1528"/>
      <c r="O10" s="1528"/>
      <c r="P10" s="1528"/>
      <c r="Q10" s="1529"/>
    </row>
    <row r="11" spans="1:19" s="1" customFormat="1" ht="16.899999999999999" customHeight="1" x14ac:dyDescent="0.35">
      <c r="A11" s="1530" t="s">
        <v>9</v>
      </c>
      <c r="B11" s="1531"/>
      <c r="C11" s="1531"/>
      <c r="D11" s="1531"/>
      <c r="E11" s="1531"/>
      <c r="F11" s="1531"/>
      <c r="G11" s="1531"/>
      <c r="H11" s="1531"/>
      <c r="I11" s="1531"/>
      <c r="J11" s="1531"/>
      <c r="K11" s="1531"/>
      <c r="L11" s="1531"/>
      <c r="M11" s="1531"/>
      <c r="N11" s="1531"/>
      <c r="O11" s="1531"/>
      <c r="P11" s="1531"/>
      <c r="Q11" s="1532"/>
      <c r="S11" s="2"/>
    </row>
    <row r="12" spans="1:19" s="2" customFormat="1" ht="16.899999999999999" customHeight="1" x14ac:dyDescent="0.35">
      <c r="A12" s="90" t="s">
        <v>10</v>
      </c>
      <c r="B12" s="1533" t="s">
        <v>11</v>
      </c>
      <c r="C12" s="1533"/>
      <c r="D12" s="1533"/>
      <c r="E12" s="1533"/>
      <c r="F12" s="1533"/>
      <c r="G12" s="1533"/>
      <c r="H12" s="1533"/>
      <c r="I12" s="1533"/>
      <c r="J12" s="1533"/>
      <c r="K12" s="1533"/>
      <c r="L12" s="1533"/>
      <c r="M12" s="1533"/>
      <c r="N12" s="1533"/>
      <c r="O12" s="1533"/>
      <c r="P12" s="1533"/>
      <c r="Q12" s="1534"/>
    </row>
    <row r="13" spans="1:19" s="2" customFormat="1" ht="16.899999999999999" customHeight="1" thickBot="1" x14ac:dyDescent="0.4">
      <c r="A13" s="1013" t="s">
        <v>10</v>
      </c>
      <c r="B13" s="89" t="s">
        <v>10</v>
      </c>
      <c r="C13" s="1535" t="s">
        <v>12</v>
      </c>
      <c r="D13" s="1536"/>
      <c r="E13" s="1536"/>
      <c r="F13" s="1536"/>
      <c r="G13" s="1536"/>
      <c r="H13" s="1536"/>
      <c r="I13" s="1536"/>
      <c r="J13" s="1536"/>
      <c r="K13" s="1536"/>
      <c r="L13" s="1536"/>
      <c r="M13" s="1536"/>
      <c r="N13" s="1536"/>
      <c r="O13" s="1536"/>
      <c r="P13" s="1536"/>
      <c r="Q13" s="1537"/>
    </row>
    <row r="14" spans="1:19" s="2" customFormat="1" ht="16.5" customHeight="1" x14ac:dyDescent="0.35">
      <c r="A14" s="1009" t="s">
        <v>10</v>
      </c>
      <c r="B14" s="5" t="s">
        <v>10</v>
      </c>
      <c r="C14" s="1055" t="s">
        <v>10</v>
      </c>
      <c r="D14" s="105"/>
      <c r="E14" s="1562" t="s">
        <v>13</v>
      </c>
      <c r="F14" s="1062"/>
      <c r="G14" s="1798" t="s">
        <v>172</v>
      </c>
      <c r="H14" s="168" t="s">
        <v>206</v>
      </c>
      <c r="I14" s="589">
        <f>882.7+370</f>
        <v>1252.7</v>
      </c>
      <c r="J14" s="46">
        <v>1231.9000000000001</v>
      </c>
      <c r="K14" s="180">
        <v>1331.9</v>
      </c>
      <c r="L14" s="406">
        <v>1331.9</v>
      </c>
      <c r="M14" s="1463" t="s">
        <v>17</v>
      </c>
      <c r="N14" s="1064">
        <v>1348</v>
      </c>
      <c r="O14" s="139">
        <v>1329</v>
      </c>
      <c r="P14" s="235">
        <v>1329</v>
      </c>
      <c r="Q14" s="950">
        <v>1329</v>
      </c>
    </row>
    <row r="15" spans="1:19" s="2" customFormat="1" ht="16.5" customHeight="1" x14ac:dyDescent="0.35">
      <c r="A15" s="1009"/>
      <c r="B15" s="5"/>
      <c r="C15" s="1055"/>
      <c r="D15" s="105"/>
      <c r="E15" s="1562"/>
      <c r="F15" s="385"/>
      <c r="G15" s="1798"/>
      <c r="H15" s="73" t="s">
        <v>109</v>
      </c>
      <c r="I15" s="590">
        <f>200+15.4</f>
        <v>215.4</v>
      </c>
      <c r="J15" s="705">
        <v>100</v>
      </c>
      <c r="K15" s="181"/>
      <c r="L15" s="404"/>
      <c r="M15" s="1465"/>
      <c r="N15" s="991"/>
      <c r="O15" s="522"/>
      <c r="P15" s="1028"/>
      <c r="Q15" s="987"/>
      <c r="R15" s="46"/>
    </row>
    <row r="16" spans="1:19" s="2" customFormat="1" ht="15" customHeight="1" x14ac:dyDescent="0.35">
      <c r="A16" s="1009"/>
      <c r="B16" s="5"/>
      <c r="C16" s="1055"/>
      <c r="D16" s="105"/>
      <c r="E16" s="1562"/>
      <c r="F16" s="385"/>
      <c r="G16" s="1798"/>
      <c r="H16" s="72" t="s">
        <v>206</v>
      </c>
      <c r="I16" s="581">
        <f>199-40-42.8</f>
        <v>116.2</v>
      </c>
      <c r="J16" s="174">
        <v>507</v>
      </c>
      <c r="K16" s="182">
        <v>1155</v>
      </c>
      <c r="L16" s="405">
        <v>1155</v>
      </c>
      <c r="M16" s="1799" t="s">
        <v>18</v>
      </c>
      <c r="N16" s="990">
        <v>2647</v>
      </c>
      <c r="O16" s="54">
        <v>3161</v>
      </c>
      <c r="P16" s="1027">
        <v>3161</v>
      </c>
      <c r="Q16" s="986">
        <v>3161</v>
      </c>
      <c r="R16" s="46"/>
    </row>
    <row r="17" spans="1:18" s="2" customFormat="1" ht="15" customHeight="1" x14ac:dyDescent="0.35">
      <c r="A17" s="1009"/>
      <c r="B17" s="5"/>
      <c r="C17" s="1055"/>
      <c r="D17" s="105"/>
      <c r="E17" s="1562"/>
      <c r="F17" s="385"/>
      <c r="G17" s="1057"/>
      <c r="H17" s="70" t="s">
        <v>14</v>
      </c>
      <c r="I17" s="581"/>
      <c r="J17" s="174">
        <v>648</v>
      </c>
      <c r="K17" s="182"/>
      <c r="L17" s="405"/>
      <c r="M17" s="1691"/>
      <c r="N17" s="1064"/>
      <c r="O17" s="139"/>
      <c r="P17" s="966"/>
      <c r="Q17" s="950"/>
      <c r="R17" s="46"/>
    </row>
    <row r="18" spans="1:18" s="2" customFormat="1" ht="15" customHeight="1" x14ac:dyDescent="0.35">
      <c r="A18" s="1009"/>
      <c r="B18" s="5"/>
      <c r="C18" s="1055"/>
      <c r="D18" s="105"/>
      <c r="E18" s="1562"/>
      <c r="F18" s="385"/>
      <c r="G18" s="353"/>
      <c r="H18" s="128" t="s">
        <v>109</v>
      </c>
      <c r="I18" s="591">
        <v>595</v>
      </c>
      <c r="J18" s="46"/>
      <c r="K18" s="183"/>
      <c r="L18" s="406"/>
      <c r="M18" s="1800"/>
      <c r="N18" s="991"/>
      <c r="O18" s="519"/>
      <c r="P18" s="563"/>
      <c r="Q18" s="987"/>
    </row>
    <row r="19" spans="1:18" s="2" customFormat="1" ht="27.65" customHeight="1" x14ac:dyDescent="0.35">
      <c r="A19" s="1009"/>
      <c r="B19" s="5"/>
      <c r="C19" s="1055"/>
      <c r="D19" s="105"/>
      <c r="E19" s="1562"/>
      <c r="F19" s="385"/>
      <c r="G19" s="353"/>
      <c r="H19" s="72" t="s">
        <v>206</v>
      </c>
      <c r="I19" s="581">
        <f>174.2+64+42.8</f>
        <v>281</v>
      </c>
      <c r="J19" s="174">
        <v>195.7</v>
      </c>
      <c r="K19" s="182">
        <v>195.7</v>
      </c>
      <c r="L19" s="405">
        <v>195.7</v>
      </c>
      <c r="M19" s="1595" t="s">
        <v>19</v>
      </c>
      <c r="N19" s="990">
        <v>65</v>
      </c>
      <c r="O19" s="638">
        <v>70</v>
      </c>
      <c r="P19" s="245">
        <v>70</v>
      </c>
      <c r="Q19" s="986">
        <v>70</v>
      </c>
    </row>
    <row r="20" spans="1:18" s="2" customFormat="1" ht="27.65" customHeight="1" x14ac:dyDescent="0.35">
      <c r="A20" s="1009"/>
      <c r="B20" s="5"/>
      <c r="C20" s="1055"/>
      <c r="D20" s="105"/>
      <c r="E20" s="1059"/>
      <c r="F20" s="385"/>
      <c r="G20" s="353"/>
      <c r="H20" s="168" t="s">
        <v>109</v>
      </c>
      <c r="I20" s="590">
        <v>5</v>
      </c>
      <c r="J20" s="46"/>
      <c r="K20" s="183"/>
      <c r="L20" s="404"/>
      <c r="M20" s="1596"/>
      <c r="N20" s="991"/>
      <c r="O20" s="639"/>
      <c r="P20" s="236"/>
      <c r="Q20" s="987"/>
    </row>
    <row r="21" spans="1:18" s="2" customFormat="1" ht="55.15" customHeight="1" x14ac:dyDescent="0.35">
      <c r="A21" s="1009"/>
      <c r="B21" s="5"/>
      <c r="C21" s="1055"/>
      <c r="D21" s="1077" t="s">
        <v>10</v>
      </c>
      <c r="E21" s="1598" t="s">
        <v>15</v>
      </c>
      <c r="F21" s="1007" t="s">
        <v>264</v>
      </c>
      <c r="G21" s="353"/>
      <c r="H21" s="960" t="s">
        <v>14</v>
      </c>
      <c r="I21" s="590">
        <f>780-0.5+95.8</f>
        <v>875.3</v>
      </c>
      <c r="J21" s="961">
        <v>870.1</v>
      </c>
      <c r="K21" s="962">
        <v>870.1</v>
      </c>
      <c r="L21" s="404">
        <v>870.1</v>
      </c>
      <c r="M21" s="19" t="s">
        <v>85</v>
      </c>
      <c r="N21" s="527">
        <v>4</v>
      </c>
      <c r="O21" s="640">
        <v>4</v>
      </c>
      <c r="P21" s="641">
        <v>4</v>
      </c>
      <c r="Q21" s="437">
        <v>4</v>
      </c>
      <c r="R21" s="46"/>
    </row>
    <row r="22" spans="1:18" s="2" customFormat="1" ht="42.65" customHeight="1" x14ac:dyDescent="0.35">
      <c r="A22" s="1009"/>
      <c r="B22" s="5"/>
      <c r="C22" s="1055"/>
      <c r="D22" s="105"/>
      <c r="E22" s="1599"/>
      <c r="F22" s="385"/>
      <c r="G22" s="843"/>
      <c r="H22" s="162"/>
      <c r="I22" s="592"/>
      <c r="J22" s="959"/>
      <c r="K22" s="708"/>
      <c r="L22" s="407"/>
      <c r="M22" s="156" t="s">
        <v>84</v>
      </c>
      <c r="N22" s="990">
        <v>185</v>
      </c>
      <c r="O22" s="521">
        <v>190</v>
      </c>
      <c r="P22" s="588">
        <v>190</v>
      </c>
      <c r="Q22" s="986">
        <v>190</v>
      </c>
    </row>
    <row r="23" spans="1:18" s="2" customFormat="1" ht="51" customHeight="1" x14ac:dyDescent="0.35">
      <c r="A23" s="1009"/>
      <c r="B23" s="5"/>
      <c r="C23" s="1055"/>
      <c r="D23" s="105"/>
      <c r="E23" s="1599"/>
      <c r="F23" s="385"/>
      <c r="G23" s="1064" t="s">
        <v>190</v>
      </c>
      <c r="H23" s="73" t="s">
        <v>14</v>
      </c>
      <c r="I23" s="593">
        <f>168.3+50</f>
        <v>218.3</v>
      </c>
      <c r="J23" s="46">
        <v>281.7</v>
      </c>
      <c r="K23" s="183">
        <v>281.7</v>
      </c>
      <c r="L23" s="408">
        <v>281.7</v>
      </c>
      <c r="M23" s="1795" t="s">
        <v>86</v>
      </c>
      <c r="N23" s="528">
        <v>75</v>
      </c>
      <c r="O23" s="521">
        <v>100</v>
      </c>
      <c r="P23" s="588">
        <v>100</v>
      </c>
      <c r="Q23" s="841">
        <v>105</v>
      </c>
    </row>
    <row r="24" spans="1:18" s="2" customFormat="1" ht="17.25" customHeight="1" x14ac:dyDescent="0.35">
      <c r="A24" s="1009"/>
      <c r="B24" s="5"/>
      <c r="C24" s="1055"/>
      <c r="D24" s="1078"/>
      <c r="E24" s="1662"/>
      <c r="F24" s="385"/>
      <c r="G24" s="843"/>
      <c r="H24" s="164" t="s">
        <v>20</v>
      </c>
      <c r="I24" s="594">
        <f>SUM(I14:I23)</f>
        <v>3558.9000000000005</v>
      </c>
      <c r="J24" s="670">
        <f t="shared" ref="J24:L24" si="0">SUM(J14:J23)</f>
        <v>3834.3999999999996</v>
      </c>
      <c r="K24" s="672">
        <f t="shared" si="0"/>
        <v>3834.3999999999996</v>
      </c>
      <c r="L24" s="671">
        <f t="shared" si="0"/>
        <v>3834.3999999999996</v>
      </c>
      <c r="M24" s="1796"/>
      <c r="N24" s="1064"/>
      <c r="O24" s="523"/>
      <c r="P24" s="331"/>
      <c r="Q24" s="950"/>
    </row>
    <row r="25" spans="1:18" s="2" customFormat="1" ht="57.65" customHeight="1" x14ac:dyDescent="0.35">
      <c r="A25" s="1009"/>
      <c r="B25" s="5"/>
      <c r="C25" s="1055"/>
      <c r="D25" s="105" t="s">
        <v>28</v>
      </c>
      <c r="E25" s="995" t="s">
        <v>21</v>
      </c>
      <c r="F25" s="834" t="s">
        <v>264</v>
      </c>
      <c r="G25" s="353" t="s">
        <v>233</v>
      </c>
      <c r="H25" s="165" t="s">
        <v>14</v>
      </c>
      <c r="I25" s="590">
        <f>1145.7+2004.8</f>
        <v>3150.5</v>
      </c>
      <c r="J25" s="339">
        <v>2884.6</v>
      </c>
      <c r="K25" s="202">
        <v>2884.6</v>
      </c>
      <c r="L25" s="404">
        <v>2884.6</v>
      </c>
      <c r="M25" s="994" t="s">
        <v>161</v>
      </c>
      <c r="N25" s="527">
        <v>518</v>
      </c>
      <c r="O25" s="54">
        <v>723</v>
      </c>
      <c r="P25" s="1027">
        <v>723</v>
      </c>
      <c r="Q25" s="437">
        <v>723</v>
      </c>
    </row>
    <row r="26" spans="1:18" s="2" customFormat="1" ht="56.65" customHeight="1" x14ac:dyDescent="0.35">
      <c r="A26" s="1009"/>
      <c r="B26" s="5"/>
      <c r="C26" s="1055"/>
      <c r="D26" s="105"/>
      <c r="E26" s="995"/>
      <c r="F26" s="1797" t="s">
        <v>265</v>
      </c>
      <c r="G26" s="353"/>
      <c r="H26" s="165" t="s">
        <v>14</v>
      </c>
      <c r="I26" s="590">
        <v>329.7</v>
      </c>
      <c r="J26" s="339">
        <v>399.3</v>
      </c>
      <c r="K26" s="202">
        <v>399.3</v>
      </c>
      <c r="L26" s="404">
        <v>399.3</v>
      </c>
      <c r="M26" s="148" t="s">
        <v>162</v>
      </c>
      <c r="N26" s="527">
        <v>60</v>
      </c>
      <c r="O26" s="640">
        <v>65</v>
      </c>
      <c r="P26" s="641">
        <v>65</v>
      </c>
      <c r="Q26" s="437">
        <v>65</v>
      </c>
    </row>
    <row r="27" spans="1:18" s="2" customFormat="1" ht="57" customHeight="1" x14ac:dyDescent="0.35">
      <c r="A27" s="1009"/>
      <c r="B27" s="5"/>
      <c r="C27" s="1055"/>
      <c r="D27" s="105"/>
      <c r="E27" s="995"/>
      <c r="F27" s="1797"/>
      <c r="G27" s="353"/>
      <c r="H27" s="165" t="s">
        <v>14</v>
      </c>
      <c r="I27" s="590">
        <v>840.4</v>
      </c>
      <c r="J27" s="339">
        <v>1047.8</v>
      </c>
      <c r="K27" s="202">
        <v>1047.8</v>
      </c>
      <c r="L27" s="404">
        <v>1047.8</v>
      </c>
      <c r="M27" s="1054" t="s">
        <v>227</v>
      </c>
      <c r="N27" s="527">
        <v>125</v>
      </c>
      <c r="O27" s="639">
        <v>123</v>
      </c>
      <c r="P27" s="236">
        <v>123</v>
      </c>
      <c r="Q27" s="437">
        <v>123</v>
      </c>
    </row>
    <row r="28" spans="1:18" s="2" customFormat="1" ht="56.65" customHeight="1" x14ac:dyDescent="0.35">
      <c r="A28" s="1009"/>
      <c r="B28" s="5"/>
      <c r="C28" s="1055"/>
      <c r="D28" s="105"/>
      <c r="E28" s="995"/>
      <c r="F28" s="729"/>
      <c r="G28" s="353"/>
      <c r="H28" s="165" t="s">
        <v>14</v>
      </c>
      <c r="I28" s="590">
        <v>197.9</v>
      </c>
      <c r="J28" s="339">
        <v>254</v>
      </c>
      <c r="K28" s="202">
        <v>254</v>
      </c>
      <c r="L28" s="404">
        <v>254</v>
      </c>
      <c r="M28" s="996" t="s">
        <v>163</v>
      </c>
      <c r="N28" s="527">
        <v>32</v>
      </c>
      <c r="O28" s="522">
        <v>32</v>
      </c>
      <c r="P28" s="1028">
        <v>32</v>
      </c>
      <c r="Q28" s="437">
        <v>32</v>
      </c>
    </row>
    <row r="29" spans="1:18" s="2" customFormat="1" ht="56.65" customHeight="1" x14ac:dyDescent="0.35">
      <c r="A29" s="1009"/>
      <c r="B29" s="5"/>
      <c r="C29" s="1055"/>
      <c r="D29" s="105"/>
      <c r="E29" s="995"/>
      <c r="F29" s="729"/>
      <c r="G29" s="353"/>
      <c r="H29" s="165" t="s">
        <v>14</v>
      </c>
      <c r="I29" s="590">
        <v>367.3</v>
      </c>
      <c r="J29" s="339">
        <v>476.7</v>
      </c>
      <c r="K29" s="202">
        <v>476.7</v>
      </c>
      <c r="L29" s="404">
        <v>476.7</v>
      </c>
      <c r="M29" s="148" t="s">
        <v>228</v>
      </c>
      <c r="N29" s="527">
        <v>35</v>
      </c>
      <c r="O29" s="640">
        <v>35</v>
      </c>
      <c r="P29" s="641">
        <v>35</v>
      </c>
      <c r="Q29" s="437">
        <v>35</v>
      </c>
    </row>
    <row r="30" spans="1:18" s="2" customFormat="1" ht="26.25" customHeight="1" x14ac:dyDescent="0.35">
      <c r="A30" s="1009"/>
      <c r="B30" s="5"/>
      <c r="C30" s="1055"/>
      <c r="D30" s="105"/>
      <c r="E30" s="995"/>
      <c r="F30" s="729"/>
      <c r="G30" s="353"/>
      <c r="H30" s="165" t="s">
        <v>14</v>
      </c>
      <c r="I30" s="590">
        <v>32.9</v>
      </c>
      <c r="J30" s="339">
        <v>41.4</v>
      </c>
      <c r="K30" s="202">
        <v>41.4</v>
      </c>
      <c r="L30" s="404">
        <v>41.4</v>
      </c>
      <c r="M30" s="1595" t="s">
        <v>164</v>
      </c>
      <c r="N30" s="1064">
        <v>8</v>
      </c>
      <c r="O30" s="12">
        <v>8</v>
      </c>
      <c r="P30" s="239">
        <v>8</v>
      </c>
      <c r="Q30" s="950">
        <v>8</v>
      </c>
    </row>
    <row r="31" spans="1:18" s="2" customFormat="1" ht="39" customHeight="1" x14ac:dyDescent="0.35">
      <c r="A31" s="1009"/>
      <c r="B31" s="5"/>
      <c r="C31" s="1055"/>
      <c r="D31" s="105"/>
      <c r="E31" s="995"/>
      <c r="F31" s="729"/>
      <c r="G31" s="353"/>
      <c r="H31" s="162"/>
      <c r="I31" s="591"/>
      <c r="J31" s="338"/>
      <c r="K31" s="216"/>
      <c r="L31" s="406"/>
      <c r="M31" s="1655"/>
      <c r="N31" s="1064"/>
      <c r="O31" s="12"/>
      <c r="P31" s="239"/>
      <c r="Q31" s="950"/>
    </row>
    <row r="32" spans="1:18" s="2" customFormat="1" ht="16.5" customHeight="1" x14ac:dyDescent="0.35">
      <c r="A32" s="1009"/>
      <c r="B32" s="5"/>
      <c r="C32" s="1055"/>
      <c r="D32" s="105"/>
      <c r="E32" s="996"/>
      <c r="F32" s="730"/>
      <c r="G32" s="353"/>
      <c r="H32" s="166" t="s">
        <v>20</v>
      </c>
      <c r="I32" s="594">
        <f>SUM(I25:I31)</f>
        <v>4918.6999999999989</v>
      </c>
      <c r="J32" s="670">
        <f t="shared" ref="J32:L32" si="1">SUM(J25:J31)</f>
        <v>5103.7999999999993</v>
      </c>
      <c r="K32" s="672">
        <f t="shared" si="1"/>
        <v>5103.7999999999993</v>
      </c>
      <c r="L32" s="671">
        <f t="shared" si="1"/>
        <v>5103.7999999999993</v>
      </c>
      <c r="M32" s="1596"/>
      <c r="N32" s="991"/>
      <c r="O32" s="639"/>
      <c r="P32" s="236"/>
      <c r="Q32" s="987"/>
    </row>
    <row r="33" spans="1:17" s="2" customFormat="1" ht="39.75" customHeight="1" x14ac:dyDescent="0.35">
      <c r="A33" s="1009"/>
      <c r="B33" s="5"/>
      <c r="C33" s="1055"/>
      <c r="D33" s="1077" t="s">
        <v>31</v>
      </c>
      <c r="E33" s="1463" t="s">
        <v>22</v>
      </c>
      <c r="F33" s="1007" t="s">
        <v>264</v>
      </c>
      <c r="G33" s="353"/>
      <c r="H33" s="163" t="s">
        <v>14</v>
      </c>
      <c r="I33" s="567">
        <f>929.6+14+32</f>
        <v>975.6</v>
      </c>
      <c r="J33" s="707">
        <v>1290.5999999999999</v>
      </c>
      <c r="K33" s="708">
        <v>1290.5999999999999</v>
      </c>
      <c r="L33" s="679">
        <v>1290.5999999999999</v>
      </c>
      <c r="M33" s="1655" t="s">
        <v>23</v>
      </c>
      <c r="N33" s="1064">
        <v>51</v>
      </c>
      <c r="O33" s="12">
        <v>53</v>
      </c>
      <c r="P33" s="239">
        <v>53</v>
      </c>
      <c r="Q33" s="950">
        <v>53</v>
      </c>
    </row>
    <row r="34" spans="1:17" s="2" customFormat="1" ht="16.5" customHeight="1" x14ac:dyDescent="0.35">
      <c r="A34" s="1009"/>
      <c r="B34" s="5"/>
      <c r="C34" s="1055"/>
      <c r="D34" s="105"/>
      <c r="E34" s="1465"/>
      <c r="F34" s="727"/>
      <c r="G34" s="353"/>
      <c r="H34" s="166" t="s">
        <v>20</v>
      </c>
      <c r="I34" s="594">
        <f t="shared" ref="I34:L34" si="2">+I33</f>
        <v>975.6</v>
      </c>
      <c r="J34" s="670">
        <f t="shared" si="2"/>
        <v>1290.5999999999999</v>
      </c>
      <c r="K34" s="672">
        <f t="shared" si="2"/>
        <v>1290.5999999999999</v>
      </c>
      <c r="L34" s="671">
        <f t="shared" si="2"/>
        <v>1290.5999999999999</v>
      </c>
      <c r="M34" s="1596"/>
      <c r="N34" s="991"/>
      <c r="O34" s="639"/>
      <c r="P34" s="236"/>
      <c r="Q34" s="987"/>
    </row>
    <row r="35" spans="1:17" s="2" customFormat="1" ht="38.25" customHeight="1" x14ac:dyDescent="0.35">
      <c r="A35" s="1009"/>
      <c r="B35" s="5"/>
      <c r="C35" s="1055"/>
      <c r="D35" s="1077" t="s">
        <v>33</v>
      </c>
      <c r="E35" s="1463" t="s">
        <v>24</v>
      </c>
      <c r="F35" s="888" t="s">
        <v>264</v>
      </c>
      <c r="G35" s="353"/>
      <c r="H35" s="163" t="s">
        <v>14</v>
      </c>
      <c r="I35" s="567">
        <f>1799-20</f>
        <v>1779</v>
      </c>
      <c r="J35" s="707">
        <v>2027.7</v>
      </c>
      <c r="K35" s="708">
        <v>2027.7</v>
      </c>
      <c r="L35" s="679">
        <v>2027.7</v>
      </c>
      <c r="M35" s="1655" t="s">
        <v>25</v>
      </c>
      <c r="N35" s="1064">
        <v>5293</v>
      </c>
      <c r="O35" s="642">
        <v>5720</v>
      </c>
      <c r="P35" s="641">
        <v>5720</v>
      </c>
      <c r="Q35" s="950">
        <v>5720</v>
      </c>
    </row>
    <row r="36" spans="1:17" s="2" customFormat="1" ht="16.5" customHeight="1" x14ac:dyDescent="0.35">
      <c r="A36" s="1009"/>
      <c r="B36" s="5"/>
      <c r="C36" s="1055"/>
      <c r="D36" s="105"/>
      <c r="E36" s="1463"/>
      <c r="F36" s="1080" t="s">
        <v>265</v>
      </c>
      <c r="G36" s="353"/>
      <c r="H36" s="166" t="s">
        <v>20</v>
      </c>
      <c r="I36" s="582">
        <f t="shared" ref="I36:L36" si="3">+I35</f>
        <v>1779</v>
      </c>
      <c r="J36" s="7">
        <f t="shared" si="3"/>
        <v>2027.7</v>
      </c>
      <c r="K36" s="672">
        <f t="shared" si="3"/>
        <v>2027.7</v>
      </c>
      <c r="L36" s="177">
        <f t="shared" si="3"/>
        <v>2027.7</v>
      </c>
      <c r="M36" s="1655"/>
      <c r="N36" s="527">
        <v>841</v>
      </c>
      <c r="O36" s="12">
        <v>871</v>
      </c>
      <c r="P36" s="239">
        <v>871</v>
      </c>
      <c r="Q36" s="437">
        <v>871</v>
      </c>
    </row>
    <row r="37" spans="1:17" s="2" customFormat="1" ht="16.899999999999999" customHeight="1" x14ac:dyDescent="0.35">
      <c r="A37" s="1473"/>
      <c r="B37" s="1470"/>
      <c r="C37" s="1011"/>
      <c r="D37" s="108" t="s">
        <v>34</v>
      </c>
      <c r="E37" s="1464" t="s">
        <v>26</v>
      </c>
      <c r="F37" s="1079" t="s">
        <v>264</v>
      </c>
      <c r="G37" s="42"/>
      <c r="H37" s="499" t="s">
        <v>16</v>
      </c>
      <c r="I37" s="566">
        <v>423.8</v>
      </c>
      <c r="J37" s="709">
        <v>466.1</v>
      </c>
      <c r="K37" s="186">
        <v>466.1</v>
      </c>
      <c r="L37" s="409">
        <v>466.1</v>
      </c>
      <c r="M37" s="1434" t="s">
        <v>87</v>
      </c>
      <c r="N37" s="528">
        <v>5386</v>
      </c>
      <c r="O37" s="264">
        <v>5470</v>
      </c>
      <c r="P37" s="1068">
        <v>5470</v>
      </c>
      <c r="Q37" s="841">
        <v>5470</v>
      </c>
    </row>
    <row r="38" spans="1:17" s="2" customFormat="1" ht="16.899999999999999" customHeight="1" x14ac:dyDescent="0.35">
      <c r="A38" s="1473"/>
      <c r="B38" s="1470"/>
      <c r="C38" s="1011"/>
      <c r="D38" s="634"/>
      <c r="E38" s="1463"/>
      <c r="F38" s="888" t="s">
        <v>265</v>
      </c>
      <c r="G38" s="42"/>
      <c r="H38" s="150"/>
      <c r="I38" s="1083"/>
      <c r="J38" s="865"/>
      <c r="K38" s="866"/>
      <c r="L38" s="1084"/>
      <c r="M38" s="1590"/>
      <c r="N38" s="353"/>
      <c r="O38" s="900"/>
      <c r="P38" s="242"/>
      <c r="Q38" s="440"/>
    </row>
    <row r="39" spans="1:17" s="2" customFormat="1" ht="21" customHeight="1" x14ac:dyDescent="0.35">
      <c r="A39" s="1473"/>
      <c r="B39" s="1470"/>
      <c r="C39" s="1011"/>
      <c r="D39" s="106"/>
      <c r="E39" s="1465"/>
      <c r="F39" s="835"/>
      <c r="G39" s="42"/>
      <c r="H39" s="167" t="s">
        <v>20</v>
      </c>
      <c r="I39" s="594">
        <f>SUM(I37:I38)</f>
        <v>423.8</v>
      </c>
      <c r="J39" s="670">
        <f t="shared" ref="J39:L39" si="4">SUM(J37:J38)</f>
        <v>466.1</v>
      </c>
      <c r="K39" s="672">
        <f t="shared" si="4"/>
        <v>466.1</v>
      </c>
      <c r="L39" s="671">
        <f t="shared" si="4"/>
        <v>466.1</v>
      </c>
      <c r="M39" s="25"/>
      <c r="N39" s="529"/>
      <c r="O39" s="639"/>
      <c r="P39" s="236"/>
      <c r="Q39" s="441"/>
    </row>
    <row r="40" spans="1:17" s="1" customFormat="1" ht="17.25" customHeight="1" x14ac:dyDescent="0.35">
      <c r="A40" s="1473"/>
      <c r="B40" s="1470"/>
      <c r="C40" s="1011"/>
      <c r="D40" s="634" t="s">
        <v>48</v>
      </c>
      <c r="E40" s="1454" t="s">
        <v>135</v>
      </c>
      <c r="F40" s="1079" t="s">
        <v>264</v>
      </c>
      <c r="G40" s="42"/>
      <c r="H40" s="128" t="s">
        <v>14</v>
      </c>
      <c r="I40" s="595">
        <f>507.5+33</f>
        <v>540.5</v>
      </c>
      <c r="J40" s="867">
        <v>667.4</v>
      </c>
      <c r="K40" s="710"/>
      <c r="L40" s="410"/>
      <c r="M40" s="1442" t="s">
        <v>101</v>
      </c>
      <c r="N40" s="530">
        <v>108</v>
      </c>
      <c r="O40" s="139">
        <v>108</v>
      </c>
      <c r="P40" s="966"/>
      <c r="Q40" s="442"/>
    </row>
    <row r="41" spans="1:17" s="1" customFormat="1" ht="17.25" customHeight="1" x14ac:dyDescent="0.35">
      <c r="A41" s="1473"/>
      <c r="B41" s="1470"/>
      <c r="C41" s="1011"/>
      <c r="D41" s="634"/>
      <c r="E41" s="1486"/>
      <c r="F41" s="888" t="s">
        <v>265</v>
      </c>
      <c r="G41" s="42"/>
      <c r="H41" s="168" t="s">
        <v>16</v>
      </c>
      <c r="I41" s="576"/>
      <c r="J41" s="46">
        <v>124.8</v>
      </c>
      <c r="K41" s="183"/>
      <c r="L41" s="427"/>
      <c r="M41" s="1443"/>
      <c r="N41" s="530"/>
      <c r="O41" s="139"/>
      <c r="P41" s="966"/>
      <c r="Q41" s="442"/>
    </row>
    <row r="42" spans="1:17" s="1" customFormat="1" ht="17.25" customHeight="1" x14ac:dyDescent="0.35">
      <c r="A42" s="1473"/>
      <c r="B42" s="1470"/>
      <c r="C42" s="1011"/>
      <c r="D42" s="634"/>
      <c r="E42" s="1486"/>
      <c r="F42" s="389"/>
      <c r="G42" s="42"/>
      <c r="H42" s="73" t="s">
        <v>111</v>
      </c>
      <c r="I42" s="566">
        <v>256.10000000000002</v>
      </c>
      <c r="J42" s="705">
        <v>2.1</v>
      </c>
      <c r="K42" s="181"/>
      <c r="L42" s="409"/>
      <c r="M42" s="1443"/>
      <c r="N42" s="530"/>
      <c r="O42" s="139"/>
      <c r="P42" s="966"/>
      <c r="Q42" s="442"/>
    </row>
    <row r="43" spans="1:17" s="1" customFormat="1" ht="17.25" customHeight="1" x14ac:dyDescent="0.35">
      <c r="A43" s="1473"/>
      <c r="B43" s="1470"/>
      <c r="C43" s="1011"/>
      <c r="D43" s="634"/>
      <c r="E43" s="1486"/>
      <c r="F43" s="389"/>
      <c r="G43" s="42"/>
      <c r="H43" s="73" t="s">
        <v>116</v>
      </c>
      <c r="I43" s="566">
        <v>74</v>
      </c>
      <c r="J43" s="705">
        <v>50</v>
      </c>
      <c r="K43" s="181"/>
      <c r="L43" s="409"/>
      <c r="M43" s="1443"/>
      <c r="N43" s="530"/>
      <c r="O43" s="139"/>
      <c r="P43" s="966"/>
      <c r="Q43" s="442"/>
    </row>
    <row r="44" spans="1:17" s="1" customFormat="1" ht="17.25" customHeight="1" x14ac:dyDescent="0.35">
      <c r="A44" s="1009"/>
      <c r="B44" s="1010"/>
      <c r="C44" s="1011"/>
      <c r="D44" s="634"/>
      <c r="E44" s="1455"/>
      <c r="F44" s="726" t="s">
        <v>167</v>
      </c>
      <c r="G44" s="42"/>
      <c r="H44" s="166" t="s">
        <v>20</v>
      </c>
      <c r="I44" s="582">
        <f>SUM(I40:I43)</f>
        <v>870.6</v>
      </c>
      <c r="J44" s="670">
        <f t="shared" ref="J44:L44" si="5">SUM(J40:J43)</f>
        <v>844.3</v>
      </c>
      <c r="K44" s="672">
        <f t="shared" si="5"/>
        <v>0</v>
      </c>
      <c r="L44" s="177">
        <f t="shared" si="5"/>
        <v>0</v>
      </c>
      <c r="M44" s="1032"/>
      <c r="N44" s="353"/>
      <c r="O44" s="12"/>
      <c r="P44" s="239"/>
      <c r="Q44" s="440"/>
    </row>
    <row r="45" spans="1:17" s="1" customFormat="1" ht="27" customHeight="1" x14ac:dyDescent="0.35">
      <c r="A45" s="1009"/>
      <c r="B45" s="1010"/>
      <c r="C45" s="1011"/>
      <c r="D45" s="108" t="s">
        <v>49</v>
      </c>
      <c r="E45" s="1463" t="s">
        <v>138</v>
      </c>
      <c r="F45" s="888" t="s">
        <v>167</v>
      </c>
      <c r="G45" s="42"/>
      <c r="H45" s="128" t="s">
        <v>206</v>
      </c>
      <c r="I45" s="568">
        <f>97.4+4-24</f>
        <v>77.400000000000006</v>
      </c>
      <c r="J45" s="896">
        <v>101.8</v>
      </c>
      <c r="K45" s="710">
        <v>101.8</v>
      </c>
      <c r="L45" s="673">
        <v>101.8</v>
      </c>
      <c r="M45" s="157" t="s">
        <v>146</v>
      </c>
      <c r="N45" s="531">
        <v>12</v>
      </c>
      <c r="O45" s="136">
        <v>11</v>
      </c>
      <c r="P45" s="241">
        <v>11</v>
      </c>
      <c r="Q45" s="443">
        <v>11</v>
      </c>
    </row>
    <row r="46" spans="1:17" s="1" customFormat="1" ht="17.25" customHeight="1" x14ac:dyDescent="0.35">
      <c r="A46" s="1009"/>
      <c r="B46" s="1010"/>
      <c r="C46" s="1011"/>
      <c r="D46" s="634"/>
      <c r="E46" s="1463"/>
      <c r="F46" s="888" t="s">
        <v>264</v>
      </c>
      <c r="G46" s="42"/>
      <c r="H46" s="128" t="s">
        <v>16</v>
      </c>
      <c r="I46" s="568">
        <v>2.7</v>
      </c>
      <c r="J46" s="21"/>
      <c r="K46" s="182"/>
      <c r="L46" s="673"/>
      <c r="M46" s="1598" t="s">
        <v>169</v>
      </c>
      <c r="N46" s="1727">
        <v>10</v>
      </c>
      <c r="O46" s="264"/>
      <c r="P46" s="1068"/>
      <c r="Q46" s="1792"/>
    </row>
    <row r="47" spans="1:17" s="1" customFormat="1" ht="17.25" customHeight="1" x14ac:dyDescent="0.35">
      <c r="A47" s="1009"/>
      <c r="B47" s="1010"/>
      <c r="C47" s="1011"/>
      <c r="D47" s="634"/>
      <c r="E47" s="1463"/>
      <c r="F47" s="888" t="s">
        <v>265</v>
      </c>
      <c r="G47" s="42"/>
      <c r="H47" s="128" t="s">
        <v>109</v>
      </c>
      <c r="I47" s="568">
        <v>6.3</v>
      </c>
      <c r="J47" s="21"/>
      <c r="K47" s="182"/>
      <c r="L47" s="673"/>
      <c r="M47" s="1599"/>
      <c r="N47" s="1730"/>
      <c r="O47" s="900"/>
      <c r="P47" s="242"/>
      <c r="Q47" s="1585"/>
    </row>
    <row r="48" spans="1:17" s="1" customFormat="1" ht="15" customHeight="1" x14ac:dyDescent="0.35">
      <c r="A48" s="1009"/>
      <c r="B48" s="1010"/>
      <c r="C48" s="1011"/>
      <c r="D48" s="634"/>
      <c r="E48" s="1463"/>
      <c r="F48" s="389"/>
      <c r="G48" s="42"/>
      <c r="H48" s="128" t="s">
        <v>206</v>
      </c>
      <c r="I48" s="568">
        <v>48.2</v>
      </c>
      <c r="J48" s="46">
        <v>60</v>
      </c>
      <c r="K48" s="183">
        <v>60</v>
      </c>
      <c r="L48" s="673">
        <v>60</v>
      </c>
      <c r="M48" s="1599"/>
      <c r="N48" s="1730"/>
      <c r="O48" s="900"/>
      <c r="P48" s="242"/>
      <c r="Q48" s="1585"/>
    </row>
    <row r="49" spans="1:17" s="1" customFormat="1" ht="15.75" customHeight="1" x14ac:dyDescent="0.35">
      <c r="A49" s="1009"/>
      <c r="B49" s="1010"/>
      <c r="C49" s="1011"/>
      <c r="D49" s="106"/>
      <c r="E49" s="1465"/>
      <c r="F49" s="835"/>
      <c r="G49" s="42"/>
      <c r="H49" s="166" t="s">
        <v>20</v>
      </c>
      <c r="I49" s="596">
        <f>SUM(I45:I48)</f>
        <v>134.60000000000002</v>
      </c>
      <c r="J49" s="677">
        <f t="shared" ref="J49:L49" si="6">SUM(J45:J48)</f>
        <v>161.80000000000001</v>
      </c>
      <c r="K49" s="678">
        <f t="shared" si="6"/>
        <v>161.80000000000001</v>
      </c>
      <c r="L49" s="674">
        <f t="shared" si="6"/>
        <v>161.80000000000001</v>
      </c>
      <c r="M49" s="1662"/>
      <c r="N49" s="1731"/>
      <c r="O49" s="137"/>
      <c r="P49" s="564"/>
      <c r="Q49" s="1793"/>
    </row>
    <row r="50" spans="1:17" s="1" customFormat="1" ht="77.25" customHeight="1" x14ac:dyDescent="0.35">
      <c r="A50" s="1009"/>
      <c r="B50" s="1010"/>
      <c r="C50" s="1011"/>
      <c r="D50" s="871" t="s">
        <v>80</v>
      </c>
      <c r="E50" s="498" t="s">
        <v>237</v>
      </c>
      <c r="F50" s="727" t="s">
        <v>264</v>
      </c>
      <c r="G50" s="501"/>
      <c r="H50" s="500"/>
      <c r="I50" s="597"/>
      <c r="J50" s="711"/>
      <c r="K50" s="712"/>
      <c r="L50" s="675"/>
      <c r="M50" s="157" t="s">
        <v>118</v>
      </c>
      <c r="N50" s="532">
        <v>2800</v>
      </c>
      <c r="O50" s="136">
        <v>3200</v>
      </c>
      <c r="P50" s="241">
        <v>3200</v>
      </c>
      <c r="Q50" s="473">
        <v>3200</v>
      </c>
    </row>
    <row r="51" spans="1:17" s="1" customFormat="1" ht="42.75" customHeight="1" x14ac:dyDescent="0.35">
      <c r="A51" s="1009"/>
      <c r="B51" s="1010"/>
      <c r="C51" s="1011"/>
      <c r="D51" s="634" t="s">
        <v>284</v>
      </c>
      <c r="E51" s="172" t="s">
        <v>186</v>
      </c>
      <c r="F51" s="496"/>
      <c r="G51" s="502" t="s">
        <v>187</v>
      </c>
      <c r="H51" s="497"/>
      <c r="I51" s="598"/>
      <c r="J51" s="713"/>
      <c r="K51" s="714"/>
      <c r="L51" s="676"/>
      <c r="M51" s="158" t="s">
        <v>188</v>
      </c>
      <c r="N51" s="1057">
        <v>1</v>
      </c>
      <c r="O51" s="900"/>
      <c r="P51" s="242"/>
      <c r="Q51" s="477"/>
    </row>
    <row r="52" spans="1:17" s="1" customFormat="1" ht="19.5" customHeight="1" thickBot="1" x14ac:dyDescent="0.4">
      <c r="A52" s="1013"/>
      <c r="B52" s="1015"/>
      <c r="C52" s="1053"/>
      <c r="D52" s="1041"/>
      <c r="E52" s="387"/>
      <c r="F52" s="1501" t="s">
        <v>27</v>
      </c>
      <c r="G52" s="1502"/>
      <c r="H52" s="1794"/>
      <c r="I52" s="100">
        <f>I44+I39+I36+I34+I32+I24+I49</f>
        <v>12661.199999999999</v>
      </c>
      <c r="J52" s="9">
        <f t="shared" ref="J52:L52" si="7">J44+J39+J36+J34+J32+J24+J49</f>
        <v>13728.699999999999</v>
      </c>
      <c r="K52" s="187">
        <f t="shared" si="7"/>
        <v>12884.399999999998</v>
      </c>
      <c r="L52" s="176">
        <f t="shared" si="7"/>
        <v>12884.399999999998</v>
      </c>
      <c r="M52" s="159"/>
      <c r="N52" s="533"/>
      <c r="O52" s="643"/>
      <c r="P52" s="1069"/>
      <c r="Q52" s="493"/>
    </row>
    <row r="53" spans="1:17" s="2" customFormat="1" ht="73.5" customHeight="1" x14ac:dyDescent="0.35">
      <c r="A53" s="1473" t="s">
        <v>10</v>
      </c>
      <c r="B53" s="1470" t="s">
        <v>10</v>
      </c>
      <c r="C53" s="1505" t="s">
        <v>28</v>
      </c>
      <c r="D53" s="105"/>
      <c r="E53" s="1463" t="s">
        <v>29</v>
      </c>
      <c r="F53" s="1507" t="s">
        <v>264</v>
      </c>
      <c r="G53" s="366" t="s">
        <v>172</v>
      </c>
      <c r="H53" s="66" t="s">
        <v>30</v>
      </c>
      <c r="I53" s="599">
        <f>8714.7-260</f>
        <v>8454.7000000000007</v>
      </c>
      <c r="J53" s="338">
        <v>8880.5</v>
      </c>
      <c r="K53" s="708">
        <v>8880.5</v>
      </c>
      <c r="L53" s="305">
        <v>8880.5</v>
      </c>
      <c r="M53" s="67" t="s">
        <v>147</v>
      </c>
      <c r="N53" s="526">
        <v>4255</v>
      </c>
      <c r="O53" s="12">
        <v>4124</v>
      </c>
      <c r="P53" s="239">
        <v>4124</v>
      </c>
      <c r="Q53" s="434">
        <v>4124</v>
      </c>
    </row>
    <row r="54" spans="1:17" s="2" customFormat="1" ht="16.5" customHeight="1" thickBot="1" x14ac:dyDescent="0.4">
      <c r="A54" s="1474"/>
      <c r="B54" s="1471"/>
      <c r="C54" s="1506"/>
      <c r="D54" s="107"/>
      <c r="E54" s="1504"/>
      <c r="F54" s="1508"/>
      <c r="G54" s="117"/>
      <c r="H54" s="49" t="s">
        <v>20</v>
      </c>
      <c r="I54" s="100">
        <f t="shared" ref="I54:L54" si="8">+I53</f>
        <v>8454.7000000000007</v>
      </c>
      <c r="J54" s="9">
        <f t="shared" si="8"/>
        <v>8880.5</v>
      </c>
      <c r="K54" s="187">
        <f t="shared" si="8"/>
        <v>8880.5</v>
      </c>
      <c r="L54" s="176">
        <f t="shared" si="8"/>
        <v>8880.5</v>
      </c>
      <c r="M54" s="26"/>
      <c r="N54" s="534"/>
      <c r="O54" s="11"/>
      <c r="P54" s="510"/>
      <c r="Q54" s="444"/>
    </row>
    <row r="55" spans="1:17" s="2" customFormat="1" ht="27" customHeight="1" x14ac:dyDescent="0.35">
      <c r="A55" s="1012" t="s">
        <v>10</v>
      </c>
      <c r="B55" s="4" t="s">
        <v>10</v>
      </c>
      <c r="C55" s="103" t="s">
        <v>31</v>
      </c>
      <c r="D55" s="104"/>
      <c r="E55" s="1503" t="s">
        <v>32</v>
      </c>
      <c r="F55" s="1058" t="s">
        <v>264</v>
      </c>
      <c r="G55" s="1745" t="s">
        <v>172</v>
      </c>
      <c r="H55" s="39" t="s">
        <v>30</v>
      </c>
      <c r="I55" s="599">
        <f>26167.7+2739</f>
        <v>28906.7</v>
      </c>
      <c r="J55" s="715">
        <v>31200.2</v>
      </c>
      <c r="K55" s="716">
        <v>31200.2</v>
      </c>
      <c r="L55" s="305">
        <v>31200.2</v>
      </c>
      <c r="M55" s="1789" t="s">
        <v>147</v>
      </c>
      <c r="N55" s="526">
        <v>32400</v>
      </c>
      <c r="O55" s="13">
        <v>32400</v>
      </c>
      <c r="P55" s="509">
        <v>32400</v>
      </c>
      <c r="Q55" s="434">
        <v>32400</v>
      </c>
    </row>
    <row r="56" spans="1:17" s="2" customFormat="1" ht="16.5" customHeight="1" thickBot="1" x14ac:dyDescent="0.4">
      <c r="A56" s="1013"/>
      <c r="B56" s="10"/>
      <c r="C56" s="1056"/>
      <c r="D56" s="107"/>
      <c r="E56" s="1504"/>
      <c r="F56" s="510"/>
      <c r="G56" s="1753"/>
      <c r="H56" s="49" t="s">
        <v>20</v>
      </c>
      <c r="I56" s="582">
        <f t="shared" ref="I56:L56" si="9">+I55</f>
        <v>28906.7</v>
      </c>
      <c r="J56" s="7">
        <f t="shared" si="9"/>
        <v>31200.2</v>
      </c>
      <c r="K56" s="184">
        <f t="shared" si="9"/>
        <v>31200.2</v>
      </c>
      <c r="L56" s="177">
        <f t="shared" si="9"/>
        <v>31200.2</v>
      </c>
      <c r="M56" s="1790"/>
      <c r="N56" s="535"/>
      <c r="O56" s="644"/>
      <c r="P56" s="645"/>
      <c r="Q56" s="445"/>
    </row>
    <row r="57" spans="1:17" s="1" customFormat="1" ht="25.15" customHeight="1" x14ac:dyDescent="0.35">
      <c r="A57" s="1472" t="s">
        <v>10</v>
      </c>
      <c r="B57" s="1481" t="s">
        <v>10</v>
      </c>
      <c r="C57" s="1483" t="s">
        <v>33</v>
      </c>
      <c r="D57" s="1040"/>
      <c r="E57" s="1503" t="s">
        <v>113</v>
      </c>
      <c r="F57" s="1058" t="s">
        <v>264</v>
      </c>
      <c r="G57" s="1745" t="s">
        <v>172</v>
      </c>
      <c r="H57" s="55" t="s">
        <v>16</v>
      </c>
      <c r="I57" s="600">
        <f>126.4+110.1</f>
        <v>236.5</v>
      </c>
      <c r="J57" s="717">
        <v>347.4</v>
      </c>
      <c r="K57" s="718">
        <v>347.4</v>
      </c>
      <c r="L57" s="305">
        <v>347.4</v>
      </c>
      <c r="M57" s="1791" t="s">
        <v>114</v>
      </c>
      <c r="N57" s="526">
        <v>780</v>
      </c>
      <c r="O57" s="13">
        <v>780</v>
      </c>
      <c r="P57" s="509">
        <v>780</v>
      </c>
      <c r="Q57" s="434">
        <v>780</v>
      </c>
    </row>
    <row r="58" spans="1:17" s="1" customFormat="1" ht="36.75" customHeight="1" x14ac:dyDescent="0.35">
      <c r="A58" s="1473"/>
      <c r="B58" s="1470"/>
      <c r="C58" s="1469"/>
      <c r="D58" s="634"/>
      <c r="E58" s="1463"/>
      <c r="F58" s="239"/>
      <c r="G58" s="1746"/>
      <c r="H58" s="47" t="s">
        <v>206</v>
      </c>
      <c r="I58" s="581">
        <f>859.6-110.1</f>
        <v>749.5</v>
      </c>
      <c r="J58" s="719">
        <v>638.6</v>
      </c>
      <c r="K58" s="720">
        <v>638.6</v>
      </c>
      <c r="L58" s="679">
        <v>638.6</v>
      </c>
      <c r="M58" s="1655"/>
      <c r="N58" s="1064"/>
      <c r="O58" s="12"/>
      <c r="P58" s="239"/>
      <c r="Q58" s="950"/>
    </row>
    <row r="59" spans="1:17" s="2" customFormat="1" ht="16.5" customHeight="1" thickBot="1" x14ac:dyDescent="0.4">
      <c r="A59" s="1474"/>
      <c r="B59" s="1471"/>
      <c r="C59" s="1484"/>
      <c r="D59" s="1041"/>
      <c r="E59" s="1504"/>
      <c r="F59" s="510"/>
      <c r="G59" s="1753"/>
      <c r="H59" s="49" t="s">
        <v>20</v>
      </c>
      <c r="I59" s="100">
        <f>SUM(I57:I58)</f>
        <v>986</v>
      </c>
      <c r="J59" s="9">
        <f t="shared" ref="J59:L59" si="10">SUM(J57:J58)</f>
        <v>986</v>
      </c>
      <c r="K59" s="187">
        <f t="shared" si="10"/>
        <v>986</v>
      </c>
      <c r="L59" s="176">
        <f t="shared" si="10"/>
        <v>986</v>
      </c>
      <c r="M59" s="1656"/>
      <c r="N59" s="346"/>
      <c r="O59" s="11"/>
      <c r="P59" s="510"/>
      <c r="Q59" s="446"/>
    </row>
    <row r="60" spans="1:17" s="1" customFormat="1" ht="29.25" customHeight="1" x14ac:dyDescent="0.35">
      <c r="A60" s="1472" t="s">
        <v>10</v>
      </c>
      <c r="B60" s="1481" t="s">
        <v>10</v>
      </c>
      <c r="C60" s="1483" t="s">
        <v>34</v>
      </c>
      <c r="D60" s="1040"/>
      <c r="E60" s="1503" t="s">
        <v>128</v>
      </c>
      <c r="F60" s="1058" t="s">
        <v>264</v>
      </c>
      <c r="G60" s="1022" t="s">
        <v>172</v>
      </c>
      <c r="H60" s="77" t="s">
        <v>14</v>
      </c>
      <c r="I60" s="589">
        <f>261.5</f>
        <v>261.5</v>
      </c>
      <c r="J60" s="721">
        <v>302.2</v>
      </c>
      <c r="K60" s="722">
        <v>302.2</v>
      </c>
      <c r="L60" s="178">
        <v>302.2</v>
      </c>
      <c r="M60" s="344" t="s">
        <v>127</v>
      </c>
      <c r="N60" s="1043">
        <v>120</v>
      </c>
      <c r="O60" s="646">
        <v>100</v>
      </c>
      <c r="P60" s="1044">
        <v>100</v>
      </c>
      <c r="Q60" s="1046">
        <v>100</v>
      </c>
    </row>
    <row r="61" spans="1:17" s="1" customFormat="1" ht="39.65" customHeight="1" x14ac:dyDescent="0.35">
      <c r="A61" s="1473"/>
      <c r="B61" s="1470"/>
      <c r="C61" s="1469"/>
      <c r="D61" s="634"/>
      <c r="E61" s="1463"/>
      <c r="F61" s="239"/>
      <c r="G61" s="1061"/>
      <c r="H61" s="78"/>
      <c r="I61" s="601"/>
      <c r="J61" s="723"/>
      <c r="K61" s="724"/>
      <c r="L61" s="179"/>
      <c r="M61" s="261" t="s">
        <v>209</v>
      </c>
      <c r="N61" s="1019">
        <v>50</v>
      </c>
      <c r="O61" s="647">
        <v>50</v>
      </c>
      <c r="P61" s="1036">
        <v>50</v>
      </c>
      <c r="Q61" s="1034">
        <v>50</v>
      </c>
    </row>
    <row r="62" spans="1:17" s="1" customFormat="1" ht="26.65" customHeight="1" x14ac:dyDescent="0.35">
      <c r="A62" s="1473"/>
      <c r="B62" s="1470"/>
      <c r="C62" s="1469"/>
      <c r="D62" s="634"/>
      <c r="E62" s="1463"/>
      <c r="F62" s="239"/>
      <c r="G62" s="1004" t="s">
        <v>187</v>
      </c>
      <c r="H62" s="173"/>
      <c r="I62" s="590"/>
      <c r="J62" s="709"/>
      <c r="K62" s="186"/>
      <c r="L62" s="207"/>
      <c r="M62" s="261" t="s">
        <v>232</v>
      </c>
      <c r="N62" s="1019">
        <v>1</v>
      </c>
      <c r="O62" s="647"/>
      <c r="P62" s="1036"/>
      <c r="Q62" s="1034"/>
    </row>
    <row r="63" spans="1:17" s="2" customFormat="1" ht="16.5" customHeight="1" thickBot="1" x14ac:dyDescent="0.4">
      <c r="A63" s="1474"/>
      <c r="B63" s="1471"/>
      <c r="C63" s="1484"/>
      <c r="D63" s="1041"/>
      <c r="E63" s="1504"/>
      <c r="F63" s="510"/>
      <c r="G63" s="351"/>
      <c r="H63" s="49" t="s">
        <v>20</v>
      </c>
      <c r="I63" s="100">
        <f>+I60+I61+I62</f>
        <v>261.5</v>
      </c>
      <c r="J63" s="9">
        <f t="shared" ref="J63:L63" si="11">+J60+J61+J62</f>
        <v>302.2</v>
      </c>
      <c r="K63" s="187">
        <f t="shared" si="11"/>
        <v>302.2</v>
      </c>
      <c r="L63" s="176">
        <f t="shared" si="11"/>
        <v>302.2</v>
      </c>
      <c r="M63" s="330"/>
      <c r="N63" s="536"/>
      <c r="O63" s="648"/>
      <c r="P63" s="1045"/>
      <c r="Q63" s="449"/>
    </row>
    <row r="64" spans="1:17" s="1" customFormat="1" ht="30.75" customHeight="1" x14ac:dyDescent="0.35">
      <c r="A64" s="1472" t="s">
        <v>10</v>
      </c>
      <c r="B64" s="1481" t="s">
        <v>10</v>
      </c>
      <c r="C64" s="1583" t="s">
        <v>48</v>
      </c>
      <c r="D64" s="1787"/>
      <c r="E64" s="1485" t="s">
        <v>207</v>
      </c>
      <c r="F64" s="1573" t="s">
        <v>264</v>
      </c>
      <c r="G64" s="1745" t="s">
        <v>172</v>
      </c>
      <c r="H64" s="845" t="s">
        <v>14</v>
      </c>
      <c r="I64" s="600">
        <v>50.4</v>
      </c>
      <c r="J64" s="846">
        <v>57.9</v>
      </c>
      <c r="K64" s="847">
        <v>57.9</v>
      </c>
      <c r="L64" s="300">
        <v>57.9</v>
      </c>
      <c r="M64" s="1575" t="s">
        <v>208</v>
      </c>
      <c r="N64" s="1784">
        <v>3</v>
      </c>
      <c r="O64" s="1785">
        <v>3</v>
      </c>
      <c r="P64" s="1579">
        <v>3</v>
      </c>
      <c r="Q64" s="1581">
        <v>3</v>
      </c>
    </row>
    <row r="65" spans="1:20" s="1" customFormat="1" ht="13.5" thickBot="1" x14ac:dyDescent="0.4">
      <c r="A65" s="1474"/>
      <c r="B65" s="1471"/>
      <c r="C65" s="1584"/>
      <c r="D65" s="1788"/>
      <c r="E65" s="1487"/>
      <c r="F65" s="1574"/>
      <c r="G65" s="1753"/>
      <c r="H65" s="849" t="s">
        <v>20</v>
      </c>
      <c r="I65" s="850">
        <f>I64</f>
        <v>50.4</v>
      </c>
      <c r="J65" s="851">
        <f>J64</f>
        <v>57.9</v>
      </c>
      <c r="K65" s="852">
        <f>K64</f>
        <v>57.9</v>
      </c>
      <c r="L65" s="853">
        <f>L64</f>
        <v>57.9</v>
      </c>
      <c r="M65" s="1429"/>
      <c r="N65" s="1752"/>
      <c r="O65" s="1786"/>
      <c r="P65" s="1580"/>
      <c r="Q65" s="1582"/>
    </row>
    <row r="66" spans="1:20" s="1" customFormat="1" ht="27" customHeight="1" x14ac:dyDescent="0.35">
      <c r="A66" s="1472" t="s">
        <v>10</v>
      </c>
      <c r="B66" s="1481" t="s">
        <v>10</v>
      </c>
      <c r="C66" s="1583" t="s">
        <v>49</v>
      </c>
      <c r="D66" s="1040"/>
      <c r="E66" s="1485" t="s">
        <v>259</v>
      </c>
      <c r="F66" s="848" t="s">
        <v>264</v>
      </c>
      <c r="G66" s="1745" t="s">
        <v>172</v>
      </c>
      <c r="H66" s="77" t="s">
        <v>30</v>
      </c>
      <c r="I66" s="589">
        <v>75.8</v>
      </c>
      <c r="J66" s="721">
        <v>341.1</v>
      </c>
      <c r="K66" s="722">
        <v>341.1</v>
      </c>
      <c r="L66" s="178">
        <v>341.1</v>
      </c>
      <c r="M66" s="1575" t="s">
        <v>260</v>
      </c>
      <c r="N66" s="1043">
        <v>30</v>
      </c>
      <c r="O66" s="646">
        <v>44</v>
      </c>
      <c r="P66" s="1044">
        <v>44</v>
      </c>
      <c r="Q66" s="1046">
        <v>44</v>
      </c>
    </row>
    <row r="67" spans="1:20" s="2" customFormat="1" ht="16.5" customHeight="1" thickBot="1" x14ac:dyDescent="0.4">
      <c r="A67" s="1474"/>
      <c r="B67" s="1471"/>
      <c r="C67" s="1584"/>
      <c r="D67" s="1041"/>
      <c r="E67" s="1487"/>
      <c r="F67" s="889" t="s">
        <v>265</v>
      </c>
      <c r="G67" s="1753"/>
      <c r="H67" s="49" t="s">
        <v>20</v>
      </c>
      <c r="I67" s="100">
        <f>I66</f>
        <v>75.8</v>
      </c>
      <c r="J67" s="9">
        <f>J66</f>
        <v>341.1</v>
      </c>
      <c r="K67" s="187">
        <f>K66</f>
        <v>341.1</v>
      </c>
      <c r="L67" s="176">
        <f>L66</f>
        <v>341.1</v>
      </c>
      <c r="M67" s="1429"/>
      <c r="N67" s="1018"/>
      <c r="O67" s="648"/>
      <c r="P67" s="1045"/>
      <c r="Q67" s="1047"/>
    </row>
    <row r="68" spans="1:20" s="1" customFormat="1" ht="16.5" customHeight="1" thickBot="1" x14ac:dyDescent="0.4">
      <c r="A68" s="1013" t="s">
        <v>10</v>
      </c>
      <c r="B68" s="1015" t="s">
        <v>10</v>
      </c>
      <c r="C68" s="1567" t="s">
        <v>35</v>
      </c>
      <c r="D68" s="1567"/>
      <c r="E68" s="1568"/>
      <c r="F68" s="1568"/>
      <c r="G68" s="1569"/>
      <c r="H68" s="1569"/>
      <c r="I68" s="412">
        <f>I59+I56+I54+I52+I63+I67+I65</f>
        <v>51396.3</v>
      </c>
      <c r="J68" s="725">
        <f>J59+J56+J54+J52+J63+J67+J65</f>
        <v>55496.599999999991</v>
      </c>
      <c r="K68" s="217">
        <f>K59+K56+K54+K52+K63+K67+K65</f>
        <v>54652.299999999988</v>
      </c>
      <c r="L68" s="685">
        <f>L59+L56+L54+L52+L63+L67+L65</f>
        <v>54652.299999999988</v>
      </c>
      <c r="M68" s="1600"/>
      <c r="N68" s="1601"/>
      <c r="O68" s="1601"/>
      <c r="P68" s="1601"/>
      <c r="Q68" s="1602"/>
    </row>
    <row r="69" spans="1:20" s="1" customFormat="1" ht="16.5" customHeight="1" thickBot="1" x14ac:dyDescent="0.4">
      <c r="A69" s="58" t="s">
        <v>10</v>
      </c>
      <c r="B69" s="3" t="s">
        <v>28</v>
      </c>
      <c r="C69" s="1570" t="s">
        <v>36</v>
      </c>
      <c r="D69" s="1570"/>
      <c r="E69" s="1570"/>
      <c r="F69" s="1570"/>
      <c r="G69" s="1571"/>
      <c r="H69" s="1571"/>
      <c r="I69" s="1571"/>
      <c r="J69" s="1571"/>
      <c r="K69" s="1571"/>
      <c r="L69" s="1571"/>
      <c r="M69" s="1570"/>
      <c r="N69" s="1570"/>
      <c r="O69" s="1570"/>
      <c r="P69" s="1570"/>
      <c r="Q69" s="1572"/>
    </row>
    <row r="70" spans="1:20" s="2" customFormat="1" ht="15" customHeight="1" x14ac:dyDescent="0.35">
      <c r="A70" s="1012" t="s">
        <v>10</v>
      </c>
      <c r="B70" s="1014" t="s">
        <v>28</v>
      </c>
      <c r="C70" s="1089" t="s">
        <v>10</v>
      </c>
      <c r="D70" s="109"/>
      <c r="E70" s="1566" t="s">
        <v>37</v>
      </c>
      <c r="F70" s="1781" t="s">
        <v>264</v>
      </c>
      <c r="G70" s="1783" t="s">
        <v>234</v>
      </c>
      <c r="H70" s="127"/>
      <c r="I70" s="602"/>
      <c r="J70" s="127"/>
      <c r="K70" s="559"/>
      <c r="L70" s="413"/>
      <c r="M70" s="315"/>
      <c r="N70" s="537"/>
      <c r="O70" s="79"/>
      <c r="P70" s="562"/>
      <c r="Q70" s="451"/>
    </row>
    <row r="71" spans="1:20" s="2" customFormat="1" ht="15" customHeight="1" x14ac:dyDescent="0.35">
      <c r="A71" s="1009"/>
      <c r="B71" s="1010"/>
      <c r="C71" s="1090"/>
      <c r="D71" s="481"/>
      <c r="E71" s="1562"/>
      <c r="F71" s="1782"/>
      <c r="G71" s="1730"/>
      <c r="H71" s="168"/>
      <c r="I71" s="591"/>
      <c r="J71" s="735"/>
      <c r="K71" s="736"/>
      <c r="L71" s="737"/>
      <c r="M71" s="316"/>
      <c r="N71" s="538"/>
      <c r="O71" s="296"/>
      <c r="P71" s="242"/>
      <c r="Q71" s="452"/>
    </row>
    <row r="72" spans="1:20" s="2" customFormat="1" ht="16.899999999999999" customHeight="1" x14ac:dyDescent="0.35">
      <c r="A72" s="1009"/>
      <c r="B72" s="1010"/>
      <c r="C72" s="1011"/>
      <c r="D72" s="108" t="s">
        <v>10</v>
      </c>
      <c r="E72" s="1598" t="s">
        <v>222</v>
      </c>
      <c r="F72" s="1782"/>
      <c r="G72" s="1730"/>
      <c r="H72" s="76" t="s">
        <v>16</v>
      </c>
      <c r="I72" s="590">
        <v>287</v>
      </c>
      <c r="J72" s="738">
        <v>524.4</v>
      </c>
      <c r="K72" s="739">
        <v>524.4</v>
      </c>
      <c r="L72" s="415">
        <v>524.4</v>
      </c>
      <c r="M72" s="1442" t="s">
        <v>78</v>
      </c>
      <c r="N72" s="1716">
        <v>82</v>
      </c>
      <c r="O72" s="1445">
        <v>82</v>
      </c>
      <c r="P72" s="1448">
        <v>82</v>
      </c>
      <c r="Q72" s="1440">
        <v>82</v>
      </c>
    </row>
    <row r="73" spans="1:20" s="2" customFormat="1" ht="16.899999999999999" customHeight="1" x14ac:dyDescent="0.35">
      <c r="A73" s="1009"/>
      <c r="B73" s="1010"/>
      <c r="C73" s="1011"/>
      <c r="D73" s="634"/>
      <c r="E73" s="1599"/>
      <c r="F73" s="1782"/>
      <c r="G73" s="1730"/>
      <c r="H73" s="76" t="s">
        <v>206</v>
      </c>
      <c r="I73" s="590">
        <f>188.4-10.6</f>
        <v>177.8</v>
      </c>
      <c r="J73" s="738">
        <v>56.2</v>
      </c>
      <c r="K73" s="739">
        <v>56.2</v>
      </c>
      <c r="L73" s="415">
        <v>56.2</v>
      </c>
      <c r="M73" s="1444"/>
      <c r="N73" s="1718"/>
      <c r="O73" s="1447"/>
      <c r="P73" s="1450"/>
      <c r="Q73" s="1441"/>
    </row>
    <row r="74" spans="1:20" s="2" customFormat="1" ht="16.899999999999999" customHeight="1" x14ac:dyDescent="0.35">
      <c r="A74" s="1009"/>
      <c r="B74" s="1010"/>
      <c r="C74" s="1011"/>
      <c r="D74" s="634"/>
      <c r="E74" s="1599"/>
      <c r="F74" s="1782"/>
      <c r="G74" s="1730"/>
      <c r="H74" s="76"/>
      <c r="I74" s="590"/>
      <c r="J74" s="738"/>
      <c r="K74" s="739"/>
      <c r="L74" s="415"/>
      <c r="M74" s="71" t="s">
        <v>184</v>
      </c>
      <c r="N74" s="527">
        <v>1</v>
      </c>
      <c r="O74" s="939"/>
      <c r="P74" s="223"/>
      <c r="Q74" s="437"/>
      <c r="R74" s="1691"/>
      <c r="S74" s="1692"/>
      <c r="T74" s="1692"/>
    </row>
    <row r="75" spans="1:20" s="2" customFormat="1" ht="16.899999999999999" customHeight="1" x14ac:dyDescent="0.35">
      <c r="A75" s="1009"/>
      <c r="B75" s="1010"/>
      <c r="C75" s="1011"/>
      <c r="D75" s="634"/>
      <c r="E75" s="1599"/>
      <c r="F75" s="1782"/>
      <c r="G75" s="1730"/>
      <c r="H75" s="70" t="s">
        <v>38</v>
      </c>
      <c r="I75" s="581">
        <v>405</v>
      </c>
      <c r="J75" s="951">
        <v>440</v>
      </c>
      <c r="K75" s="952">
        <v>442</v>
      </c>
      <c r="L75" s="949">
        <v>444</v>
      </c>
      <c r="M75" s="172"/>
      <c r="N75" s="1064"/>
      <c r="O75" s="27"/>
      <c r="P75" s="966"/>
      <c r="Q75" s="950"/>
      <c r="R75" s="1691"/>
      <c r="S75" s="1692"/>
      <c r="T75" s="1692"/>
    </row>
    <row r="76" spans="1:20" s="2" customFormat="1" ht="18" customHeight="1" x14ac:dyDescent="0.35">
      <c r="A76" s="1009"/>
      <c r="B76" s="1010"/>
      <c r="C76" s="1011"/>
      <c r="D76" s="634"/>
      <c r="E76" s="1599"/>
      <c r="F76" s="1782"/>
      <c r="G76" s="1730" t="s">
        <v>235</v>
      </c>
      <c r="H76" s="70" t="s">
        <v>79</v>
      </c>
      <c r="I76" s="593">
        <v>100.5</v>
      </c>
      <c r="J76" s="740">
        <v>62.7</v>
      </c>
      <c r="K76" s="741"/>
      <c r="L76" s="414"/>
      <c r="M76" s="348"/>
      <c r="N76" s="991"/>
      <c r="O76" s="138"/>
      <c r="P76" s="1028"/>
      <c r="Q76" s="987"/>
    </row>
    <row r="77" spans="1:20" s="2" customFormat="1" ht="40.5" customHeight="1" x14ac:dyDescent="0.35">
      <c r="A77" s="1009"/>
      <c r="B77" s="1010"/>
      <c r="C77" s="1011"/>
      <c r="D77" s="634"/>
      <c r="E77" s="998"/>
      <c r="F77" s="888" t="s">
        <v>265</v>
      </c>
      <c r="G77" s="1730"/>
      <c r="H77" s="128" t="s">
        <v>14</v>
      </c>
      <c r="I77" s="593">
        <v>12.5</v>
      </c>
      <c r="J77" s="740">
        <v>0.4</v>
      </c>
      <c r="K77" s="741"/>
      <c r="L77" s="414"/>
      <c r="M77" s="323" t="s">
        <v>261</v>
      </c>
      <c r="N77" s="1064">
        <v>20</v>
      </c>
      <c r="O77" s="27">
        <v>4</v>
      </c>
      <c r="P77" s="966"/>
      <c r="Q77" s="950"/>
    </row>
    <row r="78" spans="1:20" s="2" customFormat="1" ht="15.65" customHeight="1" x14ac:dyDescent="0.35">
      <c r="A78" s="1009"/>
      <c r="B78" s="1010"/>
      <c r="C78" s="1011"/>
      <c r="D78" s="108" t="s">
        <v>28</v>
      </c>
      <c r="E78" s="1598" t="s">
        <v>149</v>
      </c>
      <c r="F78" s="1079" t="s">
        <v>167</v>
      </c>
      <c r="G78" s="1730"/>
      <c r="H78" s="128" t="s">
        <v>16</v>
      </c>
      <c r="I78" s="581">
        <v>804.2</v>
      </c>
      <c r="J78" s="740">
        <v>1171.7</v>
      </c>
      <c r="K78" s="741">
        <v>1171.7</v>
      </c>
      <c r="L78" s="949">
        <v>1171.7</v>
      </c>
      <c r="M78" s="1777" t="s">
        <v>148</v>
      </c>
      <c r="N78" s="539">
        <v>160</v>
      </c>
      <c r="O78" s="246">
        <v>160</v>
      </c>
      <c r="P78" s="231">
        <v>160</v>
      </c>
      <c r="Q78" s="453">
        <v>160</v>
      </c>
    </row>
    <row r="79" spans="1:20" s="2" customFormat="1" ht="15.65" customHeight="1" x14ac:dyDescent="0.35">
      <c r="A79" s="1009"/>
      <c r="B79" s="1010"/>
      <c r="C79" s="1011"/>
      <c r="D79" s="634"/>
      <c r="E79" s="1599"/>
      <c r="F79" s="888" t="s">
        <v>264</v>
      </c>
      <c r="G79" s="1730"/>
      <c r="H79" s="128" t="s">
        <v>206</v>
      </c>
      <c r="I79" s="581">
        <f>393.6-43.3</f>
        <v>350.3</v>
      </c>
      <c r="J79" s="740">
        <v>347.6</v>
      </c>
      <c r="K79" s="741">
        <v>347.6</v>
      </c>
      <c r="L79" s="949">
        <v>347.6</v>
      </c>
      <c r="M79" s="1778"/>
      <c r="N79" s="629"/>
      <c r="O79" s="921"/>
      <c r="P79" s="652"/>
      <c r="Q79" s="630"/>
    </row>
    <row r="80" spans="1:20" s="2" customFormat="1" ht="27" customHeight="1" x14ac:dyDescent="0.35">
      <c r="A80" s="1009"/>
      <c r="B80" s="1010"/>
      <c r="C80" s="1011"/>
      <c r="D80" s="634"/>
      <c r="E80" s="998"/>
      <c r="F80" s="888" t="s">
        <v>167</v>
      </c>
      <c r="G80" s="1730"/>
      <c r="H80" s="72" t="s">
        <v>38</v>
      </c>
      <c r="I80" s="581">
        <f>129.9+22.5</f>
        <v>152.4</v>
      </c>
      <c r="J80" s="951">
        <v>169.1</v>
      </c>
      <c r="K80" s="952">
        <v>170</v>
      </c>
      <c r="L80" s="949">
        <v>175</v>
      </c>
      <c r="M80" s="1779" t="s">
        <v>151</v>
      </c>
      <c r="N80" s="540" t="s">
        <v>166</v>
      </c>
      <c r="O80" s="625" t="s">
        <v>267</v>
      </c>
      <c r="P80" s="627" t="s">
        <v>267</v>
      </c>
      <c r="Q80" s="626" t="s">
        <v>267</v>
      </c>
      <c r="R80" s="1691"/>
      <c r="S80" s="1692"/>
      <c r="T80" s="1692"/>
    </row>
    <row r="81" spans="1:17" s="2" customFormat="1" ht="27" customHeight="1" x14ac:dyDescent="0.35">
      <c r="A81" s="1009"/>
      <c r="B81" s="1010"/>
      <c r="C81" s="1011"/>
      <c r="D81" s="634"/>
      <c r="E81" s="998"/>
      <c r="F81" s="888"/>
      <c r="G81" s="53"/>
      <c r="H81" s="72" t="s">
        <v>79</v>
      </c>
      <c r="I81" s="581">
        <v>15.6</v>
      </c>
      <c r="J81" s="951">
        <v>15.4</v>
      </c>
      <c r="K81" s="952"/>
      <c r="L81" s="949"/>
      <c r="M81" s="1780"/>
      <c r="N81" s="541"/>
      <c r="O81" s="921"/>
      <c r="P81" s="652"/>
      <c r="Q81" s="454"/>
    </row>
    <row r="82" spans="1:17" s="2" customFormat="1" ht="30" customHeight="1" x14ac:dyDescent="0.35">
      <c r="A82" s="1009"/>
      <c r="B82" s="1010"/>
      <c r="C82" s="1011"/>
      <c r="D82" s="634"/>
      <c r="E82" s="998"/>
      <c r="F82" s="1776"/>
      <c r="G82" s="53"/>
      <c r="H82" s="72" t="s">
        <v>39</v>
      </c>
      <c r="I82" s="581">
        <v>6</v>
      </c>
      <c r="J82" s="951">
        <v>6</v>
      </c>
      <c r="K82" s="952">
        <v>6</v>
      </c>
      <c r="L82" s="949">
        <v>6</v>
      </c>
      <c r="M82" s="317" t="s">
        <v>119</v>
      </c>
      <c r="N82" s="306">
        <v>250</v>
      </c>
      <c r="O82" s="298">
        <v>250</v>
      </c>
      <c r="P82" s="241">
        <v>250</v>
      </c>
      <c r="Q82" s="455">
        <v>250</v>
      </c>
    </row>
    <row r="83" spans="1:17" s="2" customFormat="1" ht="30.75" customHeight="1" x14ac:dyDescent="0.35">
      <c r="A83" s="1009"/>
      <c r="B83" s="1010"/>
      <c r="C83" s="1011"/>
      <c r="D83" s="634"/>
      <c r="E83" s="998"/>
      <c r="F83" s="1776"/>
      <c r="G83" s="53"/>
      <c r="H83" s="76" t="s">
        <v>30</v>
      </c>
      <c r="I83" s="568">
        <v>23</v>
      </c>
      <c r="J83" s="738">
        <v>23</v>
      </c>
      <c r="K83" s="739">
        <v>23</v>
      </c>
      <c r="L83" s="416">
        <v>23</v>
      </c>
      <c r="M83" s="318" t="s">
        <v>152</v>
      </c>
      <c r="N83" s="542" t="s">
        <v>189</v>
      </c>
      <c r="O83" s="247" t="s">
        <v>189</v>
      </c>
      <c r="P83" s="628" t="s">
        <v>189</v>
      </c>
      <c r="Q83" s="854" t="s">
        <v>189</v>
      </c>
    </row>
    <row r="84" spans="1:17" s="2" customFormat="1" ht="39.75" customHeight="1" x14ac:dyDescent="0.35">
      <c r="A84" s="1009"/>
      <c r="B84" s="1010"/>
      <c r="C84" s="1011"/>
      <c r="D84" s="634"/>
      <c r="E84" s="998"/>
      <c r="F84" s="993"/>
      <c r="G84" s="53"/>
      <c r="H84" s="76" t="s">
        <v>14</v>
      </c>
      <c r="I84" s="568">
        <v>45</v>
      </c>
      <c r="J84" s="738">
        <v>0.5</v>
      </c>
      <c r="K84" s="739"/>
      <c r="L84" s="416"/>
      <c r="M84" s="318" t="s">
        <v>261</v>
      </c>
      <c r="N84" s="542" t="s">
        <v>262</v>
      </c>
      <c r="O84" s="247" t="s">
        <v>300</v>
      </c>
      <c r="P84" s="628"/>
      <c r="Q84" s="229"/>
    </row>
    <row r="85" spans="1:17" s="2" customFormat="1" ht="39.75" customHeight="1" x14ac:dyDescent="0.35">
      <c r="A85" s="1009"/>
      <c r="B85" s="1010"/>
      <c r="C85" s="1011"/>
      <c r="D85" s="634"/>
      <c r="E85" s="694"/>
      <c r="F85" s="888"/>
      <c r="G85" s="36"/>
      <c r="H85" s="70" t="s">
        <v>14</v>
      </c>
      <c r="I85" s="581">
        <f>24.7-14.4</f>
        <v>10.299999999999999</v>
      </c>
      <c r="J85" s="951"/>
      <c r="K85" s="952"/>
      <c r="L85" s="949"/>
      <c r="M85" s="482" t="s">
        <v>263</v>
      </c>
      <c r="N85" s="543">
        <v>57</v>
      </c>
      <c r="O85" s="248"/>
      <c r="P85" s="232"/>
      <c r="Q85" s="483"/>
    </row>
    <row r="86" spans="1:17" s="2" customFormat="1" ht="38.25" customHeight="1" x14ac:dyDescent="0.35">
      <c r="A86" s="1009"/>
      <c r="B86" s="1010"/>
      <c r="C86" s="1011"/>
      <c r="D86" s="634"/>
      <c r="E86" s="998" t="s">
        <v>246</v>
      </c>
      <c r="F86" s="388"/>
      <c r="G86" s="129"/>
      <c r="H86" s="484" t="s">
        <v>30</v>
      </c>
      <c r="I86" s="591">
        <v>6</v>
      </c>
      <c r="J86" s="742"/>
      <c r="K86" s="743"/>
      <c r="L86" s="737"/>
      <c r="M86" s="319" t="s">
        <v>99</v>
      </c>
      <c r="N86" s="1020" t="s">
        <v>240</v>
      </c>
      <c r="O86" s="205"/>
      <c r="P86" s="631"/>
      <c r="Q86" s="206"/>
    </row>
    <row r="87" spans="1:17" s="2" customFormat="1" ht="21.65" customHeight="1" x14ac:dyDescent="0.35">
      <c r="A87" s="1009"/>
      <c r="B87" s="1010"/>
      <c r="C87" s="1011"/>
      <c r="D87" s="108" t="s">
        <v>31</v>
      </c>
      <c r="E87" s="1598" t="s">
        <v>104</v>
      </c>
      <c r="F87" s="1079" t="s">
        <v>167</v>
      </c>
      <c r="G87" s="53"/>
      <c r="H87" s="70" t="s">
        <v>16</v>
      </c>
      <c r="I87" s="581">
        <v>436.6</v>
      </c>
      <c r="J87" s="951">
        <v>735.8</v>
      </c>
      <c r="K87" s="952">
        <v>735.8</v>
      </c>
      <c r="L87" s="949">
        <v>735.8</v>
      </c>
      <c r="M87" s="1757" t="s">
        <v>120</v>
      </c>
      <c r="N87" s="544">
        <v>70</v>
      </c>
      <c r="O87" s="228">
        <v>70</v>
      </c>
      <c r="P87" s="1036">
        <v>70</v>
      </c>
      <c r="Q87" s="456">
        <v>70</v>
      </c>
    </row>
    <row r="88" spans="1:17" s="2" customFormat="1" ht="21.65" customHeight="1" x14ac:dyDescent="0.35">
      <c r="A88" s="1009"/>
      <c r="B88" s="1010"/>
      <c r="C88" s="1011"/>
      <c r="D88" s="634"/>
      <c r="E88" s="1599"/>
      <c r="F88" s="888" t="s">
        <v>264</v>
      </c>
      <c r="G88" s="53"/>
      <c r="H88" s="70" t="s">
        <v>206</v>
      </c>
      <c r="I88" s="581">
        <f>234-20.1</f>
        <v>213.9</v>
      </c>
      <c r="J88" s="951">
        <v>139.4</v>
      </c>
      <c r="K88" s="952">
        <v>139.4</v>
      </c>
      <c r="L88" s="949">
        <v>139.4</v>
      </c>
      <c r="M88" s="1759"/>
      <c r="N88" s="545"/>
      <c r="O88" s="307"/>
      <c r="P88" s="1037"/>
      <c r="Q88" s="457"/>
    </row>
    <row r="89" spans="1:17" s="2" customFormat="1" ht="24.75" customHeight="1" x14ac:dyDescent="0.35">
      <c r="A89" s="1009"/>
      <c r="B89" s="1010"/>
      <c r="C89" s="1011"/>
      <c r="D89" s="634"/>
      <c r="E89" s="998"/>
      <c r="F89" s="888" t="s">
        <v>265</v>
      </c>
      <c r="G89" s="53"/>
      <c r="H89" s="73" t="s">
        <v>16</v>
      </c>
      <c r="I89" s="590"/>
      <c r="J89" s="738">
        <v>0.7</v>
      </c>
      <c r="K89" s="739"/>
      <c r="L89" s="415"/>
      <c r="M89" s="997" t="s">
        <v>268</v>
      </c>
      <c r="N89" s="545"/>
      <c r="O89" s="307">
        <v>1</v>
      </c>
      <c r="P89" s="1037"/>
      <c r="Q89" s="457"/>
    </row>
    <row r="90" spans="1:17" s="2" customFormat="1" ht="21.65" customHeight="1" x14ac:dyDescent="0.35">
      <c r="A90" s="1009"/>
      <c r="B90" s="1010"/>
      <c r="C90" s="1011"/>
      <c r="D90" s="634"/>
      <c r="E90" s="998"/>
      <c r="F90" s="888"/>
      <c r="G90" s="53"/>
      <c r="H90" s="73" t="s">
        <v>206</v>
      </c>
      <c r="I90" s="590"/>
      <c r="J90" s="738">
        <v>0.7</v>
      </c>
      <c r="K90" s="739"/>
      <c r="L90" s="415"/>
      <c r="M90" s="997" t="s">
        <v>269</v>
      </c>
      <c r="N90" s="545"/>
      <c r="O90" s="307">
        <v>1</v>
      </c>
      <c r="P90" s="1037"/>
      <c r="Q90" s="457"/>
    </row>
    <row r="91" spans="1:17" s="2" customFormat="1" ht="21.65" customHeight="1" x14ac:dyDescent="0.35">
      <c r="A91" s="1009"/>
      <c r="B91" s="1010"/>
      <c r="C91" s="1011"/>
      <c r="D91" s="634"/>
      <c r="E91" s="998"/>
      <c r="F91" s="888"/>
      <c r="G91" s="53"/>
      <c r="H91" s="73" t="s">
        <v>16</v>
      </c>
      <c r="I91" s="590"/>
      <c r="J91" s="738">
        <v>0.8</v>
      </c>
      <c r="K91" s="739"/>
      <c r="L91" s="415"/>
      <c r="M91" s="997" t="s">
        <v>270</v>
      </c>
      <c r="N91" s="545"/>
      <c r="O91" s="307">
        <v>1</v>
      </c>
      <c r="P91" s="1037"/>
      <c r="Q91" s="457"/>
    </row>
    <row r="92" spans="1:17" s="2" customFormat="1" ht="21.65" customHeight="1" x14ac:dyDescent="0.35">
      <c r="A92" s="1009"/>
      <c r="B92" s="1010"/>
      <c r="C92" s="1011"/>
      <c r="D92" s="634"/>
      <c r="E92" s="998"/>
      <c r="F92" s="888"/>
      <c r="G92" s="53"/>
      <c r="H92" s="73" t="s">
        <v>206</v>
      </c>
      <c r="I92" s="590"/>
      <c r="J92" s="738">
        <v>6</v>
      </c>
      <c r="K92" s="739"/>
      <c r="L92" s="415"/>
      <c r="M92" s="997" t="s">
        <v>271</v>
      </c>
      <c r="N92" s="545"/>
      <c r="O92" s="307">
        <v>7</v>
      </c>
      <c r="P92" s="1037"/>
      <c r="Q92" s="457"/>
    </row>
    <row r="93" spans="1:17" s="2" customFormat="1" ht="21.65" customHeight="1" x14ac:dyDescent="0.35">
      <c r="A93" s="1009"/>
      <c r="B93" s="1010"/>
      <c r="C93" s="1011"/>
      <c r="D93" s="634"/>
      <c r="E93" s="998"/>
      <c r="F93" s="888"/>
      <c r="G93" s="53"/>
      <c r="H93" s="73" t="s">
        <v>206</v>
      </c>
      <c r="I93" s="590"/>
      <c r="J93" s="738">
        <v>3</v>
      </c>
      <c r="K93" s="739"/>
      <c r="L93" s="415"/>
      <c r="M93" s="997" t="s">
        <v>272</v>
      </c>
      <c r="N93" s="545"/>
      <c r="O93" s="307">
        <v>33</v>
      </c>
      <c r="P93" s="1037"/>
      <c r="Q93" s="457"/>
    </row>
    <row r="94" spans="1:17" s="2" customFormat="1" ht="38.25" customHeight="1" x14ac:dyDescent="0.35">
      <c r="A94" s="1009"/>
      <c r="B94" s="1010"/>
      <c r="C94" s="1011"/>
      <c r="D94" s="634"/>
      <c r="E94" s="158"/>
      <c r="F94" s="389"/>
      <c r="G94" s="53"/>
      <c r="H94" s="73" t="s">
        <v>38</v>
      </c>
      <c r="I94" s="590">
        <f>107.4+9.5</f>
        <v>116.9</v>
      </c>
      <c r="J94" s="738">
        <v>108.4</v>
      </c>
      <c r="K94" s="739">
        <v>108.4</v>
      </c>
      <c r="L94" s="415">
        <v>108.4</v>
      </c>
      <c r="M94" s="997" t="s">
        <v>273</v>
      </c>
      <c r="N94" s="546">
        <v>66</v>
      </c>
      <c r="O94" s="307">
        <v>42</v>
      </c>
      <c r="P94" s="1037">
        <v>42</v>
      </c>
      <c r="Q94" s="458">
        <v>42</v>
      </c>
    </row>
    <row r="95" spans="1:17" s="2" customFormat="1" ht="53.25" customHeight="1" x14ac:dyDescent="0.35">
      <c r="A95" s="1009"/>
      <c r="B95" s="1010"/>
      <c r="C95" s="1011"/>
      <c r="D95" s="634"/>
      <c r="E95" s="158"/>
      <c r="F95" s="388"/>
      <c r="G95" s="129"/>
      <c r="H95" s="70" t="s">
        <v>79</v>
      </c>
      <c r="I95" s="581">
        <v>18.7</v>
      </c>
      <c r="J95" s="951">
        <v>16.7</v>
      </c>
      <c r="K95" s="952"/>
      <c r="L95" s="949"/>
      <c r="M95" s="320" t="s">
        <v>285</v>
      </c>
      <c r="N95" s="547">
        <v>100</v>
      </c>
      <c r="O95" s="227">
        <v>70</v>
      </c>
      <c r="P95" s="225">
        <v>70</v>
      </c>
      <c r="Q95" s="459">
        <v>70</v>
      </c>
    </row>
    <row r="96" spans="1:17" s="2" customFormat="1" ht="41.25" customHeight="1" x14ac:dyDescent="0.35">
      <c r="A96" s="1009"/>
      <c r="B96" s="1010"/>
      <c r="C96" s="1011"/>
      <c r="D96" s="634"/>
      <c r="E96" s="158"/>
      <c r="F96" s="388"/>
      <c r="G96" s="129"/>
      <c r="H96" s="70" t="s">
        <v>14</v>
      </c>
      <c r="I96" s="581">
        <v>21.9</v>
      </c>
      <c r="J96" s="951">
        <v>0.4</v>
      </c>
      <c r="K96" s="952"/>
      <c r="L96" s="949"/>
      <c r="M96" s="320" t="s">
        <v>261</v>
      </c>
      <c r="N96" s="547">
        <v>31</v>
      </c>
      <c r="O96" s="227">
        <v>4</v>
      </c>
      <c r="P96" s="225"/>
      <c r="Q96" s="459"/>
    </row>
    <row r="97" spans="1:20" s="2" customFormat="1" ht="53.25" customHeight="1" x14ac:dyDescent="0.35">
      <c r="A97" s="1009"/>
      <c r="B97" s="1010"/>
      <c r="C97" s="1011"/>
      <c r="D97" s="634" t="s">
        <v>33</v>
      </c>
      <c r="E97" s="1464" t="s">
        <v>40</v>
      </c>
      <c r="F97" s="1007" t="s">
        <v>264</v>
      </c>
      <c r="G97" s="42"/>
      <c r="H97" s="70" t="s">
        <v>16</v>
      </c>
      <c r="I97" s="603">
        <f>704.8-14.4</f>
        <v>690.4</v>
      </c>
      <c r="J97" s="951">
        <v>1036.8</v>
      </c>
      <c r="K97" s="952">
        <v>1036.8</v>
      </c>
      <c r="L97" s="949">
        <v>1036.8</v>
      </c>
      <c r="M97" s="321" t="s">
        <v>229</v>
      </c>
      <c r="N97" s="527">
        <v>24000</v>
      </c>
      <c r="O97" s="298"/>
      <c r="P97" s="241"/>
      <c r="Q97" s="437"/>
      <c r="R97" s="918"/>
    </row>
    <row r="98" spans="1:20" s="2" customFormat="1" ht="36.75" customHeight="1" x14ac:dyDescent="0.35">
      <c r="A98" s="1009"/>
      <c r="B98" s="1010"/>
      <c r="C98" s="1011"/>
      <c r="D98" s="634"/>
      <c r="E98" s="1463"/>
      <c r="F98" s="390"/>
      <c r="G98" s="42"/>
      <c r="H98" s="70" t="s">
        <v>206</v>
      </c>
      <c r="I98" s="603">
        <f>284.5-13</f>
        <v>271.5</v>
      </c>
      <c r="J98" s="951">
        <v>197.9</v>
      </c>
      <c r="K98" s="952">
        <v>197.9</v>
      </c>
      <c r="L98" s="949">
        <v>197.9</v>
      </c>
      <c r="M98" s="1434" t="s">
        <v>274</v>
      </c>
      <c r="N98" s="550"/>
      <c r="O98" s="135">
        <v>450</v>
      </c>
      <c r="P98" s="1068">
        <v>450</v>
      </c>
      <c r="Q98" s="460">
        <v>450</v>
      </c>
    </row>
    <row r="99" spans="1:20" s="2" customFormat="1" ht="17.25" customHeight="1" x14ac:dyDescent="0.35">
      <c r="A99" s="1009"/>
      <c r="B99" s="1010"/>
      <c r="C99" s="1011"/>
      <c r="D99" s="634"/>
      <c r="E99" s="1463"/>
      <c r="F99" s="390"/>
      <c r="G99" s="42"/>
      <c r="H99" s="70" t="s">
        <v>109</v>
      </c>
      <c r="I99" s="603"/>
      <c r="J99" s="951">
        <v>1.1000000000000001</v>
      </c>
      <c r="K99" s="952"/>
      <c r="L99" s="949"/>
      <c r="M99" s="1435"/>
      <c r="N99" s="1086"/>
      <c r="O99" s="297"/>
      <c r="P99" s="242"/>
      <c r="Q99" s="442"/>
    </row>
    <row r="100" spans="1:20" s="2" customFormat="1" ht="13" x14ac:dyDescent="0.35">
      <c r="A100" s="1009"/>
      <c r="B100" s="1010"/>
      <c r="C100" s="1011"/>
      <c r="D100" s="634"/>
      <c r="E100" s="1463"/>
      <c r="F100" s="390"/>
      <c r="G100" s="42"/>
      <c r="H100" s="70"/>
      <c r="I100" s="603"/>
      <c r="J100" s="951"/>
      <c r="K100" s="952"/>
      <c r="L100" s="949"/>
      <c r="M100" s="321" t="s">
        <v>184</v>
      </c>
      <c r="N100" s="548">
        <v>4</v>
      </c>
      <c r="O100" s="298"/>
      <c r="P100" s="1068"/>
      <c r="Q100" s="460"/>
    </row>
    <row r="101" spans="1:20" s="2" customFormat="1" ht="39.75" customHeight="1" x14ac:dyDescent="0.35">
      <c r="A101" s="1009"/>
      <c r="B101" s="1010"/>
      <c r="C101" s="1011"/>
      <c r="D101" s="634"/>
      <c r="E101" s="1463"/>
      <c r="F101" s="390"/>
      <c r="G101" s="42"/>
      <c r="H101" s="70" t="s">
        <v>14</v>
      </c>
      <c r="I101" s="605">
        <f>30.4-19.7</f>
        <v>10.7</v>
      </c>
      <c r="J101" s="738"/>
      <c r="K101" s="739"/>
      <c r="L101" s="415"/>
      <c r="M101" s="992" t="s">
        <v>263</v>
      </c>
      <c r="N101" s="539">
        <v>70</v>
      </c>
      <c r="O101" s="329"/>
      <c r="P101" s="196"/>
      <c r="Q101" s="453"/>
    </row>
    <row r="102" spans="1:20" s="2" customFormat="1" ht="29.25" customHeight="1" x14ac:dyDescent="0.35">
      <c r="A102" s="1009"/>
      <c r="B102" s="1010"/>
      <c r="C102" s="1011"/>
      <c r="D102" s="634"/>
      <c r="E102" s="1463"/>
      <c r="F102" s="87"/>
      <c r="G102" s="86"/>
      <c r="H102" s="73" t="s">
        <v>38</v>
      </c>
      <c r="I102" s="606">
        <v>0.8</v>
      </c>
      <c r="J102" s="738">
        <v>0.7</v>
      </c>
      <c r="K102" s="739">
        <v>0.7</v>
      </c>
      <c r="L102" s="416">
        <v>0.7</v>
      </c>
      <c r="M102" s="318" t="s">
        <v>121</v>
      </c>
      <c r="N102" s="990">
        <v>10</v>
      </c>
      <c r="O102" s="135">
        <v>10</v>
      </c>
      <c r="P102" s="1068">
        <v>10</v>
      </c>
      <c r="Q102" s="986">
        <v>10</v>
      </c>
    </row>
    <row r="103" spans="1:20" s="2" customFormat="1" ht="42" customHeight="1" x14ac:dyDescent="0.35">
      <c r="A103" s="1009"/>
      <c r="B103" s="1010"/>
      <c r="C103" s="1011"/>
      <c r="D103" s="634"/>
      <c r="E103" s="172"/>
      <c r="F103" s="388"/>
      <c r="G103" s="42"/>
      <c r="H103" s="76" t="s">
        <v>79</v>
      </c>
      <c r="I103" s="606">
        <v>0.5</v>
      </c>
      <c r="J103" s="738"/>
      <c r="K103" s="739"/>
      <c r="L103" s="416"/>
      <c r="M103" s="321" t="s">
        <v>291</v>
      </c>
      <c r="N103" s="527">
        <v>5</v>
      </c>
      <c r="O103" s="298">
        <v>5</v>
      </c>
      <c r="P103" s="241">
        <v>5</v>
      </c>
      <c r="Q103" s="437">
        <v>5</v>
      </c>
    </row>
    <row r="104" spans="1:20" s="2" customFormat="1" ht="41.25" customHeight="1" x14ac:dyDescent="0.35">
      <c r="A104" s="1009"/>
      <c r="B104" s="1010"/>
      <c r="C104" s="1011"/>
      <c r="D104" s="634"/>
      <c r="E104" s="172"/>
      <c r="F104" s="388"/>
      <c r="G104" s="42"/>
      <c r="H104" s="900"/>
      <c r="I104" s="607"/>
      <c r="J104" s="649"/>
      <c r="K104" s="650"/>
      <c r="L104" s="417"/>
      <c r="M104" s="321" t="s">
        <v>153</v>
      </c>
      <c r="N104" s="549" t="s">
        <v>165</v>
      </c>
      <c r="O104" s="249" t="s">
        <v>275</v>
      </c>
      <c r="P104" s="633" t="s">
        <v>275</v>
      </c>
      <c r="Q104" s="632" t="s">
        <v>275</v>
      </c>
    </row>
    <row r="105" spans="1:20" s="2" customFormat="1" ht="41.25" customHeight="1" x14ac:dyDescent="0.35">
      <c r="A105" s="1009"/>
      <c r="B105" s="1010"/>
      <c r="C105" s="1011"/>
      <c r="D105" s="634"/>
      <c r="E105" s="172"/>
      <c r="F105" s="388"/>
      <c r="G105" s="42"/>
      <c r="H105" s="137"/>
      <c r="I105" s="686"/>
      <c r="J105" s="651"/>
      <c r="K105" s="652"/>
      <c r="L105" s="687"/>
      <c r="M105" s="318" t="s">
        <v>282</v>
      </c>
      <c r="N105" s="527">
        <v>230</v>
      </c>
      <c r="O105" s="298">
        <v>150</v>
      </c>
      <c r="P105" s="241">
        <v>150</v>
      </c>
      <c r="Q105" s="437">
        <v>150</v>
      </c>
    </row>
    <row r="106" spans="1:20" s="2" customFormat="1" ht="39" customHeight="1" x14ac:dyDescent="0.35">
      <c r="A106" s="1009"/>
      <c r="B106" s="1010"/>
      <c r="C106" s="1011"/>
      <c r="D106" s="634"/>
      <c r="E106" s="750"/>
      <c r="F106" s="388"/>
      <c r="G106" s="42"/>
      <c r="H106" s="298" t="s">
        <v>14</v>
      </c>
      <c r="I106" s="617">
        <v>32.4</v>
      </c>
      <c r="J106" s="653">
        <v>0.6</v>
      </c>
      <c r="K106" s="232"/>
      <c r="L106" s="424"/>
      <c r="M106" s="317" t="s">
        <v>261</v>
      </c>
      <c r="N106" s="527">
        <v>44</v>
      </c>
      <c r="O106" s="298">
        <v>6</v>
      </c>
      <c r="P106" s="241"/>
      <c r="Q106" s="437"/>
    </row>
    <row r="107" spans="1:20" s="2" customFormat="1" ht="39" customHeight="1" x14ac:dyDescent="0.35">
      <c r="A107" s="1009"/>
      <c r="B107" s="1010"/>
      <c r="C107" s="1011"/>
      <c r="D107" s="634"/>
      <c r="E107" s="930" t="s">
        <v>307</v>
      </c>
      <c r="F107" s="888" t="s">
        <v>276</v>
      </c>
      <c r="G107" s="42"/>
      <c r="H107" s="137" t="s">
        <v>16</v>
      </c>
      <c r="I107" s="607"/>
      <c r="J107" s="649">
        <v>50.5</v>
      </c>
      <c r="K107" s="650"/>
      <c r="L107" s="417"/>
      <c r="M107" s="1065" t="s">
        <v>140</v>
      </c>
      <c r="N107" s="1064"/>
      <c r="O107" s="296">
        <v>1</v>
      </c>
      <c r="P107" s="242"/>
      <c r="Q107" s="950"/>
    </row>
    <row r="108" spans="1:20" s="1" customFormat="1" ht="21.75" customHeight="1" x14ac:dyDescent="0.35">
      <c r="A108" s="1466"/>
      <c r="B108" s="1467"/>
      <c r="C108" s="1469"/>
      <c r="D108" s="634"/>
      <c r="E108" s="1699" t="s">
        <v>236</v>
      </c>
      <c r="F108" s="1744" t="s">
        <v>264</v>
      </c>
      <c r="G108" s="42"/>
      <c r="H108" s="136" t="s">
        <v>112</v>
      </c>
      <c r="I108" s="581">
        <v>6.5</v>
      </c>
      <c r="J108" s="653">
        <v>7.3</v>
      </c>
      <c r="K108" s="232"/>
      <c r="L108" s="949"/>
      <c r="M108" s="322" t="s">
        <v>143</v>
      </c>
      <c r="N108" s="550">
        <v>1</v>
      </c>
      <c r="O108" s="1091">
        <v>1</v>
      </c>
      <c r="P108" s="1002"/>
      <c r="Q108" s="460"/>
    </row>
    <row r="109" spans="1:20" s="1" customFormat="1" ht="35.25" customHeight="1" x14ac:dyDescent="0.35">
      <c r="A109" s="1466"/>
      <c r="B109" s="1467"/>
      <c r="C109" s="1469"/>
      <c r="D109" s="634"/>
      <c r="E109" s="1700"/>
      <c r="F109" s="1744"/>
      <c r="G109" s="42"/>
      <c r="H109" s="73" t="s">
        <v>111</v>
      </c>
      <c r="I109" s="590">
        <f>90.6+3.3</f>
        <v>93.899999999999991</v>
      </c>
      <c r="J109" s="738">
        <v>96.5</v>
      </c>
      <c r="K109" s="739"/>
      <c r="L109" s="415"/>
      <c r="M109" s="171" t="s">
        <v>144</v>
      </c>
      <c r="N109" s="550">
        <v>6</v>
      </c>
      <c r="O109" s="1091">
        <v>6</v>
      </c>
      <c r="P109" s="1002"/>
      <c r="Q109" s="460"/>
    </row>
    <row r="110" spans="1:20" s="1" customFormat="1" ht="24.75" customHeight="1" x14ac:dyDescent="0.35">
      <c r="A110" s="1466"/>
      <c r="B110" s="1467"/>
      <c r="C110" s="1469"/>
      <c r="D110" s="634"/>
      <c r="E110" s="1701"/>
      <c r="F110" s="1744"/>
      <c r="G110" s="42"/>
      <c r="H110" s="150"/>
      <c r="I110" s="593"/>
      <c r="J110" s="744"/>
      <c r="K110" s="745"/>
      <c r="L110" s="414"/>
      <c r="M110" s="151"/>
      <c r="N110" s="1086"/>
      <c r="O110" s="205"/>
      <c r="P110" s="1003"/>
      <c r="Q110" s="461"/>
    </row>
    <row r="111" spans="1:20" s="2" customFormat="1" ht="17.25" customHeight="1" x14ac:dyDescent="0.35">
      <c r="A111" s="1009"/>
      <c r="B111" s="1010"/>
      <c r="C111" s="1011"/>
      <c r="D111" s="634"/>
      <c r="E111" s="1475" t="s">
        <v>150</v>
      </c>
      <c r="F111" s="1007" t="s">
        <v>264</v>
      </c>
      <c r="G111" s="42"/>
      <c r="H111" s="945" t="s">
        <v>137</v>
      </c>
      <c r="I111" s="608">
        <v>2.2999999999999998</v>
      </c>
      <c r="J111" s="746">
        <v>0.7</v>
      </c>
      <c r="K111" s="747">
        <v>0.7</v>
      </c>
      <c r="L111" s="748">
        <v>0.7</v>
      </c>
      <c r="M111" s="857" t="s">
        <v>295</v>
      </c>
      <c r="N111" s="857"/>
      <c r="O111" s="93">
        <v>4</v>
      </c>
      <c r="P111" s="223">
        <v>4</v>
      </c>
      <c r="Q111" s="437">
        <v>4</v>
      </c>
      <c r="R111" s="1693"/>
      <c r="S111" s="1694"/>
      <c r="T111" s="1694"/>
    </row>
    <row r="112" spans="1:20" s="2" customFormat="1" ht="27" customHeight="1" x14ac:dyDescent="0.35">
      <c r="A112" s="1009"/>
      <c r="B112" s="1010"/>
      <c r="C112" s="1011"/>
      <c r="D112" s="634"/>
      <c r="E112" s="1476"/>
      <c r="F112" s="1007"/>
      <c r="G112" s="42"/>
      <c r="H112" s="940"/>
      <c r="I112" s="941"/>
      <c r="J112" s="942"/>
      <c r="K112" s="943"/>
      <c r="L112" s="944"/>
      <c r="M112" s="857" t="s">
        <v>140</v>
      </c>
      <c r="N112" s="857"/>
      <c r="O112" s="93">
        <v>1</v>
      </c>
      <c r="P112" s="223">
        <v>1</v>
      </c>
      <c r="Q112" s="437">
        <v>1</v>
      </c>
      <c r="R112" s="1082"/>
      <c r="S112" s="1082"/>
      <c r="T112" s="1082"/>
    </row>
    <row r="113" spans="1:20" s="2" customFormat="1" ht="18.75" customHeight="1" x14ac:dyDescent="0.35">
      <c r="A113" s="1009"/>
      <c r="B113" s="1010"/>
      <c r="C113" s="1011"/>
      <c r="D113" s="634"/>
      <c r="E113" s="1475" t="s">
        <v>96</v>
      </c>
      <c r="F113" s="1007" t="s">
        <v>264</v>
      </c>
      <c r="G113" s="42"/>
      <c r="H113" s="945" t="s">
        <v>137</v>
      </c>
      <c r="I113" s="608">
        <v>1.9</v>
      </c>
      <c r="J113" s="746">
        <v>2.1</v>
      </c>
      <c r="K113" s="747">
        <v>2.1</v>
      </c>
      <c r="L113" s="748">
        <v>2.1</v>
      </c>
      <c r="M113" s="1075" t="s">
        <v>295</v>
      </c>
      <c r="N113" s="527"/>
      <c r="O113" s="93">
        <v>5</v>
      </c>
      <c r="P113" s="223">
        <v>5</v>
      </c>
      <c r="Q113" s="437">
        <v>5</v>
      </c>
    </row>
    <row r="114" spans="1:20" s="2" customFormat="1" ht="26.25" customHeight="1" x14ac:dyDescent="0.35">
      <c r="A114" s="1009"/>
      <c r="B114" s="1010"/>
      <c r="C114" s="1011"/>
      <c r="D114" s="634"/>
      <c r="E114" s="1476"/>
      <c r="F114" s="1007"/>
      <c r="G114" s="42"/>
      <c r="H114" s="940"/>
      <c r="I114" s="941"/>
      <c r="J114" s="942"/>
      <c r="K114" s="943"/>
      <c r="L114" s="944"/>
      <c r="M114" s="1093" t="s">
        <v>140</v>
      </c>
      <c r="N114" s="1064"/>
      <c r="O114" s="27">
        <v>2</v>
      </c>
      <c r="P114" s="966">
        <v>2</v>
      </c>
      <c r="Q114" s="950">
        <v>2</v>
      </c>
    </row>
    <row r="115" spans="1:20" s="2" customFormat="1" ht="18" customHeight="1" x14ac:dyDescent="0.35">
      <c r="A115" s="1009"/>
      <c r="B115" s="1010"/>
      <c r="C115" s="1011"/>
      <c r="D115" s="108" t="s">
        <v>34</v>
      </c>
      <c r="E115" s="1464" t="s">
        <v>105</v>
      </c>
      <c r="F115" s="728" t="s">
        <v>264</v>
      </c>
      <c r="G115" s="42"/>
      <c r="H115" s="70" t="s">
        <v>16</v>
      </c>
      <c r="I115" s="581">
        <v>450.5</v>
      </c>
      <c r="J115" s="951">
        <v>767.3</v>
      </c>
      <c r="K115" s="952">
        <v>767.3</v>
      </c>
      <c r="L115" s="949">
        <v>767.3</v>
      </c>
      <c r="M115" s="170" t="s">
        <v>78</v>
      </c>
      <c r="N115" s="688">
        <v>171</v>
      </c>
      <c r="O115" s="8">
        <v>171</v>
      </c>
      <c r="P115" s="1027">
        <v>171</v>
      </c>
      <c r="Q115" s="841">
        <v>171</v>
      </c>
      <c r="R115" s="92"/>
    </row>
    <row r="116" spans="1:20" s="2" customFormat="1" ht="24" customHeight="1" x14ac:dyDescent="0.35">
      <c r="A116" s="1009"/>
      <c r="B116" s="1010"/>
      <c r="C116" s="1011"/>
      <c r="D116" s="634"/>
      <c r="E116" s="1463"/>
      <c r="F116" s="1007"/>
      <c r="G116" s="42"/>
      <c r="H116" s="73" t="s">
        <v>206</v>
      </c>
      <c r="I116" s="590">
        <f>221.6-17.2</f>
        <v>204.4</v>
      </c>
      <c r="J116" s="738">
        <v>166.4</v>
      </c>
      <c r="K116" s="739">
        <v>166.4</v>
      </c>
      <c r="L116" s="415">
        <v>166.4</v>
      </c>
      <c r="M116" s="1442" t="s">
        <v>296</v>
      </c>
      <c r="N116" s="855"/>
      <c r="O116" s="8">
        <v>3</v>
      </c>
      <c r="P116" s="1027">
        <v>3</v>
      </c>
      <c r="Q116" s="986">
        <v>3</v>
      </c>
      <c r="R116" s="92"/>
    </row>
    <row r="117" spans="1:20" s="2" customFormat="1" ht="21" customHeight="1" x14ac:dyDescent="0.35">
      <c r="A117" s="1009"/>
      <c r="B117" s="1010"/>
      <c r="C117" s="1011"/>
      <c r="D117" s="634"/>
      <c r="E117" s="1463"/>
      <c r="F117" s="1007"/>
      <c r="G117" s="42"/>
      <c r="H117" s="73" t="s">
        <v>109</v>
      </c>
      <c r="I117" s="590"/>
      <c r="J117" s="738">
        <v>4.0999999999999996</v>
      </c>
      <c r="K117" s="739"/>
      <c r="L117" s="415"/>
      <c r="M117" s="1444"/>
      <c r="N117" s="785"/>
      <c r="O117" s="138"/>
      <c r="P117" s="1028"/>
      <c r="Q117" s="230"/>
      <c r="R117" s="92"/>
    </row>
    <row r="118" spans="1:20" s="2" customFormat="1" ht="29.25" customHeight="1" x14ac:dyDescent="0.35">
      <c r="A118" s="1009"/>
      <c r="B118" s="1010"/>
      <c r="C118" s="1011"/>
      <c r="D118" s="634"/>
      <c r="E118" s="1463"/>
      <c r="F118" s="388"/>
      <c r="G118" s="42"/>
      <c r="H118" s="73" t="s">
        <v>38</v>
      </c>
      <c r="I118" s="590">
        <f>4.5+1</f>
        <v>5.5</v>
      </c>
      <c r="J118" s="738">
        <v>10.8</v>
      </c>
      <c r="K118" s="739">
        <v>10.8</v>
      </c>
      <c r="L118" s="415">
        <v>10.8</v>
      </c>
      <c r="M118" s="308" t="s">
        <v>154</v>
      </c>
      <c r="N118" s="688">
        <v>23</v>
      </c>
      <c r="O118" s="138"/>
      <c r="P118" s="236"/>
      <c r="Q118" s="856"/>
    </row>
    <row r="119" spans="1:20" s="2" customFormat="1" ht="67.5" customHeight="1" x14ac:dyDescent="0.35">
      <c r="A119" s="1009"/>
      <c r="B119" s="1010"/>
      <c r="C119" s="1011"/>
      <c r="D119" s="634"/>
      <c r="E119" s="1463"/>
      <c r="F119" s="388"/>
      <c r="G119" s="42"/>
      <c r="H119" s="70" t="s">
        <v>79</v>
      </c>
      <c r="I119" s="581">
        <v>2</v>
      </c>
      <c r="J119" s="738">
        <v>0.7</v>
      </c>
      <c r="K119" s="739"/>
      <c r="L119" s="415"/>
      <c r="M119" s="857" t="s">
        <v>277</v>
      </c>
      <c r="N119" s="688"/>
      <c r="O119" s="93">
        <v>15</v>
      </c>
      <c r="P119" s="641">
        <v>15</v>
      </c>
      <c r="Q119" s="858">
        <v>15</v>
      </c>
    </row>
    <row r="120" spans="1:20" s="2" customFormat="1" ht="39.75" customHeight="1" x14ac:dyDescent="0.35">
      <c r="A120" s="1009"/>
      <c r="B120" s="1010"/>
      <c r="C120" s="1011"/>
      <c r="D120" s="106"/>
      <c r="E120" s="1465"/>
      <c r="F120" s="388"/>
      <c r="G120" s="42"/>
      <c r="H120" s="70" t="s">
        <v>14</v>
      </c>
      <c r="I120" s="581">
        <v>20.399999999999999</v>
      </c>
      <c r="J120" s="951">
        <v>0.3</v>
      </c>
      <c r="K120" s="952"/>
      <c r="L120" s="949"/>
      <c r="M120" s="386" t="s">
        <v>261</v>
      </c>
      <c r="N120" s="843">
        <v>37</v>
      </c>
      <c r="O120" s="138">
        <v>2</v>
      </c>
      <c r="P120" s="1028"/>
      <c r="Q120" s="462"/>
    </row>
    <row r="121" spans="1:20" s="2" customFormat="1" ht="18.649999999999999" customHeight="1" x14ac:dyDescent="0.35">
      <c r="A121" s="1009"/>
      <c r="B121" s="1010"/>
      <c r="C121" s="1011"/>
      <c r="D121" s="108" t="s">
        <v>49</v>
      </c>
      <c r="E121" s="1464" t="s">
        <v>106</v>
      </c>
      <c r="F121" s="836" t="s">
        <v>264</v>
      </c>
      <c r="G121" s="42"/>
      <c r="H121" s="72" t="s">
        <v>206</v>
      </c>
      <c r="I121" s="581">
        <f>476.9-10.2</f>
        <v>466.7</v>
      </c>
      <c r="J121" s="951">
        <v>726.8</v>
      </c>
      <c r="K121" s="952">
        <v>726.8</v>
      </c>
      <c r="L121" s="949">
        <v>726.8</v>
      </c>
      <c r="M121" s="1442" t="s">
        <v>102</v>
      </c>
      <c r="N121" s="1716">
        <v>40</v>
      </c>
      <c r="O121" s="947">
        <v>60</v>
      </c>
      <c r="P121" s="953">
        <v>60</v>
      </c>
      <c r="Q121" s="954">
        <v>60</v>
      </c>
      <c r="R121" s="1691"/>
      <c r="S121" s="1692"/>
      <c r="T121" s="1692"/>
    </row>
    <row r="122" spans="1:20" s="2" customFormat="1" ht="15.75" customHeight="1" x14ac:dyDescent="0.35">
      <c r="A122" s="1009"/>
      <c r="B122" s="1010"/>
      <c r="C122" s="1011"/>
      <c r="D122" s="634"/>
      <c r="E122" s="1463"/>
      <c r="F122" s="836" t="s">
        <v>265</v>
      </c>
      <c r="G122" s="42"/>
      <c r="H122" s="128" t="s">
        <v>38</v>
      </c>
      <c r="I122" s="593">
        <v>62</v>
      </c>
      <c r="J122" s="740">
        <v>62</v>
      </c>
      <c r="K122" s="741">
        <v>62</v>
      </c>
      <c r="L122" s="414">
        <v>62</v>
      </c>
      <c r="M122" s="1443"/>
      <c r="N122" s="1717"/>
      <c r="O122" s="946"/>
      <c r="P122" s="966"/>
      <c r="Q122" s="950"/>
      <c r="R122" s="1691"/>
      <c r="S122" s="1692"/>
      <c r="T122" s="1692"/>
    </row>
    <row r="123" spans="1:20" s="2" customFormat="1" ht="15.75" customHeight="1" x14ac:dyDescent="0.35">
      <c r="A123" s="1009"/>
      <c r="B123" s="1010"/>
      <c r="C123" s="1011"/>
      <c r="D123" s="634"/>
      <c r="E123" s="1463"/>
      <c r="F123" s="836"/>
      <c r="G123" s="42"/>
      <c r="H123" s="128" t="s">
        <v>79</v>
      </c>
      <c r="I123" s="593">
        <v>9.9</v>
      </c>
      <c r="J123" s="740">
        <v>7.4</v>
      </c>
      <c r="K123" s="741"/>
      <c r="L123" s="414"/>
      <c r="M123" s="1444"/>
      <c r="N123" s="991"/>
      <c r="O123" s="750"/>
      <c r="P123" s="919"/>
      <c r="Q123" s="920"/>
      <c r="R123" s="1691"/>
      <c r="S123" s="1692"/>
      <c r="T123" s="1692"/>
    </row>
    <row r="124" spans="1:20" s="2" customFormat="1" ht="17.25" customHeight="1" x14ac:dyDescent="0.35">
      <c r="A124" s="1009"/>
      <c r="B124" s="1010"/>
      <c r="C124" s="1011"/>
      <c r="D124" s="634"/>
      <c r="E124" s="1463"/>
      <c r="F124" s="836"/>
      <c r="G124" s="42"/>
      <c r="H124" s="72" t="s">
        <v>16</v>
      </c>
      <c r="I124" s="581">
        <v>65.7</v>
      </c>
      <c r="J124" s="951">
        <v>282.2</v>
      </c>
      <c r="K124" s="952">
        <v>282.2</v>
      </c>
      <c r="L124" s="949">
        <v>282.2</v>
      </c>
      <c r="M124" s="1443" t="s">
        <v>132</v>
      </c>
      <c r="N124" s="1064">
        <v>20</v>
      </c>
      <c r="O124" s="27">
        <v>12</v>
      </c>
      <c r="P124" s="966">
        <v>12</v>
      </c>
      <c r="Q124" s="950">
        <v>12</v>
      </c>
    </row>
    <row r="125" spans="1:20" s="2" customFormat="1" ht="17.25" customHeight="1" x14ac:dyDescent="0.35">
      <c r="A125" s="1009"/>
      <c r="B125" s="1010"/>
      <c r="C125" s="1011"/>
      <c r="D125" s="634"/>
      <c r="E125" s="1463"/>
      <c r="F125" s="836"/>
      <c r="G125" s="42"/>
      <c r="H125" s="72" t="s">
        <v>206</v>
      </c>
      <c r="I125" s="593">
        <f>276.5-9.7</f>
        <v>266.8</v>
      </c>
      <c r="J125" s="740">
        <v>58.8</v>
      </c>
      <c r="K125" s="741">
        <v>58.8</v>
      </c>
      <c r="L125" s="414">
        <v>58.8</v>
      </c>
      <c r="M125" s="1443"/>
      <c r="N125" s="1064"/>
      <c r="O125" s="27"/>
      <c r="P125" s="966"/>
      <c r="Q125" s="950"/>
    </row>
    <row r="126" spans="1:20" s="2" customFormat="1" ht="17.25" customHeight="1" x14ac:dyDescent="0.35">
      <c r="A126" s="1009"/>
      <c r="B126" s="1010"/>
      <c r="C126" s="1011"/>
      <c r="D126" s="634"/>
      <c r="E126" s="1463"/>
      <c r="F126" s="836"/>
      <c r="G126" s="42"/>
      <c r="H126" s="128" t="s">
        <v>14</v>
      </c>
      <c r="I126" s="593">
        <v>65.7</v>
      </c>
      <c r="J126" s="740">
        <v>50.5</v>
      </c>
      <c r="K126" s="741">
        <v>50.5</v>
      </c>
      <c r="L126" s="414">
        <v>50.5</v>
      </c>
      <c r="M126" s="1444"/>
      <c r="N126" s="991"/>
      <c r="O126" s="138"/>
      <c r="P126" s="1028"/>
      <c r="Q126" s="987"/>
    </row>
    <row r="127" spans="1:20" s="2" customFormat="1" ht="26.25" customHeight="1" x14ac:dyDescent="0.35">
      <c r="A127" s="1009"/>
      <c r="B127" s="1010"/>
      <c r="C127" s="1011"/>
      <c r="D127" s="634"/>
      <c r="E127" s="1463"/>
      <c r="F127" s="836"/>
      <c r="G127" s="42"/>
      <c r="H127" s="128" t="s">
        <v>16</v>
      </c>
      <c r="I127" s="593"/>
      <c r="J127" s="740"/>
      <c r="K127" s="741">
        <v>122</v>
      </c>
      <c r="L127" s="414"/>
      <c r="M127" s="1065" t="s">
        <v>283</v>
      </c>
      <c r="N127" s="531"/>
      <c r="O127" s="298"/>
      <c r="P127" s="223">
        <v>100</v>
      </c>
      <c r="Q127" s="437"/>
    </row>
    <row r="128" spans="1:20" s="2" customFormat="1" ht="41.25" customHeight="1" x14ac:dyDescent="0.35">
      <c r="A128" s="1009"/>
      <c r="B128" s="1010"/>
      <c r="C128" s="1011"/>
      <c r="D128" s="106"/>
      <c r="E128" s="1465"/>
      <c r="F128" s="836"/>
      <c r="G128" s="42"/>
      <c r="H128" s="128" t="s">
        <v>14</v>
      </c>
      <c r="I128" s="593">
        <v>22.2</v>
      </c>
      <c r="J128" s="740">
        <v>0.5</v>
      </c>
      <c r="K128" s="741"/>
      <c r="L128" s="414"/>
      <c r="M128" s="689" t="s">
        <v>261</v>
      </c>
      <c r="N128" s="551">
        <v>36</v>
      </c>
      <c r="O128" s="922">
        <v>5</v>
      </c>
      <c r="P128" s="657"/>
      <c r="Q128" s="463"/>
    </row>
    <row r="129" spans="1:21" s="2" customFormat="1" ht="16.5" customHeight="1" x14ac:dyDescent="0.35">
      <c r="A129" s="1009"/>
      <c r="B129" s="1010"/>
      <c r="C129" s="1011"/>
      <c r="D129" s="634" t="s">
        <v>80</v>
      </c>
      <c r="E129" s="1463" t="s">
        <v>41</v>
      </c>
      <c r="F129" s="836" t="s">
        <v>264</v>
      </c>
      <c r="G129" s="42"/>
      <c r="H129" s="128" t="s">
        <v>16</v>
      </c>
      <c r="I129" s="581">
        <v>26.3</v>
      </c>
      <c r="J129" s="740">
        <v>1088.3</v>
      </c>
      <c r="K129" s="741">
        <v>1088.3</v>
      </c>
      <c r="L129" s="949">
        <v>1088.3</v>
      </c>
      <c r="M129" s="1442" t="s">
        <v>122</v>
      </c>
      <c r="N129" s="1716">
        <v>56</v>
      </c>
      <c r="O129" s="1445">
        <v>56</v>
      </c>
      <c r="P129" s="1448">
        <v>56</v>
      </c>
      <c r="Q129" s="1440">
        <v>56</v>
      </c>
    </row>
    <row r="130" spans="1:21" s="2" customFormat="1" ht="16.5" customHeight="1" x14ac:dyDescent="0.35">
      <c r="A130" s="59"/>
      <c r="B130" s="1010"/>
      <c r="C130" s="1011"/>
      <c r="D130" s="634"/>
      <c r="E130" s="1463"/>
      <c r="F130" s="836" t="s">
        <v>265</v>
      </c>
      <c r="G130" s="42"/>
      <c r="H130" s="128" t="s">
        <v>206</v>
      </c>
      <c r="I130" s="581">
        <f>974.8-30.1+13.6</f>
        <v>958.3</v>
      </c>
      <c r="J130" s="740">
        <v>251.6</v>
      </c>
      <c r="K130" s="741">
        <v>251.6</v>
      </c>
      <c r="L130" s="949">
        <v>251.6</v>
      </c>
      <c r="M130" s="1444"/>
      <c r="N130" s="1718"/>
      <c r="O130" s="1447"/>
      <c r="P130" s="1450"/>
      <c r="Q130" s="1441"/>
    </row>
    <row r="131" spans="1:21" s="2" customFormat="1" ht="16.5" customHeight="1" x14ac:dyDescent="0.35">
      <c r="A131" s="59"/>
      <c r="B131" s="1010"/>
      <c r="C131" s="1011"/>
      <c r="D131" s="634"/>
      <c r="E131" s="1463"/>
      <c r="F131" s="836"/>
      <c r="G131" s="42"/>
      <c r="H131" s="128" t="s">
        <v>38</v>
      </c>
      <c r="I131" s="581">
        <v>8.4</v>
      </c>
      <c r="J131" s="740"/>
      <c r="K131" s="741"/>
      <c r="L131" s="949"/>
      <c r="M131" s="1442" t="s">
        <v>278</v>
      </c>
      <c r="N131" s="1064"/>
      <c r="O131" s="27">
        <v>3</v>
      </c>
      <c r="P131" s="966">
        <v>3</v>
      </c>
      <c r="Q131" s="950">
        <v>3</v>
      </c>
    </row>
    <row r="132" spans="1:21" s="2" customFormat="1" ht="16.5" customHeight="1" x14ac:dyDescent="0.35">
      <c r="A132" s="59"/>
      <c r="B132" s="1010"/>
      <c r="C132" s="1011"/>
      <c r="D132" s="634"/>
      <c r="E132" s="1463"/>
      <c r="F132" s="836"/>
      <c r="G132" s="42"/>
      <c r="H132" s="128" t="s">
        <v>109</v>
      </c>
      <c r="I132" s="581"/>
      <c r="J132" s="740">
        <v>1.5</v>
      </c>
      <c r="K132" s="741"/>
      <c r="L132" s="949"/>
      <c r="M132" s="1443"/>
      <c r="N132" s="1064"/>
      <c r="O132" s="27"/>
      <c r="P132" s="966"/>
      <c r="Q132" s="950"/>
    </row>
    <row r="133" spans="1:21" s="2" customFormat="1" ht="16.5" customHeight="1" x14ac:dyDescent="0.35">
      <c r="A133" s="59"/>
      <c r="B133" s="1010"/>
      <c r="C133" s="1011"/>
      <c r="D133" s="634"/>
      <c r="E133" s="1463"/>
      <c r="F133" s="836"/>
      <c r="G133" s="42"/>
      <c r="H133" s="72" t="s">
        <v>14</v>
      </c>
      <c r="I133" s="581">
        <v>26.3</v>
      </c>
      <c r="J133" s="951">
        <v>16.899999999999999</v>
      </c>
      <c r="K133" s="952">
        <v>16.899999999999999</v>
      </c>
      <c r="L133" s="949">
        <v>16.899999999999999</v>
      </c>
      <c r="M133" s="1443"/>
      <c r="N133" s="1064"/>
      <c r="O133" s="27"/>
      <c r="P133" s="966"/>
      <c r="Q133" s="950"/>
    </row>
    <row r="134" spans="1:21" s="2" customFormat="1" ht="47.25" customHeight="1" x14ac:dyDescent="0.35">
      <c r="A134" s="59"/>
      <c r="B134" s="1010"/>
      <c r="C134" s="1011"/>
      <c r="D134" s="634"/>
      <c r="E134" s="1463"/>
      <c r="F134" s="836"/>
      <c r="G134" s="42"/>
      <c r="H134" s="128" t="s">
        <v>79</v>
      </c>
      <c r="I134" s="567">
        <v>7.1</v>
      </c>
      <c r="J134" s="951">
        <v>1.1000000000000001</v>
      </c>
      <c r="K134" s="952"/>
      <c r="L134" s="949"/>
      <c r="M134" s="1444"/>
      <c r="N134" s="991"/>
      <c r="O134" s="138"/>
      <c r="P134" s="1028"/>
      <c r="Q134" s="987"/>
    </row>
    <row r="135" spans="1:21" s="2" customFormat="1" ht="39" customHeight="1" x14ac:dyDescent="0.35">
      <c r="A135" s="59"/>
      <c r="B135" s="1010"/>
      <c r="C135" s="1011"/>
      <c r="D135" s="634"/>
      <c r="E135" s="1463"/>
      <c r="F135" s="391"/>
      <c r="G135" s="42"/>
      <c r="H135" s="128" t="s">
        <v>14</v>
      </c>
      <c r="I135" s="609">
        <v>32.9</v>
      </c>
      <c r="J135" s="735">
        <v>0.3</v>
      </c>
      <c r="K135" s="736"/>
      <c r="L135" s="749"/>
      <c r="M135" s="901" t="s">
        <v>261</v>
      </c>
      <c r="N135" s="551">
        <v>55</v>
      </c>
      <c r="O135" s="296">
        <v>3</v>
      </c>
      <c r="P135" s="242"/>
      <c r="Q135" s="464"/>
      <c r="R135" s="879"/>
    </row>
    <row r="136" spans="1:21" s="2" customFormat="1" ht="30.75" customHeight="1" x14ac:dyDescent="0.35">
      <c r="A136" s="1009"/>
      <c r="B136" s="1010"/>
      <c r="C136" s="68"/>
      <c r="D136" s="1067" t="s">
        <v>284</v>
      </c>
      <c r="E136" s="877" t="s">
        <v>287</v>
      </c>
      <c r="F136" s="806" t="s">
        <v>264</v>
      </c>
      <c r="G136" s="1727" t="s">
        <v>196</v>
      </c>
      <c r="H136" s="1004"/>
      <c r="I136" s="568"/>
      <c r="J136" s="783"/>
      <c r="K136" s="195"/>
      <c r="L136" s="673"/>
      <c r="M136" s="170"/>
      <c r="N136" s="1004"/>
      <c r="O136" s="8"/>
      <c r="P136" s="1027"/>
      <c r="Q136" s="1050"/>
    </row>
    <row r="137" spans="1:21" s="2" customFormat="1" ht="18.75" customHeight="1" x14ac:dyDescent="0.35">
      <c r="A137" s="1009"/>
      <c r="B137" s="1010"/>
      <c r="C137" s="68"/>
      <c r="D137" s="807"/>
      <c r="E137" s="158" t="s">
        <v>288</v>
      </c>
      <c r="F137" s="813"/>
      <c r="G137" s="1730"/>
      <c r="H137" s="1004" t="s">
        <v>16</v>
      </c>
      <c r="I137" s="568">
        <v>121.8</v>
      </c>
      <c r="J137" s="783">
        <v>203.7</v>
      </c>
      <c r="K137" s="195">
        <v>210</v>
      </c>
      <c r="L137" s="673">
        <v>210</v>
      </c>
      <c r="M137" s="170" t="s">
        <v>97</v>
      </c>
      <c r="N137" s="1004">
        <v>9</v>
      </c>
      <c r="O137" s="8">
        <v>9</v>
      </c>
      <c r="P137" s="1027">
        <v>9</v>
      </c>
      <c r="Q137" s="1050">
        <v>9</v>
      </c>
      <c r="S137" s="900"/>
    </row>
    <row r="138" spans="1:21" s="2" customFormat="1" ht="30.75" customHeight="1" x14ac:dyDescent="0.35">
      <c r="A138" s="1009"/>
      <c r="B138" s="1010"/>
      <c r="C138" s="68"/>
      <c r="D138" s="807"/>
      <c r="E138" s="158"/>
      <c r="F138" s="808"/>
      <c r="G138" s="1730"/>
      <c r="H138" s="1004" t="s">
        <v>109</v>
      </c>
      <c r="I138" s="568">
        <v>16.3</v>
      </c>
      <c r="J138" s="264"/>
      <c r="K138" s="1068"/>
      <c r="L138" s="411"/>
      <c r="M138" s="71" t="s">
        <v>179</v>
      </c>
      <c r="N138" s="531">
        <v>5</v>
      </c>
      <c r="O138" s="93">
        <v>5</v>
      </c>
      <c r="P138" s="223">
        <v>5</v>
      </c>
      <c r="Q138" s="443">
        <v>5</v>
      </c>
    </row>
    <row r="139" spans="1:21" s="2" customFormat="1" ht="43.5" customHeight="1" x14ac:dyDescent="0.35">
      <c r="A139" s="1009"/>
      <c r="B139" s="1010"/>
      <c r="C139" s="68"/>
      <c r="D139" s="807"/>
      <c r="E139" s="876"/>
      <c r="F139" s="875"/>
      <c r="G139" s="1730"/>
      <c r="H139" s="1006"/>
      <c r="I139" s="804"/>
      <c r="J139" s="137"/>
      <c r="K139" s="564"/>
      <c r="L139" s="805"/>
      <c r="M139" s="157" t="s">
        <v>180</v>
      </c>
      <c r="N139" s="531">
        <v>3</v>
      </c>
      <c r="O139" s="298">
        <v>3</v>
      </c>
      <c r="P139" s="241">
        <v>3</v>
      </c>
      <c r="Q139" s="443">
        <v>3</v>
      </c>
    </row>
    <row r="140" spans="1:21" s="2" customFormat="1" ht="42.75" customHeight="1" x14ac:dyDescent="0.35">
      <c r="A140" s="1009"/>
      <c r="B140" s="1010"/>
      <c r="C140" s="68"/>
      <c r="D140" s="807"/>
      <c r="E140" s="1016" t="s">
        <v>289</v>
      </c>
      <c r="F140" s="810"/>
      <c r="G140" s="1731"/>
      <c r="H140" s="1006" t="s">
        <v>16</v>
      </c>
      <c r="I140" s="804"/>
      <c r="J140" s="651">
        <v>54.6</v>
      </c>
      <c r="K140" s="652">
        <v>54.6</v>
      </c>
      <c r="L140" s="687">
        <v>54.6</v>
      </c>
      <c r="M140" s="157" t="s">
        <v>290</v>
      </c>
      <c r="N140" s="531"/>
      <c r="O140" s="298">
        <v>7</v>
      </c>
      <c r="P140" s="241">
        <v>7</v>
      </c>
      <c r="Q140" s="443">
        <v>7</v>
      </c>
    </row>
    <row r="141" spans="1:21" s="14" customFormat="1" ht="16.5" customHeight="1" thickBot="1" x14ac:dyDescent="0.4">
      <c r="A141" s="60"/>
      <c r="B141" s="1015"/>
      <c r="C141" s="48"/>
      <c r="D141" s="20"/>
      <c r="E141" s="1667" t="s">
        <v>27</v>
      </c>
      <c r="F141" s="1668"/>
      <c r="G141" s="1668"/>
      <c r="H141" s="1775"/>
      <c r="I141" s="610">
        <f>SUM(I71:I140)-I111-I113</f>
        <v>7149.4999999999982</v>
      </c>
      <c r="J141" s="680">
        <f>SUM(J71:J140)-J111-J113</f>
        <v>8976.1</v>
      </c>
      <c r="K141" s="682">
        <f>SUM(K71:K140)-K111-K113</f>
        <v>8828.0999999999985</v>
      </c>
      <c r="L141" s="681">
        <f>SUM(L71:L140)-L111-L113</f>
        <v>8713.0999999999985</v>
      </c>
      <c r="M141" s="159"/>
      <c r="N141" s="534"/>
      <c r="O141" s="923"/>
      <c r="P141" s="1069"/>
      <c r="Q141" s="444"/>
    </row>
    <row r="142" spans="1:21" s="14" customFormat="1" ht="41.25" customHeight="1" x14ac:dyDescent="0.35">
      <c r="A142" s="1679" t="s">
        <v>10</v>
      </c>
      <c r="B142" s="1456" t="s">
        <v>28</v>
      </c>
      <c r="C142" s="1681" t="s">
        <v>28</v>
      </c>
      <c r="D142" s="494"/>
      <c r="E142" s="489" t="s">
        <v>241</v>
      </c>
      <c r="F142" s="890" t="s">
        <v>265</v>
      </c>
      <c r="G142" s="1720" t="s">
        <v>172</v>
      </c>
      <c r="H142" s="485"/>
      <c r="I142" s="611"/>
      <c r="J142" s="485"/>
      <c r="K142" s="560"/>
      <c r="L142" s="486"/>
      <c r="M142" s="487"/>
      <c r="N142" s="552"/>
      <c r="O142" s="658"/>
      <c r="P142" s="659"/>
      <c r="Q142" s="488"/>
    </row>
    <row r="143" spans="1:21" s="15" customFormat="1" ht="25.15" customHeight="1" x14ac:dyDescent="0.35">
      <c r="A143" s="1680"/>
      <c r="B143" s="1457"/>
      <c r="C143" s="1682"/>
      <c r="D143" s="468" t="s">
        <v>10</v>
      </c>
      <c r="E143" s="1458" t="s">
        <v>243</v>
      </c>
      <c r="F143" s="834" t="s">
        <v>264</v>
      </c>
      <c r="G143" s="1721"/>
      <c r="H143" s="900" t="s">
        <v>16</v>
      </c>
      <c r="I143" s="593">
        <f>255.9+217</f>
        <v>472.9</v>
      </c>
      <c r="J143" s="758">
        <v>295.5</v>
      </c>
      <c r="K143" s="220">
        <v>321.7</v>
      </c>
      <c r="L143" s="408">
        <v>354.4</v>
      </c>
      <c r="M143" s="1771" t="s">
        <v>88</v>
      </c>
      <c r="N143" s="1773">
        <v>126</v>
      </c>
      <c r="O143" s="264">
        <v>146</v>
      </c>
      <c r="P143" s="1068">
        <v>150</v>
      </c>
      <c r="Q143" s="1050">
        <v>155</v>
      </c>
      <c r="R143" s="1691"/>
      <c r="S143" s="1692"/>
      <c r="T143" s="1692"/>
    </row>
    <row r="144" spans="1:21" s="15" customFormat="1" ht="36" customHeight="1" x14ac:dyDescent="0.35">
      <c r="A144" s="381"/>
      <c r="B144" s="379"/>
      <c r="C144" s="377"/>
      <c r="D144" s="481"/>
      <c r="E144" s="1459"/>
      <c r="F144" s="727"/>
      <c r="G144" s="989"/>
      <c r="H144" s="136" t="s">
        <v>206</v>
      </c>
      <c r="I144" s="581">
        <f>384.1-13.7</f>
        <v>370.40000000000003</v>
      </c>
      <c r="J144" s="759">
        <v>659.7</v>
      </c>
      <c r="K144" s="195">
        <v>659.7</v>
      </c>
      <c r="L144" s="405">
        <v>659.7</v>
      </c>
      <c r="M144" s="1772"/>
      <c r="N144" s="1774"/>
      <c r="O144" s="924"/>
      <c r="P144" s="925"/>
      <c r="Q144" s="926"/>
      <c r="R144" s="1691"/>
      <c r="S144" s="1692"/>
      <c r="T144" s="1692"/>
      <c r="U144" s="16"/>
    </row>
    <row r="145" spans="1:21" s="15" customFormat="1" ht="28.5" customHeight="1" x14ac:dyDescent="0.35">
      <c r="A145" s="381"/>
      <c r="B145" s="379"/>
      <c r="C145" s="377"/>
      <c r="D145" s="481" t="s">
        <v>28</v>
      </c>
      <c r="E145" s="491" t="s">
        <v>242</v>
      </c>
      <c r="F145" s="836" t="s">
        <v>264</v>
      </c>
      <c r="G145" s="989"/>
      <c r="H145" s="264" t="s">
        <v>206</v>
      </c>
      <c r="I145" s="590">
        <v>13.7</v>
      </c>
      <c r="J145" s="760">
        <v>7</v>
      </c>
      <c r="K145" s="761"/>
      <c r="L145" s="404"/>
      <c r="M145" s="491" t="s">
        <v>244</v>
      </c>
      <c r="N145" s="1057">
        <v>1</v>
      </c>
      <c r="O145" s="635">
        <v>1</v>
      </c>
      <c r="P145" s="234"/>
      <c r="Q145" s="477"/>
      <c r="U145" s="16"/>
    </row>
    <row r="146" spans="1:21" s="16" customFormat="1" ht="15.75" customHeight="1" thickBot="1" x14ac:dyDescent="0.4">
      <c r="A146" s="382"/>
      <c r="B146" s="380"/>
      <c r="C146" s="378"/>
      <c r="D146" s="495"/>
      <c r="E146" s="492"/>
      <c r="F146" s="392"/>
      <c r="G146" s="383"/>
      <c r="H146" s="490" t="s">
        <v>20</v>
      </c>
      <c r="I146" s="612">
        <f>SUM(I143:I145)</f>
        <v>857</v>
      </c>
      <c r="J146" s="192">
        <f t="shared" ref="J146:L146" si="12">SUM(J143:J145)</f>
        <v>962.2</v>
      </c>
      <c r="K146" s="197">
        <f t="shared" si="12"/>
        <v>981.40000000000009</v>
      </c>
      <c r="L146" s="188">
        <f t="shared" si="12"/>
        <v>1014.1</v>
      </c>
      <c r="M146" s="492"/>
      <c r="N146" s="533"/>
      <c r="O146" s="660"/>
      <c r="P146" s="250"/>
      <c r="Q146" s="493"/>
    </row>
    <row r="147" spans="1:21" s="1" customFormat="1" ht="42" customHeight="1" x14ac:dyDescent="0.35">
      <c r="A147" s="61" t="s">
        <v>10</v>
      </c>
      <c r="B147" s="17" t="s">
        <v>28</v>
      </c>
      <c r="C147" s="103" t="s">
        <v>31</v>
      </c>
      <c r="D147" s="104"/>
      <c r="E147" s="1492" t="s">
        <v>42</v>
      </c>
      <c r="F147" s="393"/>
      <c r="G147" s="988" t="s">
        <v>172</v>
      </c>
      <c r="H147" s="79"/>
      <c r="I147" s="613"/>
      <c r="J147" s="762"/>
      <c r="K147" s="763"/>
      <c r="L147" s="418"/>
      <c r="M147" s="1024"/>
      <c r="N147" s="526"/>
      <c r="O147" s="13"/>
      <c r="P147" s="509"/>
      <c r="Q147" s="434"/>
    </row>
    <row r="148" spans="1:21" s="1" customFormat="1" ht="52.5" customHeight="1" x14ac:dyDescent="0.35">
      <c r="A148" s="62"/>
      <c r="B148" s="18"/>
      <c r="C148" s="1055"/>
      <c r="D148" s="105"/>
      <c r="E148" s="1493"/>
      <c r="F148" s="704"/>
      <c r="G148" s="989"/>
      <c r="H148" s="132"/>
      <c r="I148" s="614"/>
      <c r="J148" s="764"/>
      <c r="K148" s="765"/>
      <c r="L148" s="419"/>
      <c r="M148" s="349"/>
      <c r="N148" s="843"/>
      <c r="O148" s="639"/>
      <c r="P148" s="236"/>
      <c r="Q148" s="462"/>
    </row>
    <row r="149" spans="1:21" s="1" customFormat="1" ht="55.5" customHeight="1" x14ac:dyDescent="0.35">
      <c r="A149" s="62"/>
      <c r="B149" s="18"/>
      <c r="C149" s="1055"/>
      <c r="D149" s="110" t="s">
        <v>10</v>
      </c>
      <c r="E149" s="386" t="s">
        <v>81</v>
      </c>
      <c r="F149" s="1080" t="s">
        <v>293</v>
      </c>
      <c r="G149" s="989"/>
      <c r="H149" s="298" t="s">
        <v>206</v>
      </c>
      <c r="I149" s="101">
        <v>70</v>
      </c>
      <c r="J149" s="759">
        <v>82.6</v>
      </c>
      <c r="K149" s="195">
        <v>82.6</v>
      </c>
      <c r="L149" s="420">
        <v>82.6</v>
      </c>
      <c r="M149" s="1088" t="s">
        <v>195</v>
      </c>
      <c r="N149" s="843">
        <v>13</v>
      </c>
      <c r="O149" s="639">
        <v>13</v>
      </c>
      <c r="P149" s="236">
        <v>13</v>
      </c>
      <c r="Q149" s="462">
        <v>13</v>
      </c>
    </row>
    <row r="150" spans="1:21" s="1" customFormat="1" ht="41.25" customHeight="1" x14ac:dyDescent="0.35">
      <c r="A150" s="62"/>
      <c r="B150" s="18"/>
      <c r="C150" s="1055"/>
      <c r="D150" s="105" t="s">
        <v>28</v>
      </c>
      <c r="E150" s="1464" t="s">
        <v>82</v>
      </c>
      <c r="F150" s="1079" t="s">
        <v>293</v>
      </c>
      <c r="G150" s="989"/>
      <c r="H150" s="121" t="s">
        <v>16</v>
      </c>
      <c r="I150" s="615">
        <f>72-9</f>
        <v>63</v>
      </c>
      <c r="J150" s="766">
        <v>51.9</v>
      </c>
      <c r="K150" s="767">
        <v>51.9</v>
      </c>
      <c r="L150" s="421">
        <v>51.9</v>
      </c>
      <c r="M150" s="1697" t="s">
        <v>123</v>
      </c>
      <c r="N150" s="544">
        <v>20</v>
      </c>
      <c r="O150" s="661">
        <v>14</v>
      </c>
      <c r="P150" s="662">
        <v>14</v>
      </c>
      <c r="Q150" s="456">
        <v>14</v>
      </c>
    </row>
    <row r="151" spans="1:21" s="1" customFormat="1" ht="16.5" customHeight="1" x14ac:dyDescent="0.35">
      <c r="A151" s="62"/>
      <c r="B151" s="18"/>
      <c r="C151" s="1055"/>
      <c r="D151" s="105"/>
      <c r="E151" s="1465"/>
      <c r="F151" s="888" t="s">
        <v>167</v>
      </c>
      <c r="G151" s="989"/>
      <c r="H151" s="75"/>
      <c r="I151" s="98"/>
      <c r="J151" s="768"/>
      <c r="K151" s="291"/>
      <c r="L151" s="422"/>
      <c r="M151" s="1698"/>
      <c r="N151" s="545"/>
      <c r="O151" s="663"/>
      <c r="P151" s="243"/>
      <c r="Q151" s="457"/>
    </row>
    <row r="152" spans="1:21" s="1" customFormat="1" ht="22.5" customHeight="1" x14ac:dyDescent="0.35">
      <c r="A152" s="62"/>
      <c r="B152" s="18"/>
      <c r="C152" s="1055"/>
      <c r="D152" s="1077" t="s">
        <v>31</v>
      </c>
      <c r="E152" s="1464" t="s">
        <v>230</v>
      </c>
      <c r="F152" s="1079" t="s">
        <v>167</v>
      </c>
      <c r="G152" s="989"/>
      <c r="H152" s="135" t="s">
        <v>16</v>
      </c>
      <c r="I152" s="568">
        <f>80.9+51.5</f>
        <v>132.4</v>
      </c>
      <c r="J152" s="760">
        <v>138.4</v>
      </c>
      <c r="K152" s="761">
        <v>138.4</v>
      </c>
      <c r="L152" s="411">
        <v>138.4</v>
      </c>
      <c r="M152" s="1490" t="s">
        <v>171</v>
      </c>
      <c r="N152" s="1765">
        <v>80</v>
      </c>
      <c r="O152" s="1767">
        <v>80</v>
      </c>
      <c r="P152" s="1604">
        <v>80</v>
      </c>
      <c r="Q152" s="1702">
        <v>80</v>
      </c>
    </row>
    <row r="153" spans="1:21" s="1" customFormat="1" ht="21" customHeight="1" x14ac:dyDescent="0.35">
      <c r="A153" s="62"/>
      <c r="B153" s="18"/>
      <c r="C153" s="1055"/>
      <c r="D153" s="105"/>
      <c r="E153" s="1463"/>
      <c r="F153" s="888" t="s">
        <v>264</v>
      </c>
      <c r="G153" s="989"/>
      <c r="H153" s="298" t="s">
        <v>206</v>
      </c>
      <c r="I153" s="101">
        <f>322.5-51.5</f>
        <v>271</v>
      </c>
      <c r="J153" s="759">
        <v>270.3</v>
      </c>
      <c r="K153" s="195">
        <v>270.3</v>
      </c>
      <c r="L153" s="420">
        <v>270.3</v>
      </c>
      <c r="M153" s="1764"/>
      <c r="N153" s="1766"/>
      <c r="O153" s="1768"/>
      <c r="P153" s="1769"/>
      <c r="Q153" s="1770"/>
    </row>
    <row r="154" spans="1:21" s="1" customFormat="1" ht="42.75" customHeight="1" x14ac:dyDescent="0.35">
      <c r="A154" s="62"/>
      <c r="B154" s="18"/>
      <c r="C154" s="1055"/>
      <c r="D154" s="105"/>
      <c r="E154" s="1463"/>
      <c r="F154" s="888" t="s">
        <v>265</v>
      </c>
      <c r="G154" s="989"/>
      <c r="H154" s="298"/>
      <c r="I154" s="101"/>
      <c r="J154" s="759"/>
      <c r="K154" s="195"/>
      <c r="L154" s="420"/>
      <c r="M154" s="151" t="s">
        <v>185</v>
      </c>
      <c r="N154" s="1020">
        <v>20</v>
      </c>
      <c r="O154" s="656"/>
      <c r="P154" s="1003"/>
      <c r="Q154" s="1035"/>
    </row>
    <row r="155" spans="1:21" s="1" customFormat="1" ht="34.9" customHeight="1" x14ac:dyDescent="0.35">
      <c r="A155" s="62"/>
      <c r="B155" s="18"/>
      <c r="C155" s="1055"/>
      <c r="D155" s="1077" t="s">
        <v>33</v>
      </c>
      <c r="E155" s="1464" t="s">
        <v>83</v>
      </c>
      <c r="F155" s="1079" t="s">
        <v>265</v>
      </c>
      <c r="G155" s="989"/>
      <c r="H155" s="298" t="s">
        <v>206</v>
      </c>
      <c r="I155" s="101">
        <f>422-54.2</f>
        <v>367.8</v>
      </c>
      <c r="J155" s="759">
        <v>544.79999999999995</v>
      </c>
      <c r="K155" s="195">
        <v>544.79999999999995</v>
      </c>
      <c r="L155" s="420">
        <v>544.79999999999995</v>
      </c>
      <c r="M155" s="1757" t="s">
        <v>124</v>
      </c>
      <c r="N155" s="1017">
        <v>200</v>
      </c>
      <c r="O155" s="647">
        <v>200</v>
      </c>
      <c r="P155" s="1036">
        <v>200</v>
      </c>
      <c r="Q155" s="1038">
        <v>200</v>
      </c>
    </row>
    <row r="156" spans="1:21" s="1" customFormat="1" ht="25.5" customHeight="1" x14ac:dyDescent="0.35">
      <c r="A156" s="62"/>
      <c r="B156" s="18"/>
      <c r="C156" s="1055"/>
      <c r="D156" s="105"/>
      <c r="E156" s="1465"/>
      <c r="F156" s="1080" t="s">
        <v>281</v>
      </c>
      <c r="G156" s="989"/>
      <c r="H156" s="297" t="s">
        <v>16</v>
      </c>
      <c r="I156" s="604">
        <v>54.2</v>
      </c>
      <c r="J156" s="769"/>
      <c r="K156" s="770"/>
      <c r="L156" s="408"/>
      <c r="M156" s="1759"/>
      <c r="N156" s="553"/>
      <c r="O156" s="654"/>
      <c r="P156" s="1037"/>
      <c r="Q156" s="293"/>
    </row>
    <row r="157" spans="1:21" s="1" customFormat="1" ht="30" customHeight="1" x14ac:dyDescent="0.35">
      <c r="A157" s="62"/>
      <c r="B157" s="18"/>
      <c r="C157" s="1055"/>
      <c r="D157" s="1760" t="s">
        <v>34</v>
      </c>
      <c r="E157" s="1454" t="s">
        <v>91</v>
      </c>
      <c r="F157" s="1762" t="s">
        <v>264</v>
      </c>
      <c r="G157" s="989"/>
      <c r="H157" s="298" t="s">
        <v>206</v>
      </c>
      <c r="I157" s="101">
        <v>26</v>
      </c>
      <c r="J157" s="759">
        <v>35.200000000000003</v>
      </c>
      <c r="K157" s="195">
        <v>35.200000000000003</v>
      </c>
      <c r="L157" s="420">
        <v>35.200000000000003</v>
      </c>
      <c r="M157" s="1428" t="s">
        <v>125</v>
      </c>
      <c r="N157" s="1751">
        <v>150</v>
      </c>
      <c r="O157" s="1685">
        <v>150</v>
      </c>
      <c r="P157" s="1687">
        <v>150</v>
      </c>
      <c r="Q157" s="1689">
        <v>150</v>
      </c>
    </row>
    <row r="158" spans="1:21" s="1" customFormat="1" ht="48" customHeight="1" x14ac:dyDescent="0.35">
      <c r="A158" s="62"/>
      <c r="B158" s="18"/>
      <c r="C158" s="1055"/>
      <c r="D158" s="1761"/>
      <c r="E158" s="1455"/>
      <c r="F158" s="1763"/>
      <c r="G158" s="989"/>
      <c r="H158" s="298" t="s">
        <v>16</v>
      </c>
      <c r="I158" s="101">
        <v>21.4</v>
      </c>
      <c r="J158" s="759"/>
      <c r="K158" s="195"/>
      <c r="L158" s="420"/>
      <c r="M158" s="1603"/>
      <c r="N158" s="1756"/>
      <c r="O158" s="1686"/>
      <c r="P158" s="1688"/>
      <c r="Q158" s="1690"/>
    </row>
    <row r="159" spans="1:21" s="1" customFormat="1" ht="57" customHeight="1" x14ac:dyDescent="0.35">
      <c r="A159" s="1009"/>
      <c r="B159" s="1010"/>
      <c r="C159" s="1011"/>
      <c r="D159" s="108" t="s">
        <v>48</v>
      </c>
      <c r="E159" s="261" t="s">
        <v>43</v>
      </c>
      <c r="F159" s="1079" t="s">
        <v>264</v>
      </c>
      <c r="G159" s="42"/>
      <c r="H159" s="296" t="s">
        <v>206</v>
      </c>
      <c r="I159" s="95">
        <f>21.2-4-13.6</f>
        <v>3.5999999999999996</v>
      </c>
      <c r="J159" s="758">
        <v>24.4</v>
      </c>
      <c r="K159" s="220">
        <v>24.4</v>
      </c>
      <c r="L159" s="423">
        <v>24.4</v>
      </c>
      <c r="M159" s="350" t="s">
        <v>126</v>
      </c>
      <c r="N159" s="554">
        <v>20</v>
      </c>
      <c r="O159" s="664">
        <v>20</v>
      </c>
      <c r="P159" s="221">
        <v>20</v>
      </c>
      <c r="Q159" s="465">
        <v>20</v>
      </c>
    </row>
    <row r="160" spans="1:21" s="1" customFormat="1" ht="18.649999999999999" customHeight="1" x14ac:dyDescent="0.35">
      <c r="A160" s="1009"/>
      <c r="B160" s="1010"/>
      <c r="C160" s="1011"/>
      <c r="D160" s="108" t="s">
        <v>49</v>
      </c>
      <c r="E160" s="1496" t="s">
        <v>197</v>
      </c>
      <c r="F160" s="1079" t="s">
        <v>264</v>
      </c>
      <c r="G160" s="42"/>
      <c r="H160" s="298" t="s">
        <v>206</v>
      </c>
      <c r="I160" s="603">
        <f>59.6-35.4</f>
        <v>24.200000000000003</v>
      </c>
      <c r="J160" s="759">
        <v>319.3</v>
      </c>
      <c r="K160" s="195">
        <v>372.6</v>
      </c>
      <c r="L160" s="405">
        <v>425.8</v>
      </c>
      <c r="M160" s="1757" t="s">
        <v>198</v>
      </c>
      <c r="N160" s="1017">
        <v>25</v>
      </c>
      <c r="O160" s="647">
        <v>30</v>
      </c>
      <c r="P160" s="1036">
        <v>35</v>
      </c>
      <c r="Q160" s="1038">
        <v>40</v>
      </c>
      <c r="R160" s="1691"/>
      <c r="S160" s="1692"/>
      <c r="T160" s="1692"/>
    </row>
    <row r="161" spans="1:20" s="1" customFormat="1" ht="18.649999999999999" customHeight="1" x14ac:dyDescent="0.35">
      <c r="A161" s="1009"/>
      <c r="B161" s="1010"/>
      <c r="C161" s="1011"/>
      <c r="D161" s="634"/>
      <c r="E161" s="1497"/>
      <c r="F161" s="888" t="s">
        <v>265</v>
      </c>
      <c r="G161" s="42"/>
      <c r="H161" s="135" t="s">
        <v>16</v>
      </c>
      <c r="I161" s="605">
        <v>59.6</v>
      </c>
      <c r="J161" s="760"/>
      <c r="K161" s="761"/>
      <c r="L161" s="207"/>
      <c r="M161" s="1750"/>
      <c r="N161" s="554"/>
      <c r="O161" s="927"/>
      <c r="P161" s="928"/>
      <c r="Q161" s="929"/>
      <c r="R161" s="1691"/>
      <c r="S161" s="1692"/>
      <c r="T161" s="1692"/>
    </row>
    <row r="162" spans="1:20" s="1" customFormat="1" ht="16.149999999999999" customHeight="1" thickBot="1" x14ac:dyDescent="0.4">
      <c r="A162" s="1013"/>
      <c r="B162" s="1015"/>
      <c r="C162" s="1053"/>
      <c r="D162" s="1041"/>
      <c r="E162" s="1498"/>
      <c r="F162" s="394"/>
      <c r="G162" s="133"/>
      <c r="H162" s="49" t="s">
        <v>20</v>
      </c>
      <c r="I162" s="612">
        <f>SUM(I149:I161)</f>
        <v>1093.2</v>
      </c>
      <c r="J162" s="192">
        <f>SUM(J149:J161)</f>
        <v>1466.9</v>
      </c>
      <c r="K162" s="197">
        <f>SUM(K149:K161)</f>
        <v>1520.2000000000003</v>
      </c>
      <c r="L162" s="188">
        <f>SUM(L149:L161)</f>
        <v>1573.4</v>
      </c>
      <c r="M162" s="1758"/>
      <c r="N162" s="1018"/>
      <c r="O162" s="648"/>
      <c r="P162" s="1045"/>
      <c r="Q162" s="1047"/>
      <c r="R162" s="1691"/>
      <c r="S162" s="1692"/>
      <c r="T162" s="1692"/>
    </row>
    <row r="163" spans="1:20" s="1" customFormat="1" ht="15.75" customHeight="1" x14ac:dyDescent="0.35">
      <c r="A163" s="61" t="s">
        <v>10</v>
      </c>
      <c r="B163" s="17" t="s">
        <v>28</v>
      </c>
      <c r="C163" s="103" t="s">
        <v>33</v>
      </c>
      <c r="D163" s="104"/>
      <c r="E163" s="1492" t="s">
        <v>44</v>
      </c>
      <c r="F163" s="141" t="s">
        <v>265</v>
      </c>
      <c r="G163" s="1720" t="s">
        <v>172</v>
      </c>
      <c r="H163" s="81"/>
      <c r="I163" s="616"/>
      <c r="J163" s="771"/>
      <c r="K163" s="200"/>
      <c r="L163" s="780"/>
      <c r="M163" s="784"/>
      <c r="N163" s="555"/>
      <c r="O163" s="13"/>
      <c r="P163" s="509"/>
      <c r="Q163" s="466"/>
    </row>
    <row r="164" spans="1:20" s="1" customFormat="1" ht="15.75" customHeight="1" x14ac:dyDescent="0.35">
      <c r="A164" s="62"/>
      <c r="B164" s="18"/>
      <c r="C164" s="1055"/>
      <c r="D164" s="105"/>
      <c r="E164" s="1670"/>
      <c r="F164" s="395"/>
      <c r="G164" s="1721"/>
      <c r="H164" s="82"/>
      <c r="I164" s="607"/>
      <c r="J164" s="772"/>
      <c r="K164" s="773"/>
      <c r="L164" s="781"/>
      <c r="M164" s="785"/>
      <c r="N164" s="312"/>
      <c r="O164" s="12"/>
      <c r="P164" s="239"/>
      <c r="Q164" s="467"/>
    </row>
    <row r="165" spans="1:20" s="1" customFormat="1" ht="27.65" customHeight="1" x14ac:dyDescent="0.35">
      <c r="A165" s="62"/>
      <c r="B165" s="18"/>
      <c r="C165" s="1055"/>
      <c r="D165" s="1077" t="s">
        <v>10</v>
      </c>
      <c r="E165" s="170" t="s">
        <v>45</v>
      </c>
      <c r="F165" s="1079" t="s">
        <v>167</v>
      </c>
      <c r="G165" s="1721"/>
      <c r="H165" s="93" t="s">
        <v>16</v>
      </c>
      <c r="I165" s="617">
        <v>23.2</v>
      </c>
      <c r="J165" s="175">
        <v>23.2</v>
      </c>
      <c r="K165" s="185">
        <v>23.2</v>
      </c>
      <c r="L165" s="782">
        <v>23.2</v>
      </c>
      <c r="M165" s="1477" t="s">
        <v>238</v>
      </c>
      <c r="N165" s="990">
        <v>20</v>
      </c>
      <c r="O165" s="638">
        <v>20</v>
      </c>
      <c r="P165" s="245">
        <v>20</v>
      </c>
      <c r="Q165" s="986">
        <v>20</v>
      </c>
      <c r="T165" s="2"/>
    </row>
    <row r="166" spans="1:20" s="1" customFormat="1" ht="27.65" customHeight="1" x14ac:dyDescent="0.35">
      <c r="A166" s="62"/>
      <c r="B166" s="18"/>
      <c r="C166" s="1055"/>
      <c r="D166" s="105"/>
      <c r="E166" s="172"/>
      <c r="F166" s="888" t="s">
        <v>264</v>
      </c>
      <c r="G166" s="989"/>
      <c r="H166" s="93" t="s">
        <v>206</v>
      </c>
      <c r="I166" s="617">
        <v>21.8</v>
      </c>
      <c r="J166" s="175">
        <v>76.8</v>
      </c>
      <c r="K166" s="185">
        <v>76.8</v>
      </c>
      <c r="L166" s="782">
        <v>76.8</v>
      </c>
      <c r="M166" s="1478"/>
      <c r="N166" s="1064"/>
      <c r="O166" s="12"/>
      <c r="P166" s="239"/>
      <c r="Q166" s="950"/>
      <c r="T166" s="2"/>
    </row>
    <row r="167" spans="1:20" s="1" customFormat="1" ht="15" customHeight="1" x14ac:dyDescent="0.35">
      <c r="A167" s="1473"/>
      <c r="B167" s="1470"/>
      <c r="C167" s="1011"/>
      <c r="D167" s="108" t="s">
        <v>28</v>
      </c>
      <c r="E167" s="1595" t="s">
        <v>46</v>
      </c>
      <c r="F167" s="834" t="s">
        <v>264</v>
      </c>
      <c r="G167" s="1061"/>
      <c r="H167" s="93" t="s">
        <v>16</v>
      </c>
      <c r="I167" s="101">
        <v>20</v>
      </c>
      <c r="J167" s="175">
        <v>20</v>
      </c>
      <c r="K167" s="185">
        <v>20</v>
      </c>
      <c r="L167" s="782">
        <v>20</v>
      </c>
      <c r="M167" s="1593" t="s">
        <v>160</v>
      </c>
      <c r="N167" s="1017">
        <v>12</v>
      </c>
      <c r="O167" s="665">
        <v>12</v>
      </c>
      <c r="P167" s="259">
        <v>12</v>
      </c>
      <c r="Q167" s="1038">
        <v>12</v>
      </c>
    </row>
    <row r="168" spans="1:20" s="1" customFormat="1" ht="15" customHeight="1" x14ac:dyDescent="0.35">
      <c r="A168" s="1473"/>
      <c r="B168" s="1470"/>
      <c r="C168" s="1011"/>
      <c r="D168" s="634"/>
      <c r="E168" s="1655"/>
      <c r="F168" s="779"/>
      <c r="G168" s="1061"/>
      <c r="H168" s="27" t="s">
        <v>206</v>
      </c>
      <c r="I168" s="95">
        <v>32.799999999999997</v>
      </c>
      <c r="J168" s="332">
        <v>34</v>
      </c>
      <c r="K168" s="295">
        <v>34</v>
      </c>
      <c r="L168" s="781">
        <v>34</v>
      </c>
      <c r="M168" s="1594"/>
      <c r="N168" s="554"/>
      <c r="O168" s="666"/>
      <c r="P168" s="240"/>
      <c r="Q168" s="465"/>
    </row>
    <row r="169" spans="1:20" s="1" customFormat="1" ht="15" customHeight="1" x14ac:dyDescent="0.35">
      <c r="A169" s="1473"/>
      <c r="B169" s="1470"/>
      <c r="C169" s="1011"/>
      <c r="D169" s="634"/>
      <c r="E169" s="1655"/>
      <c r="F169" s="779"/>
      <c r="G169" s="1061"/>
      <c r="H169" s="131" t="s">
        <v>30</v>
      </c>
      <c r="I169" s="606">
        <v>263.7</v>
      </c>
      <c r="J169" s="774">
        <v>269.60000000000002</v>
      </c>
      <c r="K169" s="775">
        <v>269.60000000000002</v>
      </c>
      <c r="L169" s="783">
        <v>269.60000000000002</v>
      </c>
      <c r="M169" s="1661"/>
      <c r="N169" s="787"/>
      <c r="O169" s="663"/>
      <c r="P169" s="243"/>
      <c r="Q169" s="788"/>
    </row>
    <row r="170" spans="1:20" s="1" customFormat="1" ht="19.5" customHeight="1" thickBot="1" x14ac:dyDescent="0.4">
      <c r="A170" s="1013"/>
      <c r="B170" s="1015"/>
      <c r="C170" s="904"/>
      <c r="D170" s="905"/>
      <c r="E170" s="906"/>
      <c r="F170" s="907"/>
      <c r="G170" s="1023"/>
      <c r="H170" s="80" t="s">
        <v>20</v>
      </c>
      <c r="I170" s="612">
        <f>SUM(I165:I169)</f>
        <v>361.5</v>
      </c>
      <c r="J170" s="192">
        <f>SUM(J165:J169)</f>
        <v>423.6</v>
      </c>
      <c r="K170" s="197">
        <f>SUM(K165:K169)</f>
        <v>423.6</v>
      </c>
      <c r="L170" s="302">
        <f>SUM(L165:L169)</f>
        <v>423.6</v>
      </c>
      <c r="M170" s="786"/>
      <c r="N170" s="556"/>
      <c r="O170" s="667"/>
      <c r="P170" s="260"/>
      <c r="Q170" s="20"/>
    </row>
    <row r="171" spans="1:20" s="1" customFormat="1" ht="16.149999999999999" customHeight="1" x14ac:dyDescent="0.35">
      <c r="A171" s="61" t="s">
        <v>10</v>
      </c>
      <c r="B171" s="17" t="s">
        <v>28</v>
      </c>
      <c r="C171" s="122" t="s">
        <v>34</v>
      </c>
      <c r="D171" s="751"/>
      <c r="E171" s="752" t="s">
        <v>47</v>
      </c>
      <c r="F171" s="837" t="s">
        <v>264</v>
      </c>
      <c r="G171" s="1747" t="s">
        <v>199</v>
      </c>
      <c r="H171" s="52" t="s">
        <v>16</v>
      </c>
      <c r="I171" s="753">
        <v>16.7</v>
      </c>
      <c r="J171" s="208">
        <v>16.3</v>
      </c>
      <c r="K171" s="198">
        <v>18.7</v>
      </c>
      <c r="L171" s="426">
        <v>18.7</v>
      </c>
      <c r="M171" s="1749" t="s">
        <v>245</v>
      </c>
      <c r="N171" s="1043">
        <v>25</v>
      </c>
      <c r="O171" s="646">
        <v>26</v>
      </c>
      <c r="P171" s="1044">
        <v>26</v>
      </c>
      <c r="Q171" s="1046">
        <v>26</v>
      </c>
    </row>
    <row r="172" spans="1:20" s="1" customFormat="1" ht="16.149999999999999" customHeight="1" x14ac:dyDescent="0.35">
      <c r="A172" s="62"/>
      <c r="B172" s="18"/>
      <c r="C172" s="123"/>
      <c r="D172" s="1073"/>
      <c r="E172" s="172"/>
      <c r="F172" s="813" t="s">
        <v>265</v>
      </c>
      <c r="G172" s="1748"/>
      <c r="H172" s="93" t="s">
        <v>109</v>
      </c>
      <c r="I172" s="101">
        <v>1.3</v>
      </c>
      <c r="J172" s="175"/>
      <c r="K172" s="185"/>
      <c r="L172" s="410"/>
      <c r="M172" s="1750"/>
      <c r="N172" s="554"/>
      <c r="O172" s="664"/>
      <c r="P172" s="221"/>
      <c r="Q172" s="465"/>
    </row>
    <row r="173" spans="1:20" s="1" customFormat="1" ht="16.149999999999999" customHeight="1" x14ac:dyDescent="0.35">
      <c r="A173" s="62"/>
      <c r="B173" s="18"/>
      <c r="C173" s="123"/>
      <c r="D173" s="1073"/>
      <c r="E173" s="172"/>
      <c r="F173" s="754"/>
      <c r="G173" s="1748"/>
      <c r="H173" s="27" t="s">
        <v>206</v>
      </c>
      <c r="I173" s="95">
        <f>63.3+35.4</f>
        <v>98.699999999999989</v>
      </c>
      <c r="J173" s="332">
        <v>98.7</v>
      </c>
      <c r="K173" s="295">
        <v>98.7</v>
      </c>
      <c r="L173" s="776">
        <v>98.7</v>
      </c>
      <c r="M173" s="152"/>
      <c r="N173" s="1081"/>
      <c r="O173" s="654"/>
      <c r="P173" s="1037"/>
      <c r="Q173" s="1039"/>
    </row>
    <row r="174" spans="1:20" s="1" customFormat="1" ht="27" customHeight="1" x14ac:dyDescent="0.35">
      <c r="A174" s="62"/>
      <c r="B174" s="18"/>
      <c r="C174" s="123"/>
      <c r="D174" s="1073"/>
      <c r="E174" s="172"/>
      <c r="F174" s="754"/>
      <c r="G174" s="1748"/>
      <c r="H174" s="124" t="s">
        <v>30</v>
      </c>
      <c r="I174" s="590">
        <f>106.3+91.9+20.9</f>
        <v>219.1</v>
      </c>
      <c r="J174" s="709">
        <v>207.7</v>
      </c>
      <c r="K174" s="186">
        <v>207.7</v>
      </c>
      <c r="L174" s="409">
        <v>207.7</v>
      </c>
      <c r="M174" s="152" t="s">
        <v>136</v>
      </c>
      <c r="N174" s="1081">
        <v>8</v>
      </c>
      <c r="O174" s="654">
        <v>5</v>
      </c>
      <c r="P174" s="1037">
        <v>5</v>
      </c>
      <c r="Q174" s="1039">
        <v>5</v>
      </c>
      <c r="S174" s="2"/>
    </row>
    <row r="175" spans="1:20" s="1" customFormat="1" ht="42.75" customHeight="1" x14ac:dyDescent="0.35">
      <c r="A175" s="62"/>
      <c r="B175" s="18"/>
      <c r="C175" s="123"/>
      <c r="D175" s="1073"/>
      <c r="E175" s="172"/>
      <c r="F175" s="754"/>
      <c r="G175" s="755"/>
      <c r="H175" s="88"/>
      <c r="I175" s="756"/>
      <c r="J175" s="777"/>
      <c r="K175" s="199"/>
      <c r="L175" s="778"/>
      <c r="M175" s="152" t="s">
        <v>89</v>
      </c>
      <c r="N175" s="1081">
        <v>8</v>
      </c>
      <c r="O175" s="654">
        <v>10</v>
      </c>
      <c r="P175" s="1037">
        <v>10</v>
      </c>
      <c r="Q175" s="1039">
        <v>10</v>
      </c>
    </row>
    <row r="176" spans="1:20" s="1" customFormat="1" ht="25.5" customHeight="1" x14ac:dyDescent="0.35">
      <c r="A176" s="62"/>
      <c r="B176" s="18"/>
      <c r="C176" s="123"/>
      <c r="D176" s="1073"/>
      <c r="E176" s="172"/>
      <c r="F176" s="754"/>
      <c r="G176" s="1064"/>
      <c r="H176" s="88"/>
      <c r="I176" s="609"/>
      <c r="J176" s="777"/>
      <c r="K176" s="199"/>
      <c r="L176" s="757"/>
      <c r="M176" s="1496" t="s">
        <v>100</v>
      </c>
      <c r="N176" s="1751">
        <v>36</v>
      </c>
      <c r="O176" s="647">
        <v>36</v>
      </c>
      <c r="P176" s="1036">
        <v>36</v>
      </c>
      <c r="Q176" s="1689">
        <v>36</v>
      </c>
    </row>
    <row r="177" spans="1:18" s="1" customFormat="1" ht="16.5" customHeight="1" thickBot="1" x14ac:dyDescent="0.4">
      <c r="A177" s="62"/>
      <c r="B177" s="18"/>
      <c r="C177" s="123"/>
      <c r="D177" s="1073"/>
      <c r="E177" s="387"/>
      <c r="F177" s="754"/>
      <c r="G177" s="346"/>
      <c r="H177" s="83" t="s">
        <v>20</v>
      </c>
      <c r="I177" s="100">
        <f>SUM(I171:I176)</f>
        <v>335.79999999999995</v>
      </c>
      <c r="J177" s="9">
        <f t="shared" ref="J177:L177" si="13">SUM(J171:J176)</f>
        <v>322.7</v>
      </c>
      <c r="K177" s="187">
        <f t="shared" si="13"/>
        <v>325.10000000000002</v>
      </c>
      <c r="L177" s="176">
        <f t="shared" si="13"/>
        <v>325.10000000000002</v>
      </c>
      <c r="M177" s="1498"/>
      <c r="N177" s="1752"/>
      <c r="O177" s="648"/>
      <c r="P177" s="1045"/>
      <c r="Q177" s="1582"/>
      <c r="R177" s="2"/>
    </row>
    <row r="178" spans="1:18" s="1" customFormat="1" ht="27" customHeight="1" x14ac:dyDescent="0.35">
      <c r="A178" s="1012" t="s">
        <v>10</v>
      </c>
      <c r="B178" s="1014" t="s">
        <v>28</v>
      </c>
      <c r="C178" s="1052" t="s">
        <v>48</v>
      </c>
      <c r="D178" s="1040"/>
      <c r="E178" s="1494" t="s">
        <v>92</v>
      </c>
      <c r="F178" s="1042" t="s">
        <v>264</v>
      </c>
      <c r="G178" s="1745" t="s">
        <v>172</v>
      </c>
      <c r="H178" s="81" t="s">
        <v>16</v>
      </c>
      <c r="I178" s="618">
        <v>5.2</v>
      </c>
      <c r="J178" s="208">
        <v>5.2</v>
      </c>
      <c r="K178" s="200">
        <v>5.2</v>
      </c>
      <c r="L178" s="425">
        <v>5.2</v>
      </c>
      <c r="M178" s="1754" t="s">
        <v>140</v>
      </c>
      <c r="N178" s="557">
        <v>2</v>
      </c>
      <c r="O178" s="13">
        <v>2</v>
      </c>
      <c r="P178" s="509">
        <v>2</v>
      </c>
      <c r="Q178" s="469">
        <v>2</v>
      </c>
    </row>
    <row r="179" spans="1:18" s="1" customFormat="1" ht="16.5" customHeight="1" thickBot="1" x14ac:dyDescent="0.4">
      <c r="A179" s="1013"/>
      <c r="B179" s="1015"/>
      <c r="C179" s="1053"/>
      <c r="D179" s="1041"/>
      <c r="E179" s="1495"/>
      <c r="F179" s="396"/>
      <c r="G179" s="1753"/>
      <c r="H179" s="80" t="s">
        <v>20</v>
      </c>
      <c r="I179" s="100">
        <f>I178</f>
        <v>5.2</v>
      </c>
      <c r="J179" s="9">
        <f t="shared" ref="J179:L179" si="14">J178</f>
        <v>5.2</v>
      </c>
      <c r="K179" s="187">
        <f t="shared" si="14"/>
        <v>5.2</v>
      </c>
      <c r="L179" s="176">
        <f t="shared" si="14"/>
        <v>5.2</v>
      </c>
      <c r="M179" s="1755"/>
      <c r="N179" s="117"/>
      <c r="O179" s="11"/>
      <c r="P179" s="510"/>
      <c r="Q179" s="470"/>
    </row>
    <row r="180" spans="1:18" s="1" customFormat="1" ht="15" customHeight="1" x14ac:dyDescent="0.35">
      <c r="A180" s="1482" t="s">
        <v>10</v>
      </c>
      <c r="B180" s="1672" t="s">
        <v>28</v>
      </c>
      <c r="C180" s="1483" t="s">
        <v>49</v>
      </c>
      <c r="D180" s="1040"/>
      <c r="E180" s="1676" t="s">
        <v>94</v>
      </c>
      <c r="F180" s="1507" t="s">
        <v>264</v>
      </c>
      <c r="G180" s="1745" t="s">
        <v>172</v>
      </c>
      <c r="H180" s="55" t="s">
        <v>14</v>
      </c>
      <c r="I180" s="586">
        <v>88.9</v>
      </c>
      <c r="J180" s="717">
        <v>11.9</v>
      </c>
      <c r="K180" s="718"/>
      <c r="L180" s="426"/>
      <c r="M180" s="153" t="s">
        <v>93</v>
      </c>
      <c r="N180" s="555">
        <v>350</v>
      </c>
      <c r="O180" s="13">
        <v>900</v>
      </c>
      <c r="P180" s="509"/>
      <c r="Q180" s="466"/>
    </row>
    <row r="181" spans="1:18" s="1" customFormat="1" ht="15" customHeight="1" x14ac:dyDescent="0.35">
      <c r="A181" s="1466"/>
      <c r="B181" s="1467"/>
      <c r="C181" s="1469"/>
      <c r="D181" s="634"/>
      <c r="E181" s="1599"/>
      <c r="F181" s="1744"/>
      <c r="G181" s="1746"/>
      <c r="H181" s="47" t="s">
        <v>158</v>
      </c>
      <c r="I181" s="595">
        <v>0.5</v>
      </c>
      <c r="J181" s="719">
        <v>4</v>
      </c>
      <c r="K181" s="720"/>
      <c r="L181" s="410"/>
      <c r="M181" s="154"/>
      <c r="N181" s="312"/>
      <c r="O181" s="12"/>
      <c r="P181" s="239"/>
      <c r="Q181" s="467"/>
    </row>
    <row r="182" spans="1:18" s="1" customFormat="1" ht="15" customHeight="1" x14ac:dyDescent="0.35">
      <c r="A182" s="1466"/>
      <c r="B182" s="1467"/>
      <c r="C182" s="1469"/>
      <c r="D182" s="634"/>
      <c r="E182" s="1599"/>
      <c r="F182" s="1744"/>
      <c r="G182" s="1746"/>
      <c r="H182" s="47" t="s">
        <v>111</v>
      </c>
      <c r="I182" s="595">
        <v>404.9</v>
      </c>
      <c r="J182" s="719">
        <v>285</v>
      </c>
      <c r="K182" s="720"/>
      <c r="L182" s="410"/>
      <c r="M182" s="154"/>
      <c r="N182" s="312"/>
      <c r="O182" s="12"/>
      <c r="P182" s="239"/>
      <c r="Q182" s="467"/>
    </row>
    <row r="183" spans="1:18" s="1" customFormat="1" ht="15" customHeight="1" x14ac:dyDescent="0.35">
      <c r="A183" s="1466"/>
      <c r="B183" s="1467"/>
      <c r="C183" s="1469"/>
      <c r="D183" s="634"/>
      <c r="E183" s="1599"/>
      <c r="F183" s="1744"/>
      <c r="G183" s="42"/>
      <c r="H183" s="47" t="s">
        <v>116</v>
      </c>
      <c r="I183" s="576">
        <v>38</v>
      </c>
      <c r="J183" s="709">
        <v>36.6</v>
      </c>
      <c r="K183" s="186"/>
      <c r="L183" s="427"/>
      <c r="M183" s="154"/>
      <c r="N183" s="312"/>
      <c r="O183" s="12"/>
      <c r="P183" s="239"/>
      <c r="Q183" s="467"/>
    </row>
    <row r="184" spans="1:18" s="1" customFormat="1" ht="15" customHeight="1" thickBot="1" x14ac:dyDescent="0.4">
      <c r="A184" s="1671"/>
      <c r="B184" s="1673"/>
      <c r="C184" s="1484"/>
      <c r="D184" s="1041"/>
      <c r="E184" s="1677"/>
      <c r="F184" s="1508"/>
      <c r="G184" s="133"/>
      <c r="H184" s="49" t="s">
        <v>20</v>
      </c>
      <c r="I184" s="100">
        <f>SUM(I180:I183)</f>
        <v>532.29999999999995</v>
      </c>
      <c r="J184" s="9">
        <f t="shared" ref="J184:L184" si="15">SUM(J180:J183)</f>
        <v>337.5</v>
      </c>
      <c r="K184" s="187">
        <f t="shared" si="15"/>
        <v>0</v>
      </c>
      <c r="L184" s="176">
        <f t="shared" si="15"/>
        <v>0</v>
      </c>
      <c r="M184" s="155"/>
      <c r="N184" s="558"/>
      <c r="O184" s="11"/>
      <c r="P184" s="510"/>
      <c r="Q184" s="471"/>
    </row>
    <row r="185" spans="1:18" s="1" customFormat="1" ht="54" customHeight="1" x14ac:dyDescent="0.35">
      <c r="A185" s="1482" t="s">
        <v>10</v>
      </c>
      <c r="B185" s="1672" t="s">
        <v>28</v>
      </c>
      <c r="C185" s="1483" t="s">
        <v>80</v>
      </c>
      <c r="D185" s="1040"/>
      <c r="E185" s="1566" t="s">
        <v>115</v>
      </c>
      <c r="F185" s="1507" t="s">
        <v>264</v>
      </c>
      <c r="G185" s="1745" t="s">
        <v>172</v>
      </c>
      <c r="H185" s="1738" t="s">
        <v>16</v>
      </c>
      <c r="I185" s="1740">
        <v>63.8</v>
      </c>
      <c r="J185" s="777">
        <v>21.3</v>
      </c>
      <c r="K185" s="199"/>
      <c r="L185" s="1742"/>
      <c r="M185" s="323" t="s">
        <v>129</v>
      </c>
      <c r="N185" s="1064">
        <v>1</v>
      </c>
      <c r="O185" s="859"/>
      <c r="P185" s="860"/>
      <c r="Q185" s="861"/>
    </row>
    <row r="186" spans="1:18" s="1" customFormat="1" ht="18" customHeight="1" x14ac:dyDescent="0.35">
      <c r="A186" s="1466"/>
      <c r="B186" s="1467"/>
      <c r="C186" s="1469"/>
      <c r="D186" s="634"/>
      <c r="E186" s="1562"/>
      <c r="F186" s="1744"/>
      <c r="G186" s="1746"/>
      <c r="H186" s="1739"/>
      <c r="I186" s="1741"/>
      <c r="J186" s="777"/>
      <c r="K186" s="199"/>
      <c r="L186" s="1743"/>
      <c r="M186" s="71" t="s">
        <v>191</v>
      </c>
      <c r="N186" s="314">
        <v>1</v>
      </c>
      <c r="O186" s="520"/>
      <c r="P186" s="223"/>
      <c r="Q186" s="437"/>
    </row>
    <row r="187" spans="1:18" s="1" customFormat="1" ht="41.25" customHeight="1" x14ac:dyDescent="0.35">
      <c r="A187" s="1466"/>
      <c r="B187" s="1467"/>
      <c r="C187" s="1469"/>
      <c r="D187" s="634"/>
      <c r="E187" s="1562"/>
      <c r="F187" s="1744"/>
      <c r="G187" s="1746"/>
      <c r="H187" s="6" t="s">
        <v>111</v>
      </c>
      <c r="I187" s="576">
        <v>361.6</v>
      </c>
      <c r="J187" s="709">
        <v>134.9</v>
      </c>
      <c r="K187" s="202"/>
      <c r="L187" s="427"/>
      <c r="M187" s="996" t="s">
        <v>305</v>
      </c>
      <c r="N187" s="991">
        <v>340</v>
      </c>
      <c r="O187" s="881">
        <v>120</v>
      </c>
      <c r="P187" s="1028"/>
      <c r="Q187" s="987"/>
    </row>
    <row r="188" spans="1:18" s="1" customFormat="1" ht="54" customHeight="1" x14ac:dyDescent="0.35">
      <c r="A188" s="1466"/>
      <c r="B188" s="1467"/>
      <c r="C188" s="1469"/>
      <c r="D188" s="634"/>
      <c r="E188" s="1562"/>
      <c r="F188" s="1744"/>
      <c r="G188" s="989" t="s">
        <v>187</v>
      </c>
      <c r="H188" s="6" t="s">
        <v>116</v>
      </c>
      <c r="I188" s="576">
        <v>0.8</v>
      </c>
      <c r="J188" s="339"/>
      <c r="K188" s="202"/>
      <c r="L188" s="427"/>
      <c r="M188" s="1075" t="s">
        <v>304</v>
      </c>
      <c r="N188" s="527"/>
      <c r="O188" s="138">
        <v>1</v>
      </c>
      <c r="P188" s="1027"/>
      <c r="Q188" s="986"/>
    </row>
    <row r="189" spans="1:18" s="1" customFormat="1" ht="51" customHeight="1" x14ac:dyDescent="0.35">
      <c r="A189" s="1466"/>
      <c r="B189" s="1467"/>
      <c r="C189" s="1469"/>
      <c r="D189" s="634"/>
      <c r="E189" s="1562"/>
      <c r="F189" s="1744"/>
      <c r="G189" s="989"/>
      <c r="H189" s="883"/>
      <c r="I189" s="884"/>
      <c r="J189" s="707"/>
      <c r="K189" s="708"/>
      <c r="L189" s="336"/>
      <c r="M189" s="1442" t="s">
        <v>279</v>
      </c>
      <c r="N189" s="990"/>
      <c r="O189" s="54">
        <v>1</v>
      </c>
      <c r="P189" s="1027"/>
      <c r="Q189" s="986"/>
    </row>
    <row r="190" spans="1:18" s="1" customFormat="1" ht="15.75" customHeight="1" thickBot="1" x14ac:dyDescent="0.4">
      <c r="A190" s="1466"/>
      <c r="B190" s="1467"/>
      <c r="C190" s="1469"/>
      <c r="D190" s="634"/>
      <c r="E190" s="1599"/>
      <c r="F190" s="1508"/>
      <c r="G190" s="42"/>
      <c r="H190" s="882" t="s">
        <v>20</v>
      </c>
      <c r="I190" s="619">
        <f>SUM(I185:I188)</f>
        <v>426.20000000000005</v>
      </c>
      <c r="J190" s="193">
        <f>SUM(J185:J188)</f>
        <v>156.20000000000002</v>
      </c>
      <c r="K190" s="203">
        <f>SUM(K185:K188)</f>
        <v>0</v>
      </c>
      <c r="L190" s="190">
        <f>SUM(L185:L188)</f>
        <v>0</v>
      </c>
      <c r="M190" s="1468"/>
      <c r="N190" s="991"/>
      <c r="O190" s="522"/>
      <c r="P190" s="510"/>
      <c r="Q190" s="444"/>
    </row>
    <row r="191" spans="1:18" s="1" customFormat="1" ht="16.5" customHeight="1" thickBot="1" x14ac:dyDescent="0.4">
      <c r="A191" s="57" t="s">
        <v>10</v>
      </c>
      <c r="B191" s="3" t="s">
        <v>28</v>
      </c>
      <c r="C191" s="1592" t="s">
        <v>35</v>
      </c>
      <c r="D191" s="1592"/>
      <c r="E191" s="1592"/>
      <c r="F191" s="1592"/>
      <c r="G191" s="1592"/>
      <c r="H191" s="1592"/>
      <c r="I191" s="570">
        <f>+I190+I184+I179+I177+I170+I162+I146+I141</f>
        <v>10760.699999999997</v>
      </c>
      <c r="J191" s="194">
        <f>+J190+J184+J179+J177+J170+J162+J146+J141</f>
        <v>12650.400000000001</v>
      </c>
      <c r="K191" s="204">
        <f>+K190+K184+K179+K177+K170+K162+K146+K141</f>
        <v>12083.599999999999</v>
      </c>
      <c r="L191" s="191">
        <f>+L190+L184+L179+L177+L170+L162+L146+L141</f>
        <v>12054.499999999998</v>
      </c>
      <c r="M191" s="1601"/>
      <c r="N191" s="1601"/>
      <c r="O191" s="1601"/>
      <c r="P191" s="1601"/>
      <c r="Q191" s="1602"/>
    </row>
    <row r="192" spans="1:18" s="1" customFormat="1" ht="14.25" customHeight="1" thickBot="1" x14ac:dyDescent="0.4">
      <c r="A192" s="58" t="s">
        <v>10</v>
      </c>
      <c r="B192" s="3" t="s">
        <v>31</v>
      </c>
      <c r="C192" s="1695" t="s">
        <v>178</v>
      </c>
      <c r="D192" s="1695"/>
      <c r="E192" s="1695"/>
      <c r="F192" s="1695"/>
      <c r="G192" s="1695"/>
      <c r="H192" s="1695"/>
      <c r="I192" s="1695"/>
      <c r="J192" s="1695"/>
      <c r="K192" s="1695"/>
      <c r="L192" s="1695"/>
      <c r="M192" s="1695"/>
      <c r="N192" s="1695"/>
      <c r="O192" s="1695"/>
      <c r="P192" s="1695"/>
      <c r="Q192" s="1696"/>
    </row>
    <row r="193" spans="1:19" s="2" customFormat="1" ht="54.75" customHeight="1" x14ac:dyDescent="0.35">
      <c r="A193" s="1012" t="s">
        <v>10</v>
      </c>
      <c r="B193" s="1014" t="s">
        <v>31</v>
      </c>
      <c r="C193" s="111" t="s">
        <v>10</v>
      </c>
      <c r="D193" s="125"/>
      <c r="E193" s="397" t="s">
        <v>51</v>
      </c>
      <c r="F193" s="398"/>
      <c r="G193" s="126"/>
      <c r="H193" s="636"/>
      <c r="I193" s="565"/>
      <c r="J193" s="69"/>
      <c r="K193" s="571"/>
      <c r="L193" s="428"/>
      <c r="M193" s="37"/>
      <c r="N193" s="342"/>
      <c r="O193" s="524"/>
      <c r="P193" s="224"/>
      <c r="Q193" s="472"/>
    </row>
    <row r="194" spans="1:19" s="2" customFormat="1" ht="27" customHeight="1" x14ac:dyDescent="0.35">
      <c r="A194" s="1009"/>
      <c r="B194" s="1010"/>
      <c r="C194" s="40"/>
      <c r="D194" s="789" t="s">
        <v>10</v>
      </c>
      <c r="E194" s="1734" t="s">
        <v>200</v>
      </c>
      <c r="F194" s="790" t="s">
        <v>52</v>
      </c>
      <c r="G194" s="1716" t="s">
        <v>174</v>
      </c>
      <c r="H194" s="990" t="s">
        <v>109</v>
      </c>
      <c r="I194" s="566">
        <f>10.5+55</f>
        <v>65.5</v>
      </c>
      <c r="J194" s="337">
        <v>19.600000000000001</v>
      </c>
      <c r="K194" s="1027"/>
      <c r="L194" s="409"/>
      <c r="M194" s="791" t="s">
        <v>107</v>
      </c>
      <c r="N194" s="1017">
        <v>100</v>
      </c>
      <c r="O194" s="647"/>
      <c r="P194" s="1036"/>
      <c r="Q194" s="1038"/>
    </row>
    <row r="195" spans="1:19" s="2" customFormat="1" ht="15.65" customHeight="1" x14ac:dyDescent="0.35">
      <c r="A195" s="1009"/>
      <c r="B195" s="1010"/>
      <c r="C195" s="40"/>
      <c r="D195" s="792"/>
      <c r="E195" s="1670"/>
      <c r="F195" s="1063"/>
      <c r="G195" s="1717"/>
      <c r="H195" s="990" t="s">
        <v>206</v>
      </c>
      <c r="I195" s="566">
        <f>126.2-5.7</f>
        <v>120.5</v>
      </c>
      <c r="J195" s="54"/>
      <c r="K195" s="1027"/>
      <c r="L195" s="409"/>
      <c r="M195" s="1030" t="s">
        <v>192</v>
      </c>
      <c r="N195" s="1017">
        <v>100</v>
      </c>
      <c r="O195" s="647"/>
      <c r="P195" s="1036"/>
      <c r="Q195" s="1038"/>
    </row>
    <row r="196" spans="1:19" s="2" customFormat="1" ht="15.65" customHeight="1" x14ac:dyDescent="0.35">
      <c r="A196" s="1009"/>
      <c r="B196" s="1010"/>
      <c r="C196" s="40"/>
      <c r="D196" s="792"/>
      <c r="E196" s="1670"/>
      <c r="F196" s="1063"/>
      <c r="G196" s="1717"/>
      <c r="H196" s="334" t="s">
        <v>111</v>
      </c>
      <c r="I196" s="567">
        <f>120.6+95.2+53.9-18.4</f>
        <v>251.29999999999998</v>
      </c>
      <c r="J196" s="794"/>
      <c r="K196" s="795"/>
      <c r="L196" s="796"/>
      <c r="M196" s="1031"/>
      <c r="N196" s="554"/>
      <c r="O196" s="664"/>
      <c r="P196" s="221"/>
      <c r="Q196" s="465"/>
    </row>
    <row r="197" spans="1:19" s="2" customFormat="1" ht="26.25" customHeight="1" x14ac:dyDescent="0.35">
      <c r="A197" s="1009"/>
      <c r="B197" s="1010"/>
      <c r="C197" s="40"/>
      <c r="D197" s="792"/>
      <c r="E197" s="1670"/>
      <c r="F197" s="1063"/>
      <c r="G197" s="1717"/>
      <c r="H197" s="334" t="s">
        <v>116</v>
      </c>
      <c r="I197" s="566">
        <v>18.399999999999999</v>
      </c>
      <c r="J197" s="797"/>
      <c r="K197" s="798"/>
      <c r="L197" s="409"/>
      <c r="M197" s="791" t="s">
        <v>313</v>
      </c>
      <c r="N197" s="547"/>
      <c r="O197" s="655">
        <v>100</v>
      </c>
      <c r="P197" s="225"/>
      <c r="Q197" s="459"/>
      <c r="R197" s="879"/>
    </row>
    <row r="198" spans="1:19" s="371" customFormat="1" ht="27" customHeight="1" x14ac:dyDescent="0.25">
      <c r="A198" s="1009"/>
      <c r="B198" s="1010"/>
      <c r="C198" s="1011"/>
      <c r="D198" s="1735" t="s">
        <v>28</v>
      </c>
      <c r="E198" s="1454" t="s">
        <v>168</v>
      </c>
      <c r="F198" s="790" t="s">
        <v>52</v>
      </c>
      <c r="G198" s="1716" t="s">
        <v>173</v>
      </c>
      <c r="H198" s="527" t="s">
        <v>111</v>
      </c>
      <c r="I198" s="819">
        <v>27.3</v>
      </c>
      <c r="J198" s="977">
        <v>343.4</v>
      </c>
      <c r="K198" s="978"/>
      <c r="L198" s="979"/>
      <c r="M198" s="994" t="s">
        <v>266</v>
      </c>
      <c r="N198" s="550">
        <v>1</v>
      </c>
      <c r="O198" s="54"/>
      <c r="P198" s="1027"/>
      <c r="Q198" s="460"/>
      <c r="S198" s="372"/>
    </row>
    <row r="199" spans="1:19" s="371" customFormat="1" ht="15.75" customHeight="1" x14ac:dyDescent="0.25">
      <c r="A199" s="1009"/>
      <c r="B199" s="5"/>
      <c r="C199" s="1011"/>
      <c r="D199" s="1736"/>
      <c r="E199" s="1486"/>
      <c r="F199" s="1722" t="s">
        <v>265</v>
      </c>
      <c r="G199" s="1717"/>
      <c r="H199" s="1064" t="s">
        <v>116</v>
      </c>
      <c r="I199" s="967"/>
      <c r="J199" s="968">
        <v>0.3</v>
      </c>
      <c r="K199" s="976"/>
      <c r="L199" s="974"/>
      <c r="M199" s="994" t="s">
        <v>117</v>
      </c>
      <c r="N199" s="550"/>
      <c r="O199" s="54">
        <v>100</v>
      </c>
      <c r="P199" s="1027"/>
      <c r="Q199" s="460"/>
      <c r="S199" s="372"/>
    </row>
    <row r="200" spans="1:19" s="371" customFormat="1" ht="54.75" customHeight="1" x14ac:dyDescent="0.25">
      <c r="A200" s="1009"/>
      <c r="B200" s="5"/>
      <c r="C200" s="1011"/>
      <c r="D200" s="1737"/>
      <c r="E200" s="1455"/>
      <c r="F200" s="1723"/>
      <c r="G200" s="1718"/>
      <c r="H200" s="309"/>
      <c r="I200" s="972"/>
      <c r="J200" s="973"/>
      <c r="K200" s="919"/>
      <c r="L200" s="975"/>
      <c r="M200" s="994" t="s">
        <v>193</v>
      </c>
      <c r="N200" s="550"/>
      <c r="O200" s="54">
        <v>100</v>
      </c>
      <c r="P200" s="1027"/>
      <c r="Q200" s="460"/>
      <c r="S200" s="372"/>
    </row>
    <row r="201" spans="1:19" s="16" customFormat="1" ht="18" customHeight="1" x14ac:dyDescent="0.35">
      <c r="A201" s="63"/>
      <c r="B201" s="32"/>
      <c r="C201" s="33"/>
      <c r="D201" s="799" t="s">
        <v>33</v>
      </c>
      <c r="E201" s="1598" t="s">
        <v>203</v>
      </c>
      <c r="F201" s="1079" t="s">
        <v>52</v>
      </c>
      <c r="G201" s="1727" t="s">
        <v>202</v>
      </c>
      <c r="H201" s="531" t="s">
        <v>109</v>
      </c>
      <c r="I201" s="101">
        <f>29.4-19.6</f>
        <v>9.7999999999999972</v>
      </c>
      <c r="J201" s="759">
        <v>29.4</v>
      </c>
      <c r="K201" s="241"/>
      <c r="L201" s="420"/>
      <c r="M201" s="157" t="s">
        <v>117</v>
      </c>
      <c r="N201" s="531"/>
      <c r="O201" s="136">
        <v>100</v>
      </c>
      <c r="P201" s="241"/>
      <c r="Q201" s="800"/>
    </row>
    <row r="202" spans="1:19" s="16" customFormat="1" ht="16.5" customHeight="1" x14ac:dyDescent="0.35">
      <c r="A202" s="63"/>
      <c r="B202" s="32"/>
      <c r="C202" s="33"/>
      <c r="D202" s="801"/>
      <c r="E202" s="1599"/>
      <c r="F202" s="888" t="s">
        <v>265</v>
      </c>
      <c r="G202" s="1730"/>
      <c r="H202" s="531" t="s">
        <v>16</v>
      </c>
      <c r="I202" s="101"/>
      <c r="J202" s="759">
        <v>84.8</v>
      </c>
      <c r="K202" s="241"/>
      <c r="L202" s="420"/>
      <c r="M202" s="1434" t="s">
        <v>201</v>
      </c>
      <c r="N202" s="36"/>
      <c r="O202" s="900">
        <v>100</v>
      </c>
      <c r="P202" s="242"/>
      <c r="Q202" s="802"/>
    </row>
    <row r="203" spans="1:19" s="16" customFormat="1" ht="18.75" customHeight="1" x14ac:dyDescent="0.35">
      <c r="A203" s="63"/>
      <c r="B203" s="32"/>
      <c r="C203" s="33"/>
      <c r="D203" s="803"/>
      <c r="E203" s="1662"/>
      <c r="F203" s="1080"/>
      <c r="G203" s="1731"/>
      <c r="H203" s="531" t="s">
        <v>111</v>
      </c>
      <c r="I203" s="101"/>
      <c r="J203" s="759">
        <v>76.2</v>
      </c>
      <c r="K203" s="241"/>
      <c r="L203" s="420"/>
      <c r="M203" s="1435"/>
      <c r="N203" s="36"/>
      <c r="O203" s="900"/>
      <c r="P203" s="242"/>
      <c r="Q203" s="802"/>
    </row>
    <row r="204" spans="1:19" s="16" customFormat="1" ht="45.65" customHeight="1" x14ac:dyDescent="0.35">
      <c r="A204" s="63"/>
      <c r="B204" s="32"/>
      <c r="C204" s="33"/>
      <c r="D204" s="963" t="s">
        <v>34</v>
      </c>
      <c r="E204" s="877" t="s">
        <v>204</v>
      </c>
      <c r="F204" s="1080"/>
      <c r="G204" s="1006" t="s">
        <v>183</v>
      </c>
      <c r="H204" s="1006" t="s">
        <v>206</v>
      </c>
      <c r="I204" s="804">
        <v>40</v>
      </c>
      <c r="J204" s="137"/>
      <c r="K204" s="564"/>
      <c r="L204" s="805"/>
      <c r="M204" s="157" t="s">
        <v>286</v>
      </c>
      <c r="N204" s="531">
        <v>100</v>
      </c>
      <c r="O204" s="136"/>
      <c r="P204" s="241"/>
      <c r="Q204" s="443"/>
      <c r="S204" s="900"/>
    </row>
    <row r="205" spans="1:19" s="16" customFormat="1" ht="30" customHeight="1" x14ac:dyDescent="0.35">
      <c r="A205" s="63"/>
      <c r="B205" s="32"/>
      <c r="C205" s="33"/>
      <c r="D205" s="963" t="s">
        <v>48</v>
      </c>
      <c r="E205" s="998" t="s">
        <v>297</v>
      </c>
      <c r="F205" s="813" t="s">
        <v>52</v>
      </c>
      <c r="G205" s="1005" t="s">
        <v>174</v>
      </c>
      <c r="H205" s="1006" t="s">
        <v>109</v>
      </c>
      <c r="I205" s="804">
        <v>19.600000000000001</v>
      </c>
      <c r="J205" s="137"/>
      <c r="K205" s="564"/>
      <c r="L205" s="805"/>
      <c r="M205" s="811" t="s">
        <v>298</v>
      </c>
      <c r="N205" s="531">
        <v>100</v>
      </c>
      <c r="O205" s="264"/>
      <c r="P205" s="1068"/>
      <c r="Q205" s="812"/>
      <c r="S205" s="900"/>
    </row>
    <row r="206" spans="1:19" s="2" customFormat="1" ht="27" customHeight="1" x14ac:dyDescent="0.35">
      <c r="A206" s="1009"/>
      <c r="B206" s="1010"/>
      <c r="C206" s="68"/>
      <c r="D206" s="807" t="s">
        <v>49</v>
      </c>
      <c r="E206" s="1598" t="s">
        <v>299</v>
      </c>
      <c r="F206" s="806" t="s">
        <v>167</v>
      </c>
      <c r="G206" s="878" t="s">
        <v>174</v>
      </c>
      <c r="H206" s="531" t="s">
        <v>16</v>
      </c>
      <c r="I206" s="101"/>
      <c r="J206" s="653">
        <v>117</v>
      </c>
      <c r="K206" s="232">
        <v>165</v>
      </c>
      <c r="L206" s="424">
        <v>335.2</v>
      </c>
      <c r="M206" s="811" t="s">
        <v>266</v>
      </c>
      <c r="N206" s="531"/>
      <c r="O206" s="264">
        <v>1</v>
      </c>
      <c r="P206" s="1068"/>
      <c r="Q206" s="812"/>
    </row>
    <row r="207" spans="1:19" s="2" customFormat="1" ht="15" customHeight="1" x14ac:dyDescent="0.35">
      <c r="A207" s="1009"/>
      <c r="B207" s="1010"/>
      <c r="C207" s="68"/>
      <c r="D207" s="807"/>
      <c r="E207" s="1599"/>
      <c r="F207" s="813" t="s">
        <v>52</v>
      </c>
      <c r="G207" s="1730" t="s">
        <v>183</v>
      </c>
      <c r="H207" s="1005" t="s">
        <v>50</v>
      </c>
      <c r="I207" s="95"/>
      <c r="J207" s="649"/>
      <c r="K207" s="650">
        <v>935</v>
      </c>
      <c r="L207" s="423">
        <v>1899.8</v>
      </c>
      <c r="M207" s="811" t="s">
        <v>117</v>
      </c>
      <c r="N207" s="531"/>
      <c r="O207" s="264"/>
      <c r="P207" s="1068">
        <v>30</v>
      </c>
      <c r="Q207" s="812">
        <v>100</v>
      </c>
    </row>
    <row r="208" spans="1:19" s="2" customFormat="1" ht="40.5" customHeight="1" x14ac:dyDescent="0.35">
      <c r="A208" s="1009"/>
      <c r="B208" s="1010"/>
      <c r="C208" s="68"/>
      <c r="D208" s="809"/>
      <c r="E208" s="1662"/>
      <c r="F208" s="815" t="s">
        <v>265</v>
      </c>
      <c r="G208" s="1731"/>
      <c r="H208" s="1006"/>
      <c r="I208" s="804"/>
      <c r="J208" s="137"/>
      <c r="K208" s="564"/>
      <c r="L208" s="805"/>
      <c r="M208" s="157" t="s">
        <v>210</v>
      </c>
      <c r="N208" s="1006"/>
      <c r="O208" s="264"/>
      <c r="P208" s="814"/>
      <c r="Q208" s="812">
        <v>80</v>
      </c>
    </row>
    <row r="209" spans="1:24" s="2" customFormat="1" ht="63" customHeight="1" x14ac:dyDescent="0.35">
      <c r="A209" s="1009"/>
      <c r="B209" s="1010"/>
      <c r="C209" s="68"/>
      <c r="D209" s="1732" t="s">
        <v>80</v>
      </c>
      <c r="E209" s="816" t="s">
        <v>194</v>
      </c>
      <c r="F209" s="817" t="s">
        <v>292</v>
      </c>
      <c r="G209" s="531" t="s">
        <v>183</v>
      </c>
      <c r="H209" s="531" t="s">
        <v>16</v>
      </c>
      <c r="I209" s="101"/>
      <c r="J209" s="136"/>
      <c r="K209" s="232">
        <v>5</v>
      </c>
      <c r="L209" s="424">
        <v>30</v>
      </c>
      <c r="M209" s="1434" t="s">
        <v>266</v>
      </c>
      <c r="N209" s="1727"/>
      <c r="O209" s="264"/>
      <c r="P209" s="1438"/>
      <c r="Q209" s="812">
        <v>1</v>
      </c>
    </row>
    <row r="210" spans="1:24" s="1" customFormat="1" ht="16.5" customHeight="1" thickBot="1" x14ac:dyDescent="0.4">
      <c r="A210" s="1013"/>
      <c r="B210" s="1015"/>
      <c r="C210" s="41"/>
      <c r="D210" s="1733"/>
      <c r="E210" s="1729" t="s">
        <v>27</v>
      </c>
      <c r="F210" s="1502"/>
      <c r="G210" s="1502"/>
      <c r="H210" s="1502"/>
      <c r="I210" s="637">
        <f>SUM(I194:I209)</f>
        <v>552.4</v>
      </c>
      <c r="J210" s="683">
        <f>SUM(J194:J209)</f>
        <v>670.7</v>
      </c>
      <c r="K210" s="862">
        <f>SUM(K194:K209)</f>
        <v>1105</v>
      </c>
      <c r="L210" s="684">
        <f>SUM(L194:L209)</f>
        <v>2265</v>
      </c>
      <c r="M210" s="1664"/>
      <c r="N210" s="1728"/>
      <c r="O210" s="863"/>
      <c r="P210" s="1665"/>
      <c r="Q210" s="864"/>
    </row>
    <row r="211" spans="1:24" s="1" customFormat="1" ht="16.5" customHeight="1" thickBot="1" x14ac:dyDescent="0.4">
      <c r="A211" s="57" t="s">
        <v>10</v>
      </c>
      <c r="B211" s="22" t="s">
        <v>31</v>
      </c>
      <c r="C211" s="1591" t="s">
        <v>35</v>
      </c>
      <c r="D211" s="1592"/>
      <c r="E211" s="1592"/>
      <c r="F211" s="1592"/>
      <c r="G211" s="1592"/>
      <c r="H211" s="1592"/>
      <c r="I211" s="570">
        <f t="shared" ref="I211:L211" si="16">I210</f>
        <v>552.4</v>
      </c>
      <c r="J211" s="194">
        <f t="shared" si="16"/>
        <v>670.7</v>
      </c>
      <c r="K211" s="204">
        <f t="shared" si="16"/>
        <v>1105</v>
      </c>
      <c r="L211" s="191">
        <f t="shared" si="16"/>
        <v>2265</v>
      </c>
      <c r="M211" s="1600"/>
      <c r="N211" s="1601"/>
      <c r="O211" s="1601"/>
      <c r="P211" s="1601"/>
      <c r="Q211" s="1602"/>
    </row>
    <row r="212" spans="1:24" s="371" customFormat="1" ht="16.5" customHeight="1" thickBot="1" x14ac:dyDescent="0.3">
      <c r="A212" s="57" t="s">
        <v>10</v>
      </c>
      <c r="B212" s="22" t="s">
        <v>33</v>
      </c>
      <c r="C212" s="1666" t="s">
        <v>53</v>
      </c>
      <c r="D212" s="1570"/>
      <c r="E212" s="1570"/>
      <c r="F212" s="1570"/>
      <c r="G212" s="1570"/>
      <c r="H212" s="1570"/>
      <c r="I212" s="1570"/>
      <c r="J212" s="1570"/>
      <c r="K212" s="1570"/>
      <c r="L212" s="1570"/>
      <c r="M212" s="1570"/>
      <c r="N212" s="1570"/>
      <c r="O212" s="1570"/>
      <c r="P212" s="1570"/>
      <c r="Q212" s="1572"/>
    </row>
    <row r="213" spans="1:24" s="371" customFormat="1" ht="18" customHeight="1" x14ac:dyDescent="0.25">
      <c r="A213" s="1012" t="s">
        <v>10</v>
      </c>
      <c r="B213" s="1014" t="s">
        <v>33</v>
      </c>
      <c r="C213" s="1052" t="s">
        <v>10</v>
      </c>
      <c r="D213" s="1040"/>
      <c r="E213" s="399" t="s">
        <v>54</v>
      </c>
      <c r="F213" s="400"/>
      <c r="G213" s="988"/>
      <c r="H213" s="264"/>
      <c r="I213" s="586"/>
      <c r="J213" s="900"/>
      <c r="K213" s="587"/>
      <c r="L213" s="426"/>
      <c r="M213" s="37"/>
      <c r="N213" s="555"/>
      <c r="O213" s="524"/>
      <c r="P213" s="224"/>
      <c r="Q213" s="466"/>
      <c r="X213" s="372"/>
    </row>
    <row r="214" spans="1:24" s="371" customFormat="1" ht="26.25" customHeight="1" x14ac:dyDescent="0.25">
      <c r="A214" s="1009"/>
      <c r="B214" s="1010"/>
      <c r="C214" s="1011"/>
      <c r="D214" s="1072" t="s">
        <v>10</v>
      </c>
      <c r="E214" s="1464" t="s">
        <v>231</v>
      </c>
      <c r="F214" s="818" t="s">
        <v>265</v>
      </c>
      <c r="G214" s="990" t="s">
        <v>174</v>
      </c>
      <c r="H214" s="520" t="s">
        <v>141</v>
      </c>
      <c r="I214" s="819">
        <f>30+8.7</f>
        <v>38.700000000000003</v>
      </c>
      <c r="J214" s="175">
        <v>86.5</v>
      </c>
      <c r="K214" s="185">
        <v>142.19999999999999</v>
      </c>
      <c r="L214" s="820">
        <v>250</v>
      </c>
      <c r="M214" s="142" t="s">
        <v>266</v>
      </c>
      <c r="N214" s="547">
        <v>0.5</v>
      </c>
      <c r="O214" s="655">
        <v>1</v>
      </c>
      <c r="P214" s="225"/>
      <c r="Q214" s="459"/>
    </row>
    <row r="215" spans="1:24" s="371" customFormat="1" ht="18" customHeight="1" x14ac:dyDescent="0.25">
      <c r="A215" s="1009"/>
      <c r="B215" s="1010"/>
      <c r="C215" s="1011"/>
      <c r="D215" s="1073"/>
      <c r="E215" s="1463"/>
      <c r="F215" s="985"/>
      <c r="G215" s="1064"/>
      <c r="H215" s="522" t="s">
        <v>145</v>
      </c>
      <c r="I215" s="821"/>
      <c r="J215" s="822">
        <v>4.9000000000000004</v>
      </c>
      <c r="K215" s="335"/>
      <c r="L215" s="823"/>
      <c r="M215" s="265"/>
      <c r="N215" s="554"/>
      <c r="O215" s="664"/>
      <c r="P215" s="221"/>
      <c r="Q215" s="465"/>
    </row>
    <row r="216" spans="1:24" s="371" customFormat="1" ht="16.5" customHeight="1" x14ac:dyDescent="0.25">
      <c r="A216" s="1009"/>
      <c r="B216" s="1010"/>
      <c r="C216" s="1011"/>
      <c r="D216" s="1073"/>
      <c r="E216" s="1463"/>
      <c r="F216" s="1063" t="s">
        <v>167</v>
      </c>
      <c r="G216" s="1064"/>
      <c r="H216" s="522" t="s">
        <v>50</v>
      </c>
      <c r="I216" s="821"/>
      <c r="J216" s="822"/>
      <c r="K216" s="335">
        <v>805.2</v>
      </c>
      <c r="L216" s="823">
        <v>2152.3000000000002</v>
      </c>
      <c r="M216" s="1031" t="s">
        <v>117</v>
      </c>
      <c r="N216" s="554"/>
      <c r="O216" s="664"/>
      <c r="P216" s="221">
        <v>30</v>
      </c>
      <c r="Q216" s="465">
        <v>100</v>
      </c>
    </row>
    <row r="217" spans="1:24" s="371" customFormat="1" ht="16.5" customHeight="1" x14ac:dyDescent="0.25">
      <c r="A217" s="1009"/>
      <c r="B217" s="1010"/>
      <c r="C217" s="1011"/>
      <c r="D217" s="1073"/>
      <c r="E217" s="1463"/>
      <c r="F217" s="1722" t="s">
        <v>52</v>
      </c>
      <c r="G217" s="1064"/>
      <c r="H217" s="139" t="s">
        <v>16</v>
      </c>
      <c r="I217" s="967"/>
      <c r="J217" s="332"/>
      <c r="K217" s="295"/>
      <c r="L217" s="885">
        <v>129.9</v>
      </c>
      <c r="M217" s="1031"/>
      <c r="N217" s="554"/>
      <c r="O217" s="664"/>
      <c r="P217" s="221"/>
      <c r="Q217" s="465"/>
    </row>
    <row r="218" spans="1:24" s="371" customFormat="1" ht="16.5" customHeight="1" x14ac:dyDescent="0.25">
      <c r="A218" s="1009"/>
      <c r="B218" s="1010"/>
      <c r="C218" s="1011"/>
      <c r="D218" s="1074"/>
      <c r="E218" s="1463"/>
      <c r="F218" s="1723"/>
      <c r="G218" s="1064"/>
      <c r="H218" s="833" t="s">
        <v>20</v>
      </c>
      <c r="I218" s="582">
        <f>SUM(I214:I216)</f>
        <v>38.700000000000003</v>
      </c>
      <c r="J218" s="7">
        <f t="shared" ref="J218:K218" si="17">SUM(J214:J216)</f>
        <v>91.4</v>
      </c>
      <c r="K218" s="184">
        <f t="shared" si="17"/>
        <v>947.40000000000009</v>
      </c>
      <c r="L218" s="177">
        <f>SUM(L214:L217)</f>
        <v>2532.2000000000003</v>
      </c>
      <c r="M218" s="265"/>
      <c r="N218" s="824"/>
      <c r="O218" s="664"/>
      <c r="P218" s="221"/>
      <c r="Q218" s="825"/>
    </row>
    <row r="219" spans="1:24" s="371" customFormat="1" ht="17.25" customHeight="1" x14ac:dyDescent="0.25">
      <c r="A219" s="1009"/>
      <c r="B219" s="1010"/>
      <c r="C219" s="1011"/>
      <c r="D219" s="1073" t="s">
        <v>28</v>
      </c>
      <c r="E219" s="1464" t="s">
        <v>103</v>
      </c>
      <c r="F219" s="1724" t="s">
        <v>52</v>
      </c>
      <c r="G219" s="1716" t="s">
        <v>174</v>
      </c>
      <c r="H219" s="54" t="s">
        <v>145</v>
      </c>
      <c r="I219" s="819">
        <v>27</v>
      </c>
      <c r="J219" s="93"/>
      <c r="K219" s="223"/>
      <c r="L219" s="826"/>
      <c r="M219" s="142" t="s">
        <v>55</v>
      </c>
      <c r="N219" s="547">
        <v>100</v>
      </c>
      <c r="O219" s="655"/>
      <c r="P219" s="225"/>
      <c r="Q219" s="459"/>
    </row>
    <row r="220" spans="1:24" s="371" customFormat="1" ht="18.75" customHeight="1" x14ac:dyDescent="0.25">
      <c r="A220" s="1009"/>
      <c r="B220" s="1010"/>
      <c r="C220" s="1011"/>
      <c r="D220" s="1073"/>
      <c r="E220" s="1463"/>
      <c r="F220" s="1725"/>
      <c r="G220" s="1717"/>
      <c r="H220" s="54" t="s">
        <v>141</v>
      </c>
      <c r="I220" s="821">
        <v>211.3</v>
      </c>
      <c r="J220" s="139"/>
      <c r="K220" s="966"/>
      <c r="L220" s="827"/>
      <c r="M220" s="1496" t="s">
        <v>175</v>
      </c>
      <c r="N220" s="1017" t="s">
        <v>170</v>
      </c>
      <c r="O220" s="647"/>
      <c r="P220" s="1036"/>
      <c r="Q220" s="1038"/>
    </row>
    <row r="221" spans="1:24" s="371" customFormat="1" ht="15.75" customHeight="1" x14ac:dyDescent="0.25">
      <c r="A221" s="1009"/>
      <c r="B221" s="1010"/>
      <c r="C221" s="1011"/>
      <c r="D221" s="1073"/>
      <c r="E221" s="1463"/>
      <c r="F221" s="1063" t="s">
        <v>167</v>
      </c>
      <c r="G221" s="1064"/>
      <c r="H221" s="54" t="s">
        <v>116</v>
      </c>
      <c r="I221" s="819">
        <v>328</v>
      </c>
      <c r="J221" s="54"/>
      <c r="K221" s="1027"/>
      <c r="L221" s="826"/>
      <c r="M221" s="1497"/>
      <c r="N221" s="551"/>
      <c r="O221" s="664"/>
      <c r="P221" s="221"/>
      <c r="Q221" s="464"/>
    </row>
    <row r="222" spans="1:24" s="371" customFormat="1" ht="15.75" customHeight="1" x14ac:dyDescent="0.25">
      <c r="A222" s="1009"/>
      <c r="B222" s="1010"/>
      <c r="C222" s="1011"/>
      <c r="D222" s="1073"/>
      <c r="E222" s="1463"/>
      <c r="F222" s="1722"/>
      <c r="G222" s="1064"/>
      <c r="H222" s="54" t="s">
        <v>109</v>
      </c>
      <c r="I222" s="819">
        <v>6.6</v>
      </c>
      <c r="J222" s="54"/>
      <c r="K222" s="1027"/>
      <c r="L222" s="826"/>
      <c r="M222" s="1497"/>
      <c r="N222" s="551"/>
      <c r="O222" s="664"/>
      <c r="P222" s="221"/>
      <c r="Q222" s="464"/>
    </row>
    <row r="223" spans="1:24" s="371" customFormat="1" ht="15.75" customHeight="1" x14ac:dyDescent="0.25">
      <c r="A223" s="1009"/>
      <c r="B223" s="1010"/>
      <c r="C223" s="1011"/>
      <c r="D223" s="1073"/>
      <c r="E223" s="1463"/>
      <c r="F223" s="1722"/>
      <c r="G223" s="1064"/>
      <c r="H223" s="54" t="s">
        <v>16</v>
      </c>
      <c r="I223" s="828">
        <v>10</v>
      </c>
      <c r="J223" s="54"/>
      <c r="K223" s="1027"/>
      <c r="L223" s="829"/>
      <c r="M223" s="1497"/>
      <c r="N223" s="551"/>
      <c r="O223" s="664"/>
      <c r="P223" s="221"/>
      <c r="Q223" s="464"/>
    </row>
    <row r="224" spans="1:24" s="371" customFormat="1" ht="14.25" customHeight="1" x14ac:dyDescent="0.25">
      <c r="A224" s="1009"/>
      <c r="B224" s="1010"/>
      <c r="C224" s="1011"/>
      <c r="D224" s="1074"/>
      <c r="E224" s="1465"/>
      <c r="F224" s="1723"/>
      <c r="G224" s="991"/>
      <c r="H224" s="833" t="s">
        <v>20</v>
      </c>
      <c r="I224" s="582">
        <f>SUM(I219:I223)</f>
        <v>582.9</v>
      </c>
      <c r="J224" s="7">
        <f t="shared" ref="J224:L224" si="18">SUM(J219:J222)</f>
        <v>0</v>
      </c>
      <c r="K224" s="184">
        <f t="shared" si="18"/>
        <v>0</v>
      </c>
      <c r="L224" s="177">
        <f t="shared" si="18"/>
        <v>0</v>
      </c>
      <c r="M224" s="1726"/>
      <c r="N224" s="831"/>
      <c r="O224" s="654"/>
      <c r="P224" s="1037"/>
      <c r="Q224" s="832"/>
    </row>
    <row r="225" spans="1:19" s="371" customFormat="1" ht="14.25" customHeight="1" x14ac:dyDescent="0.25">
      <c r="A225" s="1009"/>
      <c r="B225" s="1010"/>
      <c r="C225" s="1011"/>
      <c r="D225" s="1073" t="s">
        <v>31</v>
      </c>
      <c r="E225" s="1464" t="s">
        <v>280</v>
      </c>
      <c r="F225" s="931" t="s">
        <v>276</v>
      </c>
      <c r="G225" s="1716" t="s">
        <v>182</v>
      </c>
      <c r="H225" s="264" t="s">
        <v>141</v>
      </c>
      <c r="I225" s="590"/>
      <c r="J225" s="35">
        <v>363.5</v>
      </c>
      <c r="K225" s="181">
        <v>157.80000000000001</v>
      </c>
      <c r="L225" s="207"/>
      <c r="M225" s="1428" t="s">
        <v>133</v>
      </c>
      <c r="N225" s="824"/>
      <c r="O225" s="664">
        <v>10</v>
      </c>
      <c r="P225" s="221">
        <v>10</v>
      </c>
      <c r="Q225" s="872">
        <v>10</v>
      </c>
    </row>
    <row r="226" spans="1:19" s="371" customFormat="1" ht="14.25" customHeight="1" x14ac:dyDescent="0.25">
      <c r="A226" s="1009"/>
      <c r="B226" s="1010"/>
      <c r="C226" s="1011"/>
      <c r="D226" s="1073"/>
      <c r="E226" s="1463"/>
      <c r="F226" s="932"/>
      <c r="G226" s="1717"/>
      <c r="H226" s="264" t="s">
        <v>145</v>
      </c>
      <c r="I226" s="590"/>
      <c r="J226" s="35">
        <v>136.5</v>
      </c>
      <c r="K226" s="181">
        <v>342.2</v>
      </c>
      <c r="L226" s="207">
        <v>500</v>
      </c>
      <c r="M226" s="1586"/>
      <c r="N226" s="824"/>
      <c r="O226" s="664"/>
      <c r="P226" s="221"/>
      <c r="Q226" s="872"/>
    </row>
    <row r="227" spans="1:19" s="371" customFormat="1" ht="14.25" customHeight="1" x14ac:dyDescent="0.25">
      <c r="A227" s="1009"/>
      <c r="B227" s="1010"/>
      <c r="C227" s="1011"/>
      <c r="D227" s="1073"/>
      <c r="E227" s="1465"/>
      <c r="F227" s="933" t="s">
        <v>265</v>
      </c>
      <c r="G227" s="1718"/>
      <c r="H227" s="833" t="s">
        <v>20</v>
      </c>
      <c r="I227" s="582">
        <f>I225</f>
        <v>0</v>
      </c>
      <c r="J227" s="7">
        <f>SUM(J225:J226)</f>
        <v>500</v>
      </c>
      <c r="K227" s="672">
        <f>SUM(K225:K226)</f>
        <v>500</v>
      </c>
      <c r="L227" s="895">
        <f>SUM(L225:L226)</f>
        <v>500</v>
      </c>
      <c r="M227" s="1586"/>
      <c r="N227" s="824"/>
      <c r="O227" s="664"/>
      <c r="P227" s="221"/>
      <c r="Q227" s="825"/>
    </row>
    <row r="228" spans="1:19" s="371" customFormat="1" ht="15" customHeight="1" thickBot="1" x14ac:dyDescent="0.3">
      <c r="A228" s="1013"/>
      <c r="B228" s="1015"/>
      <c r="C228" s="1053"/>
      <c r="D228" s="1041"/>
      <c r="E228" s="1667" t="s">
        <v>27</v>
      </c>
      <c r="F228" s="1668"/>
      <c r="G228" s="1719"/>
      <c r="H228" s="1668"/>
      <c r="I228" s="569">
        <f>I218+I224</f>
        <v>621.6</v>
      </c>
      <c r="J228" s="85">
        <f>J218+J224+J227</f>
        <v>591.4</v>
      </c>
      <c r="K228" s="214">
        <f>K218+K224+K227</f>
        <v>1447.4</v>
      </c>
      <c r="L228" s="268">
        <f>L218+L224+L227</f>
        <v>3032.2000000000003</v>
      </c>
      <c r="M228" s="347"/>
      <c r="N228" s="572"/>
      <c r="O228" s="668"/>
      <c r="P228" s="669"/>
      <c r="Q228" s="474"/>
    </row>
    <row r="229" spans="1:19" s="371" customFormat="1" ht="18" customHeight="1" x14ac:dyDescent="0.25">
      <c r="A229" s="1009" t="s">
        <v>10</v>
      </c>
      <c r="B229" s="1010" t="s">
        <v>33</v>
      </c>
      <c r="C229" s="40" t="s">
        <v>28</v>
      </c>
      <c r="D229" s="112"/>
      <c r="E229" s="1663" t="s">
        <v>56</v>
      </c>
      <c r="F229" s="886" t="s">
        <v>264</v>
      </c>
      <c r="G229" s="1720" t="s">
        <v>190</v>
      </c>
      <c r="H229" s="6"/>
      <c r="I229" s="575"/>
      <c r="J229" s="338"/>
      <c r="K229" s="216"/>
      <c r="L229" s="429"/>
      <c r="M229" s="1092"/>
      <c r="N229" s="312"/>
      <c r="O229" s="12"/>
      <c r="P229" s="239"/>
      <c r="Q229" s="467"/>
      <c r="R229" s="880"/>
    </row>
    <row r="230" spans="1:19" s="371" customFormat="1" ht="18" customHeight="1" x14ac:dyDescent="0.25">
      <c r="A230" s="1009"/>
      <c r="B230" s="1010"/>
      <c r="C230" s="40"/>
      <c r="D230" s="112"/>
      <c r="E230" s="1663"/>
      <c r="F230" s="891"/>
      <c r="G230" s="1721"/>
      <c r="H230" s="6" t="s">
        <v>79</v>
      </c>
      <c r="I230" s="576">
        <v>234.5</v>
      </c>
      <c r="J230" s="709">
        <v>231.5</v>
      </c>
      <c r="K230" s="202"/>
      <c r="L230" s="427"/>
      <c r="M230" s="1092"/>
      <c r="N230" s="312"/>
      <c r="O230" s="12"/>
      <c r="P230" s="239"/>
      <c r="Q230" s="467"/>
    </row>
    <row r="231" spans="1:19" s="371" customFormat="1" ht="18" customHeight="1" x14ac:dyDescent="0.25">
      <c r="A231" s="1009"/>
      <c r="B231" s="1010"/>
      <c r="C231" s="40"/>
      <c r="D231" s="112"/>
      <c r="E231" s="1663"/>
      <c r="F231" s="891"/>
      <c r="G231" s="1721"/>
      <c r="H231" s="66"/>
      <c r="I231" s="577"/>
      <c r="J231" s="777"/>
      <c r="K231" s="216"/>
      <c r="L231" s="430"/>
      <c r="M231" s="1092"/>
      <c r="N231" s="312"/>
      <c r="O231" s="12"/>
      <c r="P231" s="239"/>
      <c r="Q231" s="467"/>
      <c r="S231" s="372"/>
    </row>
    <row r="232" spans="1:19" s="371" customFormat="1" ht="21" customHeight="1" x14ac:dyDescent="0.25">
      <c r="A232" s="1009"/>
      <c r="B232" s="1010"/>
      <c r="C232" s="40"/>
      <c r="D232" s="115" t="s">
        <v>10</v>
      </c>
      <c r="E232" s="1595" t="s">
        <v>57</v>
      </c>
      <c r="F232" s="887" t="s">
        <v>265</v>
      </c>
      <c r="G232" s="42"/>
      <c r="H232" s="6" t="s">
        <v>38</v>
      </c>
      <c r="I232" s="578">
        <v>462.3</v>
      </c>
      <c r="J232" s="709">
        <v>955.4</v>
      </c>
      <c r="K232" s="202">
        <v>955.4</v>
      </c>
      <c r="L232" s="431">
        <v>955.4</v>
      </c>
      <c r="M232" s="258" t="s">
        <v>139</v>
      </c>
      <c r="N232" s="544">
        <v>30</v>
      </c>
      <c r="O232" s="665">
        <v>30</v>
      </c>
      <c r="P232" s="259">
        <v>30</v>
      </c>
      <c r="Q232" s="456">
        <v>30</v>
      </c>
    </row>
    <row r="233" spans="1:19" s="371" customFormat="1" ht="21" customHeight="1" x14ac:dyDescent="0.25">
      <c r="A233" s="1009"/>
      <c r="B233" s="1010"/>
      <c r="C233" s="40"/>
      <c r="D233" s="114"/>
      <c r="E233" s="1596"/>
      <c r="F233" s="401"/>
      <c r="G233" s="42"/>
      <c r="H233" s="66"/>
      <c r="I233" s="579"/>
      <c r="J233" s="868"/>
      <c r="K233" s="708"/>
      <c r="L233" s="432"/>
      <c r="M233" s="84"/>
      <c r="N233" s="573"/>
      <c r="O233" s="666"/>
      <c r="P233" s="240"/>
      <c r="Q233" s="475"/>
    </row>
    <row r="234" spans="1:19" s="371" customFormat="1" ht="33.75" customHeight="1" x14ac:dyDescent="0.25">
      <c r="A234" s="1009"/>
      <c r="B234" s="1010"/>
      <c r="C234" s="40"/>
      <c r="D234" s="112" t="s">
        <v>28</v>
      </c>
      <c r="E234" s="1595" t="s">
        <v>58</v>
      </c>
      <c r="F234" s="402"/>
      <c r="G234" s="42"/>
      <c r="H234" s="6" t="s">
        <v>38</v>
      </c>
      <c r="I234" s="577">
        <v>131</v>
      </c>
      <c r="J234" s="777">
        <v>281</v>
      </c>
      <c r="K234" s="216">
        <v>281</v>
      </c>
      <c r="L234" s="430">
        <v>281</v>
      </c>
      <c r="M234" s="1714" t="s">
        <v>306</v>
      </c>
      <c r="N234" s="544">
        <v>250</v>
      </c>
      <c r="O234" s="665">
        <v>260</v>
      </c>
      <c r="P234" s="259">
        <v>270</v>
      </c>
      <c r="Q234" s="456">
        <v>280</v>
      </c>
    </row>
    <row r="235" spans="1:19" s="371" customFormat="1" ht="33.75" customHeight="1" x14ac:dyDescent="0.25">
      <c r="A235" s="1009"/>
      <c r="B235" s="1010"/>
      <c r="C235" s="40"/>
      <c r="D235" s="112"/>
      <c r="E235" s="1596"/>
      <c r="F235" s="402"/>
      <c r="G235" s="42"/>
      <c r="H235" s="66"/>
      <c r="I235" s="577"/>
      <c r="J235" s="777"/>
      <c r="K235" s="216"/>
      <c r="L235" s="430"/>
      <c r="M235" s="1712"/>
      <c r="N235" s="573"/>
      <c r="O235" s="666"/>
      <c r="P235" s="240"/>
      <c r="Q235" s="475"/>
    </row>
    <row r="236" spans="1:19" s="371" customFormat="1" ht="28.5" customHeight="1" x14ac:dyDescent="0.25">
      <c r="A236" s="1009"/>
      <c r="B236" s="1010"/>
      <c r="C236" s="40"/>
      <c r="D236" s="115" t="s">
        <v>31</v>
      </c>
      <c r="E236" s="1595" t="s">
        <v>59</v>
      </c>
      <c r="F236" s="402"/>
      <c r="G236" s="42"/>
      <c r="H236" s="6" t="s">
        <v>38</v>
      </c>
      <c r="I236" s="578">
        <v>32</v>
      </c>
      <c r="J236" s="709">
        <v>48.1</v>
      </c>
      <c r="K236" s="202">
        <v>48.1</v>
      </c>
      <c r="L236" s="431">
        <v>48.1</v>
      </c>
      <c r="M236" s="1714" t="s">
        <v>90</v>
      </c>
      <c r="N236" s="544">
        <v>35</v>
      </c>
      <c r="O236" s="665">
        <v>35</v>
      </c>
      <c r="P236" s="259">
        <v>35</v>
      </c>
      <c r="Q236" s="456">
        <v>35</v>
      </c>
    </row>
    <row r="237" spans="1:19" s="371" customFormat="1" ht="28.5" customHeight="1" x14ac:dyDescent="0.25">
      <c r="A237" s="1009"/>
      <c r="B237" s="1010"/>
      <c r="C237" s="40"/>
      <c r="D237" s="112"/>
      <c r="E237" s="1596"/>
      <c r="F237" s="402"/>
      <c r="G237" s="42"/>
      <c r="H237" s="66"/>
      <c r="I237" s="579"/>
      <c r="J237" s="868"/>
      <c r="K237" s="708"/>
      <c r="L237" s="432"/>
      <c r="M237" s="1715"/>
      <c r="N237" s="573"/>
      <c r="O237" s="666"/>
      <c r="P237" s="240"/>
      <c r="Q237" s="475"/>
    </row>
    <row r="238" spans="1:19" s="371" customFormat="1" ht="15" customHeight="1" x14ac:dyDescent="0.25">
      <c r="A238" s="1009"/>
      <c r="B238" s="1010"/>
      <c r="C238" s="40"/>
      <c r="D238" s="115" t="s">
        <v>33</v>
      </c>
      <c r="E238" s="1595" t="s">
        <v>60</v>
      </c>
      <c r="F238" s="402"/>
      <c r="G238" s="42"/>
      <c r="H238" s="6" t="s">
        <v>38</v>
      </c>
      <c r="I238" s="577">
        <v>237</v>
      </c>
      <c r="J238" s="777">
        <v>359.4</v>
      </c>
      <c r="K238" s="216">
        <v>359.4</v>
      </c>
      <c r="L238" s="430">
        <v>359.4</v>
      </c>
      <c r="M238" s="1714" t="s">
        <v>61</v>
      </c>
      <c r="N238" s="544">
        <v>95</v>
      </c>
      <c r="O238" s="665">
        <v>95</v>
      </c>
      <c r="P238" s="259">
        <v>95</v>
      </c>
      <c r="Q238" s="456">
        <v>95</v>
      </c>
    </row>
    <row r="239" spans="1:19" s="371" customFormat="1" ht="25.5" customHeight="1" x14ac:dyDescent="0.25">
      <c r="A239" s="1009"/>
      <c r="B239" s="1010"/>
      <c r="C239" s="40"/>
      <c r="D239" s="112"/>
      <c r="E239" s="1596"/>
      <c r="F239" s="402"/>
      <c r="G239" s="42"/>
      <c r="H239" s="66"/>
      <c r="I239" s="577"/>
      <c r="J239" s="777"/>
      <c r="K239" s="216"/>
      <c r="L239" s="430"/>
      <c r="M239" s="1715"/>
      <c r="N239" s="573"/>
      <c r="O239" s="666"/>
      <c r="P239" s="240"/>
      <c r="Q239" s="475"/>
    </row>
    <row r="240" spans="1:19" s="371" customFormat="1" ht="40.5" customHeight="1" x14ac:dyDescent="0.25">
      <c r="A240" s="1009"/>
      <c r="B240" s="1010"/>
      <c r="C240" s="40"/>
      <c r="D240" s="116" t="s">
        <v>34</v>
      </c>
      <c r="E240" s="148" t="s">
        <v>62</v>
      </c>
      <c r="F240" s="402"/>
      <c r="G240" s="42"/>
      <c r="H240" s="6" t="s">
        <v>30</v>
      </c>
      <c r="I240" s="580">
        <v>6.6</v>
      </c>
      <c r="J240" s="869">
        <v>10</v>
      </c>
      <c r="K240" s="706">
        <v>10</v>
      </c>
      <c r="L240" s="433">
        <v>10</v>
      </c>
      <c r="M240" s="71" t="s">
        <v>130</v>
      </c>
      <c r="N240" s="527">
        <v>12</v>
      </c>
      <c r="O240" s="520">
        <v>12</v>
      </c>
      <c r="P240" s="223">
        <v>12</v>
      </c>
      <c r="Q240" s="437">
        <v>12</v>
      </c>
    </row>
    <row r="241" spans="1:17" s="371" customFormat="1" ht="22.5" customHeight="1" x14ac:dyDescent="0.25">
      <c r="A241" s="1009"/>
      <c r="B241" s="1010"/>
      <c r="C241" s="40"/>
      <c r="D241" s="112" t="s">
        <v>48</v>
      </c>
      <c r="E241" s="1655" t="s">
        <v>63</v>
      </c>
      <c r="F241" s="402"/>
      <c r="G241" s="42"/>
      <c r="H241" s="6" t="s">
        <v>38</v>
      </c>
      <c r="I241" s="577">
        <v>157</v>
      </c>
      <c r="J241" s="777">
        <v>273.10000000000002</v>
      </c>
      <c r="K241" s="216">
        <v>273.10000000000002</v>
      </c>
      <c r="L241" s="430">
        <v>273.10000000000002</v>
      </c>
      <c r="M241" s="1712" t="s">
        <v>64</v>
      </c>
      <c r="N241" s="573">
        <v>100</v>
      </c>
      <c r="O241" s="666">
        <v>100</v>
      </c>
      <c r="P241" s="240">
        <v>100</v>
      </c>
      <c r="Q241" s="475">
        <v>100</v>
      </c>
    </row>
    <row r="242" spans="1:17" s="371" customFormat="1" ht="30.75" customHeight="1" x14ac:dyDescent="0.25">
      <c r="A242" s="59"/>
      <c r="B242" s="1010"/>
      <c r="C242" s="40"/>
      <c r="D242" s="112"/>
      <c r="E242" s="1655"/>
      <c r="F242" s="402"/>
      <c r="G242" s="42"/>
      <c r="H242" s="66"/>
      <c r="I242" s="577"/>
      <c r="J242" s="338"/>
      <c r="K242" s="216"/>
      <c r="L242" s="430"/>
      <c r="M242" s="1712"/>
      <c r="N242" s="573"/>
      <c r="O242" s="666"/>
      <c r="P242" s="240"/>
      <c r="Q242" s="475"/>
    </row>
    <row r="243" spans="1:17" s="371" customFormat="1" ht="13.5" customHeight="1" thickBot="1" x14ac:dyDescent="0.3">
      <c r="A243" s="60" t="s">
        <v>95</v>
      </c>
      <c r="B243" s="1015"/>
      <c r="C243" s="41"/>
      <c r="D243" s="113"/>
      <c r="E243" s="1656"/>
      <c r="F243" s="403"/>
      <c r="G243" s="133"/>
      <c r="H243" s="49" t="s">
        <v>20</v>
      </c>
      <c r="I243" s="100">
        <f>SUM(I229:I242)</f>
        <v>1260.3999999999999</v>
      </c>
      <c r="J243" s="9">
        <f t="shared" ref="J243:L243" si="19">SUM(J229:J242)</f>
        <v>2158.5</v>
      </c>
      <c r="K243" s="187">
        <f t="shared" si="19"/>
        <v>1927</v>
      </c>
      <c r="L243" s="176">
        <f t="shared" si="19"/>
        <v>1927</v>
      </c>
      <c r="M243" s="1713"/>
      <c r="N243" s="574"/>
      <c r="O243" s="667"/>
      <c r="P243" s="260"/>
      <c r="Q243" s="476"/>
    </row>
    <row r="244" spans="1:17" s="371" customFormat="1" ht="52.5" customHeight="1" x14ac:dyDescent="0.25">
      <c r="A244" s="1012" t="s">
        <v>10</v>
      </c>
      <c r="B244" s="1014" t="s">
        <v>33</v>
      </c>
      <c r="C244" s="1052" t="s">
        <v>31</v>
      </c>
      <c r="D244" s="1040"/>
      <c r="E244" s="399" t="s">
        <v>65</v>
      </c>
      <c r="F244" s="400"/>
      <c r="G244" s="989"/>
      <c r="H244" s="38"/>
      <c r="I244" s="575"/>
      <c r="J244" s="830"/>
      <c r="K244" s="215"/>
      <c r="L244" s="429"/>
      <c r="M244" s="37"/>
      <c r="N244" s="555"/>
      <c r="O244" s="524"/>
      <c r="P244" s="224"/>
      <c r="Q244" s="466"/>
    </row>
    <row r="245" spans="1:17" s="371" customFormat="1" ht="27.75" customHeight="1" x14ac:dyDescent="0.25">
      <c r="A245" s="1009"/>
      <c r="B245" s="1010"/>
      <c r="C245" s="1011"/>
      <c r="D245" s="108" t="s">
        <v>10</v>
      </c>
      <c r="E245" s="1598" t="s">
        <v>108</v>
      </c>
      <c r="F245" s="887" t="s">
        <v>264</v>
      </c>
      <c r="G245" s="251" t="s">
        <v>182</v>
      </c>
      <c r="H245" s="50" t="s">
        <v>30</v>
      </c>
      <c r="I245" s="581"/>
      <c r="J245" s="337">
        <v>50</v>
      </c>
      <c r="K245" s="201"/>
      <c r="L245" s="405"/>
      <c r="M245" s="994" t="s">
        <v>133</v>
      </c>
      <c r="N245" s="504"/>
      <c r="O245" s="54">
        <v>1</v>
      </c>
      <c r="P245" s="873"/>
      <c r="Q245" s="874"/>
    </row>
    <row r="246" spans="1:17" s="371" customFormat="1" ht="15" customHeight="1" thickBot="1" x14ac:dyDescent="0.3">
      <c r="A246" s="1009"/>
      <c r="B246" s="1010"/>
      <c r="C246" s="1011"/>
      <c r="D246" s="1041"/>
      <c r="E246" s="1599"/>
      <c r="F246" s="403"/>
      <c r="G246" s="352"/>
      <c r="H246" s="51" t="s">
        <v>20</v>
      </c>
      <c r="I246" s="582">
        <f>SUM(I245:I245)</f>
        <v>0</v>
      </c>
      <c r="J246" s="7">
        <f t="shared" ref="J246:L246" si="20">SUM(J245:J245)</f>
        <v>50</v>
      </c>
      <c r="K246" s="184">
        <f t="shared" si="20"/>
        <v>0</v>
      </c>
      <c r="L246" s="177">
        <f t="shared" si="20"/>
        <v>0</v>
      </c>
      <c r="M246" s="140"/>
      <c r="N246" s="572"/>
      <c r="O246" s="523"/>
      <c r="P246" s="669"/>
      <c r="Q246" s="474"/>
    </row>
    <row r="247" spans="1:17" s="1" customFormat="1" ht="16.5" customHeight="1" thickBot="1" x14ac:dyDescent="0.4">
      <c r="A247" s="57" t="s">
        <v>10</v>
      </c>
      <c r="B247" s="3" t="s">
        <v>33</v>
      </c>
      <c r="C247" s="1592" t="s">
        <v>35</v>
      </c>
      <c r="D247" s="1592"/>
      <c r="E247" s="1592"/>
      <c r="F247" s="1592"/>
      <c r="G247" s="1592"/>
      <c r="H247" s="1592"/>
      <c r="I247" s="583">
        <f t="shared" ref="I247:L247" si="21">+I246+I243+I228</f>
        <v>1882</v>
      </c>
      <c r="J247" s="211">
        <f t="shared" si="21"/>
        <v>2799.9</v>
      </c>
      <c r="K247" s="217">
        <f t="shared" si="21"/>
        <v>3374.4</v>
      </c>
      <c r="L247" s="685">
        <f t="shared" si="21"/>
        <v>4959.2000000000007</v>
      </c>
      <c r="M247" s="1600"/>
      <c r="N247" s="1601"/>
      <c r="O247" s="1601"/>
      <c r="P247" s="1601"/>
      <c r="Q247" s="1602"/>
    </row>
    <row r="248" spans="1:17" s="371" customFormat="1" ht="16.5" customHeight="1" thickBot="1" x14ac:dyDescent="0.3">
      <c r="A248" s="1013" t="s">
        <v>10</v>
      </c>
      <c r="B248" s="64"/>
      <c r="C248" s="1654" t="s">
        <v>66</v>
      </c>
      <c r="D248" s="1654"/>
      <c r="E248" s="1654"/>
      <c r="F248" s="1654"/>
      <c r="G248" s="1654"/>
      <c r="H248" s="1654"/>
      <c r="I248" s="584">
        <f>I247+I211+I191+I68</f>
        <v>64591.4</v>
      </c>
      <c r="J248" s="212">
        <f>J247+J211+J191+J68</f>
        <v>71617.599999999991</v>
      </c>
      <c r="K248" s="218">
        <f>K247+K211+K191+K68</f>
        <v>71215.299999999988</v>
      </c>
      <c r="L248" s="209">
        <f>L247+L211+L191+L68</f>
        <v>73930.999999999985</v>
      </c>
      <c r="M248" s="1658"/>
      <c r="N248" s="1659"/>
      <c r="O248" s="1659"/>
      <c r="P248" s="1659"/>
      <c r="Q248" s="1660"/>
    </row>
    <row r="249" spans="1:17" s="1" customFormat="1" ht="16.5" customHeight="1" thickBot="1" x14ac:dyDescent="0.4">
      <c r="A249" s="65" t="s">
        <v>67</v>
      </c>
      <c r="B249" s="1608" t="s">
        <v>68</v>
      </c>
      <c r="C249" s="1609"/>
      <c r="D249" s="1609"/>
      <c r="E249" s="1609"/>
      <c r="F249" s="1609"/>
      <c r="G249" s="1609"/>
      <c r="H249" s="1609"/>
      <c r="I249" s="585">
        <f t="shared" ref="I249:L249" si="22">I248</f>
        <v>64591.4</v>
      </c>
      <c r="J249" s="213">
        <f t="shared" si="22"/>
        <v>71617.599999999991</v>
      </c>
      <c r="K249" s="219">
        <f t="shared" si="22"/>
        <v>71215.299999999988</v>
      </c>
      <c r="L249" s="210">
        <f t="shared" si="22"/>
        <v>73930.999999999985</v>
      </c>
      <c r="M249" s="1651"/>
      <c r="N249" s="1652"/>
      <c r="O249" s="1652"/>
      <c r="P249" s="1652"/>
      <c r="Q249" s="1653"/>
    </row>
    <row r="250" spans="1:17" s="1" customFormat="1" ht="16.5" customHeight="1" x14ac:dyDescent="0.35">
      <c r="A250" s="1607" t="s">
        <v>294</v>
      </c>
      <c r="B250" s="1607"/>
      <c r="C250" s="1607"/>
      <c r="D250" s="1607"/>
      <c r="E250" s="1607"/>
      <c r="F250" s="1607"/>
      <c r="G250" s="1607"/>
      <c r="H250" s="1607"/>
      <c r="I250" s="1607"/>
      <c r="J250" s="1607"/>
      <c r="K250" s="1607"/>
      <c r="L250" s="1607"/>
      <c r="M250" s="1607"/>
      <c r="N250" s="1607"/>
      <c r="O250" s="1607"/>
      <c r="P250" s="1607"/>
      <c r="Q250" s="1607"/>
    </row>
    <row r="251" spans="1:17" s="1" customFormat="1" ht="9" customHeight="1" x14ac:dyDescent="0.35">
      <c r="A251" s="1066"/>
      <c r="B251" s="1066"/>
      <c r="C251" s="1066"/>
      <c r="D251" s="1066"/>
      <c r="E251" s="1066"/>
      <c r="F251" s="1066"/>
      <c r="G251" s="1066"/>
      <c r="H251" s="1066"/>
      <c r="I251" s="1066"/>
      <c r="J251" s="1066"/>
      <c r="K251" s="1066"/>
      <c r="L251" s="1066"/>
      <c r="M251" s="1066"/>
      <c r="N251" s="1066"/>
      <c r="O251" s="1066"/>
      <c r="P251" s="1066"/>
      <c r="Q251" s="1066"/>
    </row>
    <row r="252" spans="1:17" s="1" customFormat="1" ht="43.5" customHeight="1" x14ac:dyDescent="0.35">
      <c r="A252" s="1710" t="s">
        <v>302</v>
      </c>
      <c r="B252" s="1711"/>
      <c r="C252" s="1711"/>
      <c r="D252" s="1711"/>
      <c r="E252" s="1711"/>
      <c r="F252" s="1711"/>
      <c r="G252" s="1711"/>
      <c r="H252" s="1711"/>
      <c r="I252" s="1711"/>
      <c r="J252" s="1711"/>
      <c r="K252" s="1711"/>
      <c r="L252" s="1711"/>
      <c r="M252" s="1066"/>
      <c r="N252" s="1066"/>
      <c r="O252" s="1066"/>
      <c r="P252" s="1066"/>
      <c r="Q252" s="1066"/>
    </row>
    <row r="253" spans="1:17" s="372" customFormat="1" ht="21.75" customHeight="1" thickBot="1" x14ac:dyDescent="0.35">
      <c r="A253" s="1606" t="s">
        <v>69</v>
      </c>
      <c r="B253" s="1606"/>
      <c r="C253" s="1606"/>
      <c r="D253" s="1606"/>
      <c r="E253" s="1606"/>
      <c r="F253" s="1606"/>
      <c r="G253" s="1606"/>
      <c r="H253" s="1606"/>
      <c r="I253" s="1606"/>
      <c r="J253" s="1606"/>
      <c r="K253" s="1606"/>
      <c r="L253" s="1606"/>
      <c r="M253" s="23"/>
      <c r="N253" s="23"/>
      <c r="O253" s="23"/>
      <c r="P253" s="23"/>
      <c r="Q253" s="34"/>
    </row>
    <row r="254" spans="1:17" s="15" customFormat="1" ht="93.75" customHeight="1" thickBot="1" x14ac:dyDescent="0.4">
      <c r="A254" s="1621" t="s">
        <v>70</v>
      </c>
      <c r="B254" s="1622"/>
      <c r="C254" s="1622"/>
      <c r="D254" s="1622"/>
      <c r="E254" s="1622"/>
      <c r="F254" s="1622"/>
      <c r="G254" s="1623"/>
      <c r="H254" s="1623"/>
      <c r="I254" s="622" t="s">
        <v>258</v>
      </c>
      <c r="J254" s="621" t="s">
        <v>252</v>
      </c>
      <c r="K254" s="624" t="s">
        <v>301</v>
      </c>
      <c r="L254" s="623" t="s">
        <v>253</v>
      </c>
      <c r="M254" s="147"/>
      <c r="N254" s="147"/>
      <c r="O254" s="147"/>
      <c r="P254" s="147"/>
      <c r="Q254" s="147"/>
    </row>
    <row r="255" spans="1:17" s="1" customFormat="1" ht="15.75" customHeight="1" x14ac:dyDescent="0.35">
      <c r="A255" s="1624" t="s">
        <v>71</v>
      </c>
      <c r="B255" s="1625"/>
      <c r="C255" s="1625"/>
      <c r="D255" s="1625"/>
      <c r="E255" s="1625"/>
      <c r="F255" s="1625"/>
      <c r="G255" s="1626"/>
      <c r="H255" s="1626"/>
      <c r="I255" s="134">
        <f>+I256+I264+I265+I266+I267+I268</f>
        <v>26629.8</v>
      </c>
      <c r="J255" s="269">
        <f t="shared" ref="J255:L255" si="23">+J256+J264+J265+J266+J267+J268</f>
        <v>30629.500000000004</v>
      </c>
      <c r="K255" s="285">
        <f t="shared" si="23"/>
        <v>28537.000000000004</v>
      </c>
      <c r="L255" s="277">
        <f t="shared" si="23"/>
        <v>28940.800000000003</v>
      </c>
      <c r="M255" s="143"/>
      <c r="N255" s="143"/>
      <c r="O255" s="143"/>
      <c r="P255" s="143"/>
      <c r="Q255" s="143"/>
    </row>
    <row r="256" spans="1:17" s="1" customFormat="1" ht="15.75" customHeight="1" x14ac:dyDescent="0.35">
      <c r="A256" s="1641" t="s">
        <v>157</v>
      </c>
      <c r="B256" s="1642"/>
      <c r="C256" s="1642"/>
      <c r="D256" s="1642"/>
      <c r="E256" s="1642"/>
      <c r="F256" s="1642"/>
      <c r="G256" s="1642"/>
      <c r="H256" s="1642"/>
      <c r="I256" s="94">
        <f>SUM(I257:I263)</f>
        <v>24813.5</v>
      </c>
      <c r="J256" s="270">
        <f t="shared" ref="J256:L256" si="24">SUM(J257:J263)</f>
        <v>29906</v>
      </c>
      <c r="K256" s="286">
        <f t="shared" si="24"/>
        <v>28194.800000000003</v>
      </c>
      <c r="L256" s="278">
        <f t="shared" si="24"/>
        <v>28440.800000000003</v>
      </c>
      <c r="M256" s="143"/>
      <c r="N256" s="143"/>
      <c r="O256" s="143"/>
      <c r="P256" s="143"/>
      <c r="Q256" s="143"/>
    </row>
    <row r="257" spans="1:22" s="1" customFormat="1" ht="15.75" customHeight="1" x14ac:dyDescent="0.35">
      <c r="A257" s="1486" t="s">
        <v>72</v>
      </c>
      <c r="B257" s="1617"/>
      <c r="C257" s="1617"/>
      <c r="D257" s="1617"/>
      <c r="E257" s="1617"/>
      <c r="F257" s="1617"/>
      <c r="G257" s="1618"/>
      <c r="H257" s="1618"/>
      <c r="I257" s="95">
        <f>SUMIF(H14:H245,"sb",I14:I245)</f>
        <v>4487.8999999999996</v>
      </c>
      <c r="J257" s="266">
        <f>SUMIF(H14:H245,"sb",J14:J245)</f>
        <v>7628.7</v>
      </c>
      <c r="K257" s="220">
        <f>SUMIF(H14:H245,"sb",K14:K245)</f>
        <v>7555.7</v>
      </c>
      <c r="L257" s="267">
        <f>SUMIF(H14:H245,"sb",L14:L245)</f>
        <v>7791.4999999999991</v>
      </c>
      <c r="M257" s="146"/>
      <c r="N257" s="146"/>
      <c r="O257" s="146"/>
      <c r="P257" s="146"/>
      <c r="Q257" s="146"/>
    </row>
    <row r="258" spans="1:22" s="1" customFormat="1" ht="15.75" customHeight="1" x14ac:dyDescent="0.35">
      <c r="A258" s="1646" t="s">
        <v>205</v>
      </c>
      <c r="B258" s="1647"/>
      <c r="C258" s="1647"/>
      <c r="D258" s="1647"/>
      <c r="E258" s="1647"/>
      <c r="F258" s="1647"/>
      <c r="G258" s="1647"/>
      <c r="H258" s="1648"/>
      <c r="I258" s="101">
        <f>SUMIF(H14:H245,"sb(S)",I14:I245)</f>
        <v>6895.2000000000007</v>
      </c>
      <c r="J258" s="169">
        <f>SUMIF(H14:H245,"sb(S)",J14:J245)</f>
        <v>6842.2000000000007</v>
      </c>
      <c r="K258" s="195">
        <f>SUMIF(H14:H245,"sb(S)",K14:K245)</f>
        <v>7626.8</v>
      </c>
      <c r="L258" s="189">
        <f>SUMIF(H14:H245,"sb(S)",L14:L245)</f>
        <v>7680</v>
      </c>
      <c r="M258" s="146"/>
      <c r="N258" s="146"/>
      <c r="O258" s="146"/>
      <c r="P258" s="146"/>
      <c r="Q258" s="146"/>
    </row>
    <row r="259" spans="1:22" s="1" customFormat="1" ht="15.75" customHeight="1" x14ac:dyDescent="0.35">
      <c r="A259" s="1619" t="s">
        <v>142</v>
      </c>
      <c r="B259" s="1620"/>
      <c r="C259" s="1620"/>
      <c r="D259" s="1620"/>
      <c r="E259" s="1620"/>
      <c r="F259" s="1620"/>
      <c r="G259" s="1620"/>
      <c r="H259" s="1620"/>
      <c r="I259" s="96">
        <f>SUMIF(H14:H245,"sb(f)",I14:I245)</f>
        <v>250</v>
      </c>
      <c r="J259" s="253">
        <f>SUMIF(H14:H245,"sb(f)",J14:J245)</f>
        <v>450</v>
      </c>
      <c r="K259" s="254">
        <f>SUMIF(H14:H245,"sb(f)",K14:K245)</f>
        <v>300</v>
      </c>
      <c r="L259" s="252">
        <f>SUMIF(H14:H245,"sb(f)",L14:L245)</f>
        <v>250</v>
      </c>
      <c r="M259" s="146"/>
      <c r="N259" s="146"/>
      <c r="O259" s="146"/>
      <c r="P259" s="146"/>
      <c r="Q259" s="146"/>
      <c r="V259" s="2"/>
    </row>
    <row r="260" spans="1:22" s="1" customFormat="1" ht="15.75" customHeight="1" x14ac:dyDescent="0.35">
      <c r="A260" s="1619" t="s">
        <v>134</v>
      </c>
      <c r="B260" s="1620"/>
      <c r="C260" s="1620"/>
      <c r="D260" s="1620"/>
      <c r="E260" s="1620"/>
      <c r="F260" s="1620"/>
      <c r="G260" s="1620"/>
      <c r="H260" s="1620"/>
      <c r="I260" s="96">
        <f>SUMIF(H18:H245,"sb(es)",I18:I245)</f>
        <v>1395.1</v>
      </c>
      <c r="J260" s="253">
        <f>SUMIF(H18:H245,"sb(es)",J18:J245)</f>
        <v>938.1</v>
      </c>
      <c r="K260" s="254">
        <f>SUMIF(H18:H245,"sb(es)",K18:K245)</f>
        <v>0</v>
      </c>
      <c r="L260" s="252">
        <f>SUMIF(H18:H245,"sb(es)",L18:L245)</f>
        <v>0</v>
      </c>
      <c r="M260" s="146"/>
      <c r="N260" s="146"/>
      <c r="O260" s="146"/>
      <c r="P260" s="146"/>
      <c r="Q260" s="145"/>
    </row>
    <row r="261" spans="1:22" s="1" customFormat="1" ht="29.65" customHeight="1" x14ac:dyDescent="0.35">
      <c r="A261" s="1619" t="s">
        <v>131</v>
      </c>
      <c r="B261" s="1620"/>
      <c r="C261" s="1620"/>
      <c r="D261" s="1620"/>
      <c r="E261" s="1620"/>
      <c r="F261" s="1620"/>
      <c r="G261" s="1620"/>
      <c r="H261" s="1620"/>
      <c r="I261" s="96">
        <f>SUMIF(H15:H245,"SB(esa)",I15:I245)</f>
        <v>6.5</v>
      </c>
      <c r="J261" s="253">
        <f>SUMIF(H15:H245,"SB(esa)",J15:J245)</f>
        <v>7.3</v>
      </c>
      <c r="K261" s="254">
        <f>SUMIF(H15:H245,"SB(esa)",K15:K245)</f>
        <v>0</v>
      </c>
      <c r="L261" s="252">
        <f>SUMIF(H15:H245,"SB(esa)",L15:L245)</f>
        <v>0</v>
      </c>
      <c r="M261" s="145"/>
      <c r="N261" s="145"/>
      <c r="O261" s="145"/>
      <c r="P261" s="145"/>
      <c r="Q261" s="145"/>
    </row>
    <row r="262" spans="1:22" s="1" customFormat="1" ht="15.75" customHeight="1" x14ac:dyDescent="0.35">
      <c r="A262" s="1643" t="s">
        <v>73</v>
      </c>
      <c r="B262" s="1644"/>
      <c r="C262" s="1644"/>
      <c r="D262" s="1644"/>
      <c r="E262" s="1644"/>
      <c r="F262" s="1644"/>
      <c r="G262" s="1645"/>
      <c r="H262" s="1645"/>
      <c r="I262" s="98">
        <f>SUMIF(H14:H245,"sb(sp)",I14:I245)</f>
        <v>1770.3</v>
      </c>
      <c r="J262" s="255">
        <f>SUMIF(H14:H245,"sb(sp)",J14:J245)</f>
        <v>2708</v>
      </c>
      <c r="K262" s="256">
        <f>SUMIF(H14:H245,"sb(sp)",K14:K245)</f>
        <v>2710.9</v>
      </c>
      <c r="L262" s="257">
        <f>SUMIF(H14:H245,"sb(sp)",L14:L245)</f>
        <v>2717.9</v>
      </c>
      <c r="M262" s="146"/>
      <c r="N262" s="146"/>
      <c r="O262" s="146"/>
      <c r="P262" s="146"/>
      <c r="Q262" s="145"/>
    </row>
    <row r="263" spans="1:22" s="1" customFormat="1" ht="15" customHeight="1" x14ac:dyDescent="0.35">
      <c r="A263" s="1643" t="s">
        <v>74</v>
      </c>
      <c r="B263" s="1644"/>
      <c r="C263" s="1644"/>
      <c r="D263" s="1644"/>
      <c r="E263" s="1644"/>
      <c r="F263" s="1644"/>
      <c r="G263" s="1645"/>
      <c r="H263" s="1645"/>
      <c r="I263" s="96">
        <f>SUMIF(H14:H245,"sb(vb)",I14:I245)</f>
        <v>10008.499999999998</v>
      </c>
      <c r="J263" s="253">
        <f>SUMIF(H14:H245,"sb(vb)",J14:J245)</f>
        <v>11331.699999999997</v>
      </c>
      <c r="K263" s="254">
        <f>SUMIF(H14:H245,"sb(vb)",K14:K245)</f>
        <v>10001.4</v>
      </c>
      <c r="L263" s="252">
        <f>SUMIF(H14:H245,"sb(vb)",L14:L245)</f>
        <v>10001.4</v>
      </c>
      <c r="M263" s="146"/>
      <c r="N263" s="146"/>
      <c r="O263" s="146"/>
      <c r="P263" s="146"/>
      <c r="Q263" s="145"/>
    </row>
    <row r="264" spans="1:22" s="1" customFormat="1" ht="15.75" customHeight="1" x14ac:dyDescent="0.35">
      <c r="A264" s="1630" t="s">
        <v>110</v>
      </c>
      <c r="B264" s="1631"/>
      <c r="C264" s="1631"/>
      <c r="D264" s="1631"/>
      <c r="E264" s="1631"/>
      <c r="F264" s="1631"/>
      <c r="G264" s="1632"/>
      <c r="H264" s="1632"/>
      <c r="I264" s="97">
        <f>SUMIF(H14:H245,"sb(l)",I14:I245)</f>
        <v>940.79999999999984</v>
      </c>
      <c r="J264" s="271">
        <f>SUMIF(H14:H245,"sb(l)",J14:J245)</f>
        <v>155.69999999999999</v>
      </c>
      <c r="K264" s="287">
        <f>SUMIF(H14:H245,"sb(l)",K14:K245)</f>
        <v>0</v>
      </c>
      <c r="L264" s="279">
        <f>SUMIF(H14:H245,"sb(l)",L14:L245)</f>
        <v>0</v>
      </c>
      <c r="M264" s="146"/>
      <c r="N264" s="146"/>
      <c r="O264" s="146"/>
      <c r="P264" s="146"/>
      <c r="Q264" s="146"/>
    </row>
    <row r="265" spans="1:22" s="1" customFormat="1" ht="15.75" customHeight="1" x14ac:dyDescent="0.35">
      <c r="A265" s="1633" t="s">
        <v>181</v>
      </c>
      <c r="B265" s="1634"/>
      <c r="C265" s="1634"/>
      <c r="D265" s="1634"/>
      <c r="E265" s="1634"/>
      <c r="F265" s="1634"/>
      <c r="G265" s="1634"/>
      <c r="H265" s="1634"/>
      <c r="I265" s="97">
        <f>SUMIF(H14:H245,"sb(spl)",I14:I245)</f>
        <v>388.79999999999995</v>
      </c>
      <c r="J265" s="271">
        <f>SUMIF(H14:H245,"sb(spl)",J14:J245)</f>
        <v>335.5</v>
      </c>
      <c r="K265" s="287">
        <f>SUMIF(H14:H245,"sb(spl)",K14:K245)</f>
        <v>0</v>
      </c>
      <c r="L265" s="279">
        <f>SUMIF(H14:H245,"sb(spl)",L14:L245)</f>
        <v>0</v>
      </c>
      <c r="M265" s="146"/>
      <c r="N265" s="146"/>
      <c r="O265" s="146"/>
      <c r="P265" s="146"/>
      <c r="Q265" s="146"/>
    </row>
    <row r="266" spans="1:22" s="1" customFormat="1" ht="15.75" customHeight="1" x14ac:dyDescent="0.35">
      <c r="A266" s="1630" t="s">
        <v>155</v>
      </c>
      <c r="B266" s="1631"/>
      <c r="C266" s="1631"/>
      <c r="D266" s="1631"/>
      <c r="E266" s="1631"/>
      <c r="F266" s="1631"/>
      <c r="G266" s="1632"/>
      <c r="H266" s="1632"/>
      <c r="I266" s="97">
        <f>SUMIF(H14:H245,"sb(vbl)",I14:I245)</f>
        <v>0.5</v>
      </c>
      <c r="J266" s="271">
        <f>SUMIF(H14:H245,"sb(vbl)",J14:J245)</f>
        <v>4</v>
      </c>
      <c r="K266" s="287">
        <f>SUMIF(H14:H245,"sb(vbl)",K14:K245)</f>
        <v>0</v>
      </c>
      <c r="L266" s="279">
        <f>SUMIF(H14:H245,"sb(vbl)",L14:L245)</f>
        <v>0</v>
      </c>
      <c r="M266" s="145"/>
      <c r="N266" s="145"/>
      <c r="O266" s="145"/>
      <c r="P266" s="145"/>
      <c r="Q266" s="145"/>
    </row>
    <row r="267" spans="1:22" s="1" customFormat="1" ht="17.649999999999999" customHeight="1" x14ac:dyDescent="0.35">
      <c r="A267" s="1633" t="s">
        <v>303</v>
      </c>
      <c r="B267" s="1634"/>
      <c r="C267" s="1634"/>
      <c r="D267" s="1634"/>
      <c r="E267" s="1634"/>
      <c r="F267" s="1634"/>
      <c r="G267" s="1634"/>
      <c r="H267" s="1634"/>
      <c r="I267" s="97">
        <f>SUMIF(H14:H245,"sb(fl)",I14:I245)</f>
        <v>27</v>
      </c>
      <c r="J267" s="271">
        <f>SUMIF(H14:H245,"sb(fl)",J14:J245)</f>
        <v>141.4</v>
      </c>
      <c r="K267" s="287">
        <f>SUMIF(H14:H245,"sb(fl)",K14:K245)</f>
        <v>342.2</v>
      </c>
      <c r="L267" s="279">
        <f>SUMIF(H14:H245,"sb(fl)",L14:L245)</f>
        <v>500</v>
      </c>
      <c r="M267" s="146"/>
      <c r="N267" s="146"/>
      <c r="O267" s="146"/>
      <c r="P267" s="146"/>
      <c r="Q267" s="146"/>
    </row>
    <row r="268" spans="1:22" s="1" customFormat="1" ht="15.75" customHeight="1" thickBot="1" x14ac:dyDescent="0.4">
      <c r="A268" s="1635" t="s">
        <v>156</v>
      </c>
      <c r="B268" s="1636"/>
      <c r="C268" s="1636"/>
      <c r="D268" s="1636"/>
      <c r="E268" s="1636"/>
      <c r="F268" s="1636"/>
      <c r="G268" s="1637"/>
      <c r="H268" s="1637"/>
      <c r="I268" s="118">
        <f>SUMIF(H14:H245,"sb(esl)",I14:I245)</f>
        <v>459.2</v>
      </c>
      <c r="J268" s="272">
        <f>SUMIF(H14:H245,"sb(esl)",J14:J245)</f>
        <v>86.899999999999991</v>
      </c>
      <c r="K268" s="288">
        <f>SUMIF(H14:H245,"sb(esl)",K14:K245)</f>
        <v>0</v>
      </c>
      <c r="L268" s="280">
        <f>SUMIF(H14:H245,"sb(esl)",L14:L245)</f>
        <v>0</v>
      </c>
      <c r="M268" s="145"/>
      <c r="N268" s="145"/>
      <c r="O268" s="145"/>
      <c r="P268" s="145"/>
      <c r="Q268" s="145"/>
    </row>
    <row r="269" spans="1:22" s="1" customFormat="1" ht="15.75" customHeight="1" thickBot="1" x14ac:dyDescent="0.4">
      <c r="A269" s="1638" t="s">
        <v>75</v>
      </c>
      <c r="B269" s="1639"/>
      <c r="C269" s="1639"/>
      <c r="D269" s="1639"/>
      <c r="E269" s="1639"/>
      <c r="F269" s="1639"/>
      <c r="G269" s="1640"/>
      <c r="H269" s="1640"/>
      <c r="I269" s="91">
        <f>SUM(I270:I272)</f>
        <v>37961.599999999999</v>
      </c>
      <c r="J269" s="273">
        <f t="shared" ref="J269:L269" si="25">SUM(J270:J272)</f>
        <v>40988.099999999991</v>
      </c>
      <c r="K269" s="289">
        <f t="shared" si="25"/>
        <v>42678.299999999988</v>
      </c>
      <c r="L269" s="281">
        <f t="shared" si="25"/>
        <v>44990.19999999999</v>
      </c>
      <c r="M269" s="145"/>
      <c r="N269" s="145"/>
      <c r="O269" s="145"/>
      <c r="P269" s="145"/>
      <c r="Q269" s="145"/>
    </row>
    <row r="270" spans="1:22" s="1" customFormat="1" ht="15.75" customHeight="1" x14ac:dyDescent="0.35">
      <c r="A270" s="1643" t="s">
        <v>98</v>
      </c>
      <c r="B270" s="1644"/>
      <c r="C270" s="1644"/>
      <c r="D270" s="1644"/>
      <c r="E270" s="1644"/>
      <c r="F270" s="1644"/>
      <c r="G270" s="1645"/>
      <c r="H270" s="1645"/>
      <c r="I270" s="119">
        <f>SUMIF(H13:H245,"es",I13:I245)</f>
        <v>0</v>
      </c>
      <c r="J270" s="274">
        <f>SUMIF(H13:H245,"es",J13:J245)</f>
        <v>0</v>
      </c>
      <c r="K270" s="290">
        <f>SUMIF(H13:H245,"es",K13:K245)</f>
        <v>1740.2</v>
      </c>
      <c r="L270" s="282">
        <f>SUMIF(H13:H245,"es",L13:L245)</f>
        <v>4052.1000000000004</v>
      </c>
      <c r="M270" s="31"/>
      <c r="N270" s="31"/>
      <c r="O270" s="31"/>
      <c r="P270" s="31"/>
      <c r="Q270" s="143"/>
    </row>
    <row r="271" spans="1:22" s="1" customFormat="1" ht="15.75" customHeight="1" x14ac:dyDescent="0.35">
      <c r="A271" s="1627" t="s">
        <v>76</v>
      </c>
      <c r="B271" s="1628"/>
      <c r="C271" s="1628"/>
      <c r="D271" s="1628"/>
      <c r="E271" s="1628"/>
      <c r="F271" s="1628"/>
      <c r="G271" s="1629"/>
      <c r="H271" s="1629"/>
      <c r="I271" s="98">
        <f>SUMIF(H14:H245,"lrvb",I14:I245)</f>
        <v>37955.599999999999</v>
      </c>
      <c r="J271" s="255">
        <f>SUMIF(H14:H245,"lrvb",J14:J245)</f>
        <v>40982.099999999991</v>
      </c>
      <c r="K271" s="256">
        <f>SUMIF(H14:H245,"lrvb",K14:K245)</f>
        <v>40932.099999999991</v>
      </c>
      <c r="L271" s="257">
        <f>SUMIF(H14:H245,"lrvb",L14:L245)</f>
        <v>40932.099999999991</v>
      </c>
      <c r="M271" s="24"/>
      <c r="N271" s="24"/>
      <c r="O271" s="24"/>
      <c r="P271" s="24"/>
      <c r="Q271" s="145"/>
    </row>
    <row r="272" spans="1:22" s="1" customFormat="1" ht="15.75" customHeight="1" thickBot="1" x14ac:dyDescent="0.4">
      <c r="A272" s="1611" t="s">
        <v>177</v>
      </c>
      <c r="B272" s="1612"/>
      <c r="C272" s="1612"/>
      <c r="D272" s="1612"/>
      <c r="E272" s="1612"/>
      <c r="F272" s="1612"/>
      <c r="G272" s="1613"/>
      <c r="H272" s="1613"/>
      <c r="I272" s="99">
        <f>SUMIF(H14:H245,"kt",I14:I245)</f>
        <v>6</v>
      </c>
      <c r="J272" s="275">
        <f>SUMIF(H14:H245,"kt",J14:J245)</f>
        <v>6</v>
      </c>
      <c r="K272" s="291">
        <f>SUMIF(H14:H245,"kt",K14:K245)</f>
        <v>6</v>
      </c>
      <c r="L272" s="283">
        <f>SUMIF(H14:H245,"kt",L14:L245)</f>
        <v>6</v>
      </c>
      <c r="M272" s="24"/>
      <c r="N272" s="24"/>
      <c r="O272" s="24"/>
      <c r="P272" s="24"/>
      <c r="Q272" s="145"/>
    </row>
    <row r="273" spans="1:17" s="1" customFormat="1" ht="15.75" customHeight="1" thickBot="1" x14ac:dyDescent="0.4">
      <c r="A273" s="1614" t="s">
        <v>77</v>
      </c>
      <c r="B273" s="1615"/>
      <c r="C273" s="1615"/>
      <c r="D273" s="1615"/>
      <c r="E273" s="1615"/>
      <c r="F273" s="1615"/>
      <c r="G273" s="1616"/>
      <c r="H273" s="1616"/>
      <c r="I273" s="120">
        <f>I255+I269</f>
        <v>64591.399999999994</v>
      </c>
      <c r="J273" s="276">
        <f t="shared" ref="J273:L273" si="26">J255+J269</f>
        <v>71617.599999999991</v>
      </c>
      <c r="K273" s="292">
        <f t="shared" si="26"/>
        <v>71215.299999999988</v>
      </c>
      <c r="L273" s="284">
        <f t="shared" si="26"/>
        <v>73931</v>
      </c>
      <c r="M273" s="30"/>
      <c r="N273" s="30"/>
      <c r="O273" s="30"/>
      <c r="P273" s="30"/>
      <c r="Q273" s="143"/>
    </row>
    <row r="274" spans="1:17" x14ac:dyDescent="0.35">
      <c r="G274" s="1709"/>
      <c r="H274" s="1610"/>
      <c r="I274" s="1610"/>
      <c r="J274" s="1610"/>
      <c r="K274" s="1610"/>
      <c r="L274" s="1610"/>
    </row>
    <row r="275" spans="1:17" x14ac:dyDescent="0.35">
      <c r="G275" s="1096"/>
      <c r="H275" s="1095"/>
      <c r="I275" s="1095"/>
      <c r="J275" s="1095"/>
      <c r="K275" s="1095"/>
      <c r="L275" s="1097">
        <f>+L249-L273</f>
        <v>0</v>
      </c>
      <c r="M275" s="374"/>
      <c r="N275" s="374"/>
      <c r="O275" s="374"/>
      <c r="P275" s="374"/>
    </row>
    <row r="276" spans="1:17" x14ac:dyDescent="0.35">
      <c r="L276" s="160"/>
      <c r="M276" s="374"/>
      <c r="N276" s="374"/>
      <c r="O276" s="374"/>
      <c r="P276" s="374"/>
    </row>
    <row r="277" spans="1:17" x14ac:dyDescent="0.35">
      <c r="H277" s="375"/>
      <c r="I277" s="375"/>
      <c r="J277" s="375"/>
      <c r="K277" s="375"/>
      <c r="L277" s="56"/>
      <c r="M277" s="144"/>
      <c r="N277" s="144"/>
      <c r="O277" s="144"/>
      <c r="P277" s="144"/>
    </row>
    <row r="278" spans="1:17" x14ac:dyDescent="0.35">
      <c r="L278" s="160"/>
      <c r="M278" s="374"/>
      <c r="N278" s="374"/>
      <c r="O278" s="374"/>
      <c r="P278" s="374"/>
    </row>
    <row r="279" spans="1:17" x14ac:dyDescent="0.35">
      <c r="L279" s="160"/>
      <c r="M279" s="374" t="s">
        <v>176</v>
      </c>
      <c r="N279" s="374"/>
      <c r="O279" s="374"/>
      <c r="P279" s="374"/>
    </row>
    <row r="281" spans="1:17" x14ac:dyDescent="0.35">
      <c r="L281" s="161"/>
    </row>
  </sheetData>
  <mergeCells count="270">
    <mergeCell ref="G1:Q1"/>
    <mergeCell ref="A3:Q3"/>
    <mergeCell ref="A4:Q4"/>
    <mergeCell ref="A5:Q5"/>
    <mergeCell ref="A6:Q6"/>
    <mergeCell ref="A7:A9"/>
    <mergeCell ref="B7:B9"/>
    <mergeCell ref="C7:C9"/>
    <mergeCell ref="D7:D9"/>
    <mergeCell ref="E7:E9"/>
    <mergeCell ref="A11:Q11"/>
    <mergeCell ref="B12:Q12"/>
    <mergeCell ref="C13:Q13"/>
    <mergeCell ref="E14:E19"/>
    <mergeCell ref="G14:G16"/>
    <mergeCell ref="M14:M15"/>
    <mergeCell ref="M16:M18"/>
    <mergeCell ref="M19:M20"/>
    <mergeCell ref="L7:L9"/>
    <mergeCell ref="M7:Q7"/>
    <mergeCell ref="M8:M9"/>
    <mergeCell ref="N8:N9"/>
    <mergeCell ref="O8:Q8"/>
    <mergeCell ref="A10:Q10"/>
    <mergeCell ref="F7:F9"/>
    <mergeCell ref="G7:G9"/>
    <mergeCell ref="H7:H9"/>
    <mergeCell ref="I7:I9"/>
    <mergeCell ref="J7:J9"/>
    <mergeCell ref="K7:K9"/>
    <mergeCell ref="E35:E36"/>
    <mergeCell ref="M35:M36"/>
    <mergeCell ref="A37:A39"/>
    <mergeCell ref="B37:B39"/>
    <mergeCell ref="E37:E39"/>
    <mergeCell ref="M37:M38"/>
    <mergeCell ref="E21:E24"/>
    <mergeCell ref="M23:M24"/>
    <mergeCell ref="F26:F27"/>
    <mergeCell ref="M30:M32"/>
    <mergeCell ref="E33:E34"/>
    <mergeCell ref="M33:M34"/>
    <mergeCell ref="N46:N49"/>
    <mergeCell ref="Q46:Q49"/>
    <mergeCell ref="F52:H52"/>
    <mergeCell ref="A53:A54"/>
    <mergeCell ref="B53:B54"/>
    <mergeCell ref="C53:C54"/>
    <mergeCell ref="E53:E54"/>
    <mergeCell ref="F53:F54"/>
    <mergeCell ref="A40:A43"/>
    <mergeCell ref="B40:B43"/>
    <mergeCell ref="E40:E44"/>
    <mergeCell ref="M40:M43"/>
    <mergeCell ref="E45:E49"/>
    <mergeCell ref="M46:M49"/>
    <mergeCell ref="E55:E56"/>
    <mergeCell ref="G55:G56"/>
    <mergeCell ref="M55:M56"/>
    <mergeCell ref="A57:A59"/>
    <mergeCell ref="B57:B59"/>
    <mergeCell ref="C57:C59"/>
    <mergeCell ref="E57:E59"/>
    <mergeCell ref="G57:G59"/>
    <mergeCell ref="M57:M59"/>
    <mergeCell ref="A60:A63"/>
    <mergeCell ref="B60:B63"/>
    <mergeCell ref="C60:C63"/>
    <mergeCell ref="E60:E63"/>
    <mergeCell ref="A64:A65"/>
    <mergeCell ref="B64:B65"/>
    <mergeCell ref="C64:C65"/>
    <mergeCell ref="D64:D65"/>
    <mergeCell ref="E64:E65"/>
    <mergeCell ref="Q64:Q65"/>
    <mergeCell ref="A66:A67"/>
    <mergeCell ref="B66:B67"/>
    <mergeCell ref="C66:C67"/>
    <mergeCell ref="E66:E67"/>
    <mergeCell ref="G66:G67"/>
    <mergeCell ref="M66:M67"/>
    <mergeCell ref="F64:F65"/>
    <mergeCell ref="G64:G65"/>
    <mergeCell ref="M64:M65"/>
    <mergeCell ref="N64:N65"/>
    <mergeCell ref="O64:O65"/>
    <mergeCell ref="P64:P65"/>
    <mergeCell ref="P72:P73"/>
    <mergeCell ref="Q72:Q73"/>
    <mergeCell ref="R74:T75"/>
    <mergeCell ref="G76:G80"/>
    <mergeCell ref="E78:E79"/>
    <mergeCell ref="M78:M79"/>
    <mergeCell ref="M80:M81"/>
    <mergeCell ref="R80:T80"/>
    <mergeCell ref="C68:H68"/>
    <mergeCell ref="M68:Q68"/>
    <mergeCell ref="C69:Q69"/>
    <mergeCell ref="E70:E71"/>
    <mergeCell ref="F70:F76"/>
    <mergeCell ref="G70:G75"/>
    <mergeCell ref="E72:E76"/>
    <mergeCell ref="M72:M73"/>
    <mergeCell ref="N72:N73"/>
    <mergeCell ref="O72:O73"/>
    <mergeCell ref="F82:F83"/>
    <mergeCell ref="E87:E88"/>
    <mergeCell ref="M87:M88"/>
    <mergeCell ref="E97:E102"/>
    <mergeCell ref="M98:M99"/>
    <mergeCell ref="A108:A110"/>
    <mergeCell ref="B108:B110"/>
    <mergeCell ref="C108:C110"/>
    <mergeCell ref="E108:E110"/>
    <mergeCell ref="F108:F110"/>
    <mergeCell ref="N129:N130"/>
    <mergeCell ref="O129:O130"/>
    <mergeCell ref="P129:P130"/>
    <mergeCell ref="Q129:Q130"/>
    <mergeCell ref="M131:M134"/>
    <mergeCell ref="E111:E112"/>
    <mergeCell ref="R111:T111"/>
    <mergeCell ref="E113:E114"/>
    <mergeCell ref="E115:E120"/>
    <mergeCell ref="M116:M117"/>
    <mergeCell ref="E121:E128"/>
    <mergeCell ref="M121:M123"/>
    <mergeCell ref="N121:N122"/>
    <mergeCell ref="R121:T123"/>
    <mergeCell ref="M124:M126"/>
    <mergeCell ref="G136:G140"/>
    <mergeCell ref="E141:H141"/>
    <mergeCell ref="A142:A143"/>
    <mergeCell ref="B142:B143"/>
    <mergeCell ref="C142:C143"/>
    <mergeCell ref="G142:G143"/>
    <mergeCell ref="E143:E144"/>
    <mergeCell ref="E129:E135"/>
    <mergeCell ref="M129:M130"/>
    <mergeCell ref="O152:O153"/>
    <mergeCell ref="P152:P153"/>
    <mergeCell ref="Q152:Q153"/>
    <mergeCell ref="M143:M144"/>
    <mergeCell ref="N143:N144"/>
    <mergeCell ref="R143:T144"/>
    <mergeCell ref="E147:E148"/>
    <mergeCell ref="E150:E151"/>
    <mergeCell ref="M150:M151"/>
    <mergeCell ref="E155:E156"/>
    <mergeCell ref="M155:M156"/>
    <mergeCell ref="D157:D158"/>
    <mergeCell ref="E157:E158"/>
    <mergeCell ref="F157:F158"/>
    <mergeCell ref="M157:M158"/>
    <mergeCell ref="E152:E154"/>
    <mergeCell ref="M152:M153"/>
    <mergeCell ref="N152:N153"/>
    <mergeCell ref="A167:A169"/>
    <mergeCell ref="B167:B169"/>
    <mergeCell ref="E167:E169"/>
    <mergeCell ref="M167:M169"/>
    <mergeCell ref="N157:N158"/>
    <mergeCell ref="O157:O158"/>
    <mergeCell ref="P157:P158"/>
    <mergeCell ref="Q157:Q158"/>
    <mergeCell ref="E160:E162"/>
    <mergeCell ref="M160:M162"/>
    <mergeCell ref="G171:G174"/>
    <mergeCell ref="M171:M172"/>
    <mergeCell ref="M176:M177"/>
    <mergeCell ref="N176:N177"/>
    <mergeCell ref="Q176:Q177"/>
    <mergeCell ref="E178:E179"/>
    <mergeCell ref="G178:G179"/>
    <mergeCell ref="M178:M179"/>
    <mergeCell ref="R160:T162"/>
    <mergeCell ref="E163:E164"/>
    <mergeCell ref="G163:G165"/>
    <mergeCell ref="M165:M166"/>
    <mergeCell ref="A185:A190"/>
    <mergeCell ref="B185:B190"/>
    <mergeCell ref="C185:C190"/>
    <mergeCell ref="E185:E190"/>
    <mergeCell ref="F185:F190"/>
    <mergeCell ref="G185:G187"/>
    <mergeCell ref="A180:A184"/>
    <mergeCell ref="B180:B184"/>
    <mergeCell ref="C180:C184"/>
    <mergeCell ref="E180:E184"/>
    <mergeCell ref="F180:F184"/>
    <mergeCell ref="G180:G182"/>
    <mergeCell ref="C192:Q192"/>
    <mergeCell ref="E194:E197"/>
    <mergeCell ref="G194:G197"/>
    <mergeCell ref="D198:D200"/>
    <mergeCell ref="E198:E200"/>
    <mergeCell ref="G198:G200"/>
    <mergeCell ref="F199:F200"/>
    <mergeCell ref="H185:H186"/>
    <mergeCell ref="I185:I186"/>
    <mergeCell ref="L185:L186"/>
    <mergeCell ref="M189:M190"/>
    <mergeCell ref="C191:H191"/>
    <mergeCell ref="M191:Q191"/>
    <mergeCell ref="N209:N210"/>
    <mergeCell ref="P209:P210"/>
    <mergeCell ref="E210:H210"/>
    <mergeCell ref="C211:H211"/>
    <mergeCell ref="M211:Q211"/>
    <mergeCell ref="C212:Q212"/>
    <mergeCell ref="E201:E203"/>
    <mergeCell ref="G201:G203"/>
    <mergeCell ref="M202:M203"/>
    <mergeCell ref="E206:E208"/>
    <mergeCell ref="G207:G208"/>
    <mergeCell ref="D209:D210"/>
    <mergeCell ref="M209:M210"/>
    <mergeCell ref="E225:E227"/>
    <mergeCell ref="G225:G227"/>
    <mergeCell ref="M225:M227"/>
    <mergeCell ref="E228:H228"/>
    <mergeCell ref="E229:E231"/>
    <mergeCell ref="G229:G231"/>
    <mergeCell ref="E214:E218"/>
    <mergeCell ref="F217:F218"/>
    <mergeCell ref="E219:E224"/>
    <mergeCell ref="F219:F220"/>
    <mergeCell ref="G219:G220"/>
    <mergeCell ref="M220:M224"/>
    <mergeCell ref="F222:F224"/>
    <mergeCell ref="E241:E243"/>
    <mergeCell ref="M241:M243"/>
    <mergeCell ref="E245:E246"/>
    <mergeCell ref="C247:H247"/>
    <mergeCell ref="M247:Q247"/>
    <mergeCell ref="C248:H248"/>
    <mergeCell ref="M248:Q248"/>
    <mergeCell ref="E232:E233"/>
    <mergeCell ref="E234:E235"/>
    <mergeCell ref="M234:M235"/>
    <mergeCell ref="E236:E237"/>
    <mergeCell ref="M236:M237"/>
    <mergeCell ref="E238:E239"/>
    <mergeCell ref="M238:M239"/>
    <mergeCell ref="A255:H255"/>
    <mergeCell ref="A256:H256"/>
    <mergeCell ref="A257:H257"/>
    <mergeCell ref="A258:H258"/>
    <mergeCell ref="A259:H259"/>
    <mergeCell ref="A260:H260"/>
    <mergeCell ref="B249:H249"/>
    <mergeCell ref="M249:Q249"/>
    <mergeCell ref="A250:Q250"/>
    <mergeCell ref="A252:L252"/>
    <mergeCell ref="A253:L253"/>
    <mergeCell ref="A254:H254"/>
    <mergeCell ref="A273:H273"/>
    <mergeCell ref="G274:L274"/>
    <mergeCell ref="A267:H267"/>
    <mergeCell ref="A268:H268"/>
    <mergeCell ref="A269:H269"/>
    <mergeCell ref="A270:H270"/>
    <mergeCell ref="A271:H271"/>
    <mergeCell ref="A272:H272"/>
    <mergeCell ref="A261:H261"/>
    <mergeCell ref="A262:H262"/>
    <mergeCell ref="A263:H263"/>
    <mergeCell ref="A264:H264"/>
    <mergeCell ref="A265:H265"/>
    <mergeCell ref="A266:H266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6" manualBreakCount="6">
    <brk id="44" max="16" man="1"/>
    <brk id="86" max="16" man="1"/>
    <brk id="120" max="16" man="1"/>
    <brk id="158" max="16" man="1"/>
    <brk id="203" max="16" man="1"/>
    <brk id="24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12 programa</vt:lpstr>
      <vt:lpstr>Aiškinamoji lentelė</vt:lpstr>
      <vt:lpstr>'12 programa'!Print_Area</vt:lpstr>
      <vt:lpstr>'Aiškinamoji lentelė'!Print_Area</vt:lpstr>
      <vt:lpstr>'12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Inga Mikalauskienė</cp:lastModifiedBy>
  <cp:lastPrinted>2022-10-20T06:37:14Z</cp:lastPrinted>
  <dcterms:created xsi:type="dcterms:W3CDTF">2015-11-25T08:56:30Z</dcterms:created>
  <dcterms:modified xsi:type="dcterms:W3CDTF">2022-10-20T06:37:32Z</dcterms:modified>
</cp:coreProperties>
</file>