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
    </mc:Choice>
  </mc:AlternateContent>
  <bookViews>
    <workbookView xWindow="-120" yWindow="-120" windowWidth="24240" windowHeight="12555"/>
  </bookViews>
  <sheets>
    <sheet name="3 programa" sheetId="21" r:id="rId1"/>
    <sheet name="Aiškinamoji lentelė" sheetId="20" state="hidden" r:id="rId2"/>
  </sheets>
  <definedNames>
    <definedName name="_xlnm.Print_Area" localSheetId="0">'3 programa'!$A$1:$M$184</definedName>
    <definedName name="_xlnm.Print_Area" localSheetId="1">'Aiškinamoji lentelė'!$A$1:$Q$212</definedName>
    <definedName name="_xlnm.Print_Titles" localSheetId="0">'3 programa'!$9:$11</definedName>
    <definedName name="_xlnm.Print_Titles" localSheetId="1">'Aiškinamoji lentelė'!$8:$10</definedName>
  </definedNames>
  <calcPr calcId="162913"/>
</workbook>
</file>

<file path=xl/calcChain.xml><?xml version="1.0" encoding="utf-8"?>
<calcChain xmlns="http://schemas.openxmlformats.org/spreadsheetml/2006/main">
  <c r="G121" i="21" l="1"/>
  <c r="I70" i="21"/>
  <c r="H70" i="21"/>
  <c r="G70" i="21"/>
  <c r="G20" i="21"/>
  <c r="G22" i="21"/>
  <c r="I16" i="21"/>
  <c r="H16" i="21"/>
  <c r="G16" i="21"/>
  <c r="G130" i="21" l="1"/>
  <c r="H151" i="21" l="1"/>
  <c r="G151" i="21"/>
  <c r="H121" i="21"/>
  <c r="G93" i="21"/>
  <c r="G91" i="21"/>
  <c r="G172" i="21" l="1"/>
  <c r="H172" i="21"/>
  <c r="G173" i="21"/>
  <c r="G69" i="21"/>
  <c r="I181" i="21"/>
  <c r="I180" i="21" s="1"/>
  <c r="I179" i="21"/>
  <c r="I178" i="21"/>
  <c r="I177" i="21"/>
  <c r="I176" i="21"/>
  <c r="I175" i="21"/>
  <c r="I174" i="21"/>
  <c r="I173" i="21"/>
  <c r="I172" i="21"/>
  <c r="H181" i="21"/>
  <c r="H180" i="21" s="1"/>
  <c r="H179" i="21"/>
  <c r="H178" i="21"/>
  <c r="H177" i="21"/>
  <c r="H176" i="21"/>
  <c r="H175" i="21"/>
  <c r="H174" i="21"/>
  <c r="H173" i="21"/>
  <c r="G181" i="21"/>
  <c r="G180" i="21" s="1"/>
  <c r="G179" i="21"/>
  <c r="G178" i="21"/>
  <c r="G177" i="21"/>
  <c r="G176" i="21"/>
  <c r="G175" i="21"/>
  <c r="G174" i="21"/>
  <c r="I157" i="21"/>
  <c r="H157" i="21"/>
  <c r="G157" i="21"/>
  <c r="R151" i="21"/>
  <c r="Q151" i="21"/>
  <c r="P151" i="21"/>
  <c r="I148" i="21"/>
  <c r="H148" i="21"/>
  <c r="G148" i="21"/>
  <c r="Q137" i="21"/>
  <c r="R137" i="21"/>
  <c r="P137" i="21"/>
  <c r="H115" i="21"/>
  <c r="G113" i="21"/>
  <c r="G115" i="21" s="1"/>
  <c r="I112" i="21"/>
  <c r="H112" i="21"/>
  <c r="G112" i="21"/>
  <c r="Q94" i="21"/>
  <c r="R94" i="21"/>
  <c r="P94" i="21"/>
  <c r="Q93" i="21"/>
  <c r="R93" i="21"/>
  <c r="P93" i="21"/>
  <c r="Q92" i="21"/>
  <c r="R92" i="21"/>
  <c r="P92" i="21"/>
  <c r="Q91" i="21"/>
  <c r="R91" i="21"/>
  <c r="I85" i="21"/>
  <c r="H85" i="21"/>
  <c r="G85" i="21"/>
  <c r="Q74" i="21"/>
  <c r="R74" i="21"/>
  <c r="P74" i="21"/>
  <c r="H69" i="21"/>
  <c r="I69" i="21"/>
  <c r="Q22" i="21"/>
  <c r="R22" i="21"/>
  <c r="P22" i="21"/>
  <c r="Q21" i="21"/>
  <c r="R21" i="21"/>
  <c r="P21" i="21"/>
  <c r="Q20" i="21"/>
  <c r="R20" i="21"/>
  <c r="P20" i="21"/>
  <c r="Q19" i="21"/>
  <c r="R19" i="21"/>
  <c r="P19" i="21"/>
  <c r="Q18" i="21"/>
  <c r="R18" i="21"/>
  <c r="P18" i="21"/>
  <c r="Q17" i="21"/>
  <c r="R17" i="21"/>
  <c r="P17" i="21"/>
  <c r="Q75" i="21" l="1"/>
  <c r="P138" i="21"/>
  <c r="Q95" i="21"/>
  <c r="P152" i="21"/>
  <c r="R75" i="21"/>
  <c r="R138" i="21"/>
  <c r="R95" i="21"/>
  <c r="R96" i="21" s="1"/>
  <c r="Q138" i="21"/>
  <c r="Q152" i="21"/>
  <c r="R152" i="21"/>
  <c r="Q96" i="21"/>
  <c r="P75" i="21"/>
  <c r="I160" i="21"/>
  <c r="H160" i="21"/>
  <c r="G160" i="21"/>
  <c r="I149" i="21"/>
  <c r="H149" i="21"/>
  <c r="G149" i="21"/>
  <c r="I121" i="21"/>
  <c r="G171" i="21"/>
  <c r="I118" i="21"/>
  <c r="H118" i="21"/>
  <c r="G118" i="21"/>
  <c r="I115" i="21"/>
  <c r="G102" i="21"/>
  <c r="P91" i="21" s="1"/>
  <c r="P95" i="21" s="1"/>
  <c r="P96" i="21" s="1"/>
  <c r="I90" i="21"/>
  <c r="H90" i="21"/>
  <c r="G90" i="21"/>
  <c r="I87" i="21"/>
  <c r="H87" i="21"/>
  <c r="G87" i="21"/>
  <c r="I73" i="21"/>
  <c r="H73" i="21"/>
  <c r="G73" i="21"/>
  <c r="I71" i="21"/>
  <c r="H71" i="21"/>
  <c r="G71" i="21"/>
  <c r="I42" i="21"/>
  <c r="H42" i="21"/>
  <c r="G42" i="21"/>
  <c r="I28" i="21"/>
  <c r="H28" i="21"/>
  <c r="G28" i="21"/>
  <c r="H134" i="21" l="1"/>
  <c r="H135" i="21" s="1"/>
  <c r="H171" i="21"/>
  <c r="H170" i="21" s="1"/>
  <c r="H169" i="21" s="1"/>
  <c r="G134" i="21"/>
  <c r="G135" i="21" s="1"/>
  <c r="I134" i="21"/>
  <c r="I135" i="21" s="1"/>
  <c r="I171" i="21"/>
  <c r="I170" i="21" s="1"/>
  <c r="I169" i="21" s="1"/>
  <c r="P16" i="21"/>
  <c r="P23" i="21" s="1"/>
  <c r="Q16" i="21"/>
  <c r="Q23" i="21" s="1"/>
  <c r="R16" i="21"/>
  <c r="R23" i="21" s="1"/>
  <c r="I161" i="21"/>
  <c r="H161" i="21"/>
  <c r="G119" i="21"/>
  <c r="G161" i="21"/>
  <c r="G170" i="21"/>
  <c r="G169" i="21" s="1"/>
  <c r="H119" i="21"/>
  <c r="I119" i="21"/>
  <c r="J37" i="20"/>
  <c r="G162" i="21" l="1"/>
  <c r="G163" i="21" s="1"/>
  <c r="I182" i="21"/>
  <c r="G182" i="21"/>
  <c r="R24" i="21"/>
  <c r="Q24" i="21"/>
  <c r="P24" i="21"/>
  <c r="I162" i="21"/>
  <c r="I163" i="21" s="1"/>
  <c r="H162" i="21"/>
  <c r="H163" i="21" s="1"/>
  <c r="H182" i="21"/>
  <c r="J101" i="20"/>
  <c r="J162" i="20"/>
  <c r="L120" i="20" l="1"/>
  <c r="K120" i="20"/>
  <c r="J120" i="20"/>
  <c r="I101" i="20" l="1"/>
  <c r="I90" i="20"/>
  <c r="I21" i="20"/>
  <c r="I51" i="20"/>
  <c r="I34" i="20" l="1"/>
  <c r="I20" i="20"/>
  <c r="I106" i="20" l="1"/>
  <c r="I95" i="20"/>
  <c r="I53" i="20"/>
  <c r="I47" i="20"/>
  <c r="J116" i="20" l="1"/>
  <c r="L88" i="20" l="1"/>
  <c r="K88" i="20"/>
  <c r="J88" i="20"/>
  <c r="J182" i="20"/>
  <c r="J179" i="20"/>
  <c r="J195" i="20"/>
  <c r="J183" i="20" l="1"/>
  <c r="L126" i="20"/>
  <c r="K126" i="20"/>
  <c r="J126" i="20"/>
  <c r="J140" i="20" s="1"/>
  <c r="J141" i="20" s="1"/>
  <c r="I126" i="20"/>
  <c r="I140" i="20" s="1"/>
  <c r="L37" i="20"/>
  <c r="K37" i="20"/>
  <c r="L21" i="20"/>
  <c r="K21" i="20"/>
  <c r="J21" i="20"/>
  <c r="J194" i="20" l="1"/>
  <c r="J60" i="20"/>
  <c r="L140" i="20"/>
  <c r="K140" i="20"/>
  <c r="I16" i="20"/>
  <c r="K202" i="20" l="1"/>
  <c r="I62" i="20" l="1"/>
  <c r="L60" i="20"/>
  <c r="K60" i="20"/>
  <c r="J197" i="20" l="1"/>
  <c r="J196" i="20"/>
  <c r="L179" i="20"/>
  <c r="K179" i="20"/>
  <c r="I179" i="20"/>
  <c r="L162" i="20"/>
  <c r="K162" i="20"/>
  <c r="I68" i="20" l="1"/>
  <c r="I55" i="20"/>
  <c r="I49" i="20"/>
  <c r="I37" i="20"/>
  <c r="J62" i="20" l="1"/>
  <c r="K62" i="20"/>
  <c r="L62" i="20"/>
  <c r="L209" i="20" l="1"/>
  <c r="L208" i="20"/>
  <c r="L207" i="20"/>
  <c r="L205" i="20"/>
  <c r="L204" i="20"/>
  <c r="L203" i="20"/>
  <c r="L202" i="20"/>
  <c r="L201" i="20"/>
  <c r="L200" i="20"/>
  <c r="L199" i="20"/>
  <c r="L198" i="20"/>
  <c r="L197" i="20"/>
  <c r="L196" i="20"/>
  <c r="L195" i="20"/>
  <c r="L194" i="20"/>
  <c r="K209" i="20"/>
  <c r="K208" i="20"/>
  <c r="K207" i="20"/>
  <c r="K205" i="20"/>
  <c r="K204" i="20"/>
  <c r="K201" i="20"/>
  <c r="K200" i="20"/>
  <c r="K199" i="20"/>
  <c r="K198" i="20"/>
  <c r="K197" i="20"/>
  <c r="K196" i="20"/>
  <c r="K195" i="20"/>
  <c r="K194" i="20"/>
  <c r="J209" i="20"/>
  <c r="J208" i="20"/>
  <c r="J207" i="20"/>
  <c r="J205" i="20"/>
  <c r="J204" i="20"/>
  <c r="J203" i="20"/>
  <c r="J202" i="20"/>
  <c r="J201" i="20"/>
  <c r="J200" i="20"/>
  <c r="J199" i="20"/>
  <c r="J198" i="20"/>
  <c r="I197" i="20"/>
  <c r="J193" i="20" l="1"/>
  <c r="J192" i="20" s="1"/>
  <c r="L206" i="20"/>
  <c r="L193" i="20"/>
  <c r="L192" i="20" s="1"/>
  <c r="K206" i="20"/>
  <c r="K193" i="20"/>
  <c r="J206" i="20"/>
  <c r="K182" i="20"/>
  <c r="K183" i="20" s="1"/>
  <c r="L182" i="20"/>
  <c r="L183" i="20" s="1"/>
  <c r="I182" i="20"/>
  <c r="J163" i="20"/>
  <c r="K163" i="20"/>
  <c r="L163" i="20"/>
  <c r="K141" i="20"/>
  <c r="L141" i="20"/>
  <c r="J123" i="20"/>
  <c r="K123" i="20"/>
  <c r="L123" i="20"/>
  <c r="K116" i="20"/>
  <c r="L116" i="20"/>
  <c r="J85" i="20"/>
  <c r="K85" i="20"/>
  <c r="L85" i="20"/>
  <c r="J83" i="20"/>
  <c r="K83" i="20"/>
  <c r="L83" i="20"/>
  <c r="J71" i="20"/>
  <c r="I71" i="20"/>
  <c r="K71" i="20"/>
  <c r="L71" i="20"/>
  <c r="J210" i="20" l="1"/>
  <c r="L124" i="20"/>
  <c r="L184" i="20" s="1"/>
  <c r="L185" i="20" s="1"/>
  <c r="K124" i="20"/>
  <c r="K184" i="20" s="1"/>
  <c r="K185" i="20" s="1"/>
  <c r="J124" i="20"/>
  <c r="J184" i="20" s="1"/>
  <c r="J185" i="20" s="1"/>
  <c r="L210" i="20"/>
  <c r="I93" i="20"/>
  <c r="I86" i="20" l="1"/>
  <c r="I88" i="20" s="1"/>
  <c r="I32" i="20"/>
  <c r="I91" i="20" l="1"/>
  <c r="I33" i="20"/>
  <c r="I209" i="20" l="1"/>
  <c r="I208" i="20"/>
  <c r="I207" i="20"/>
  <c r="I205" i="20"/>
  <c r="I204" i="20"/>
  <c r="I201" i="20"/>
  <c r="I200" i="20"/>
  <c r="I198" i="20"/>
  <c r="I195" i="20"/>
  <c r="I147" i="20"/>
  <c r="I123" i="20"/>
  <c r="I117" i="20"/>
  <c r="I120" i="20" s="1"/>
  <c r="I110" i="20"/>
  <c r="I109" i="20"/>
  <c r="I97" i="20"/>
  <c r="I96" i="20"/>
  <c r="I85" i="20"/>
  <c r="I81" i="20"/>
  <c r="I73" i="20"/>
  <c r="I66" i="20"/>
  <c r="I40" i="20"/>
  <c r="I202" i="20"/>
  <c r="I23" i="20"/>
  <c r="I116" i="20" l="1"/>
  <c r="I141" i="20"/>
  <c r="I162" i="20"/>
  <c r="I163" i="20" s="1"/>
  <c r="I60" i="20"/>
  <c r="I194" i="20"/>
  <c r="I196" i="20"/>
  <c r="I199" i="20"/>
  <c r="I206" i="20"/>
  <c r="I203" i="20"/>
  <c r="I83" i="20"/>
  <c r="I183" i="20"/>
  <c r="I124" i="20" l="1"/>
  <c r="I193" i="20"/>
  <c r="I192" i="20" s="1"/>
  <c r="I210" i="20" s="1"/>
  <c r="I184" i="20" l="1"/>
  <c r="I185" i="20" s="1"/>
  <c r="K203" i="20" l="1"/>
  <c r="K192" i="20" s="1"/>
  <c r="K210" i="20" s="1"/>
</calcChain>
</file>

<file path=xl/comments1.xml><?xml version="1.0" encoding="utf-8"?>
<comments xmlns="http://schemas.openxmlformats.org/spreadsheetml/2006/main">
  <authors>
    <author>Inga Mikalauskienė</author>
    <author>Audra Cepiene</author>
    <author>Indrė Butenienė</author>
    <author>Rima Ališauskaitė</author>
    <author>Saulina Paulauskiene</author>
  </authors>
  <commentList>
    <comment ref="D39" authorId="0" shapeId="0">
      <text>
        <r>
          <rPr>
            <sz val="9"/>
            <color indexed="81"/>
            <rFont val="Tahoma"/>
            <family val="2"/>
            <charset val="186"/>
          </rPr>
          <t xml:space="preserve">LR sveikatos apsugos ministro 2021 m. sausio 27 d. įsakymas Nr. V-160 
"DĖL VALSTYBĖS INSTITUCIJŲ IR ĮSTAIGŲ, SAVIVALDYBIŲ INSTITUCIJŲ IR ĮSTAIGŲ, ŪKIO SUBJEKTŲ IR KITŲ ĮSTAIGŲ, SAVIVALDYBIŲ ADMINISTRACIJŲ KAUPIAMŲ ASMENINĖS APSAUGOS PRIEMONIŲ IR KITŲ VEIKLOS VYKDYMUI UŽTIKRINTI BŪTINŲ PRIEMONIŲ, SKIRTŲ APSISAUGOTI NUO COVID-19 LIGOS (KORONAVIRUSO INFEKCIJOS), ATSARGŲ SĄRAŠO BEI ŠIŲ PRIEMONIŲ KIEKIO APSKAIČIAVIMO TVARKOS APRAŠO PATVIRTINIMO"
</t>
        </r>
      </text>
    </comment>
    <comment ref="K39" authorId="0" shapeId="0">
      <text>
        <r>
          <rPr>
            <sz val="9"/>
            <color indexed="81"/>
            <rFont val="Tahoma"/>
            <family val="2"/>
            <charset val="186"/>
          </rPr>
          <t>1. Transportas - 200000 Eur;
2. Apgyvendinimas - 4000 Eur;
3. Izoliavimosi patalpų valymo paslaugos - 2000 Eur;
4. Maitinimo paslaugos - 6700 Eur;
5. Dezinfekavimo paslaugos - 12000 Eur;
6. Asmens apsaugos priemonės privalomam rezervui (10 proc.) - 27300 Eur;
7. Mobilaus punkto palapinių (stoginių) nuomos paslaugos (4 vnt.x1000 eurx12 mėn.) - 48000 Eur;</t>
        </r>
      </text>
    </comment>
    <comment ref="K41" authorId="0" shapeId="0">
      <text>
        <r>
          <rPr>
            <sz val="9"/>
            <color indexed="81"/>
            <rFont val="Tahoma"/>
            <family val="2"/>
            <charset val="186"/>
          </rPr>
          <t xml:space="preserve">1. Ėminių iš paciento nosiaryklės ir ryklės paėmimo mobiliuosiuose punktuose COVID-19 ligos (koronaviruso infekcijos) laboratoriniams tyrimams atlikti paslauga;
2. Tikslinių grupių, nurodytų  LR sveikatos apsaugos ministro – valstybės lygio ekstremaliosios situacijos valstybės operacijų vadovo sprendimuose, asmenų ištyrimo greitaisiais serologiniais testais „AMP Rapid Test SARS-CoV-2 IgG/IgM“  paslauga;
3. Skiepijimo COVID-19 vakcina organizavimo ir teikimo Klaipėdos miesto savivaldybės teritorijoje paslauga;
4. Pacientų pervežimo paslaugos greitosios medicininės pagalbos automobiliu paslauga;
5. Savikontrolės tyrimams ir aplinkos paviršių tyrimui reikalingos priemonės.
</t>
        </r>
      </text>
    </comment>
    <comment ref="E42" authorId="1" shapeId="0">
      <text>
        <r>
          <rPr>
            <sz val="9"/>
            <color indexed="81"/>
            <rFont val="Tahoma"/>
            <family val="2"/>
            <charset val="186"/>
          </rPr>
          <t xml:space="preserve">P-2.6.1.4.
</t>
        </r>
      </text>
    </comment>
    <comment ref="K54" authorId="0" shapeId="0">
      <text>
        <r>
          <rPr>
            <sz val="9"/>
            <color indexed="81"/>
            <rFont val="Tahoma"/>
            <family val="2"/>
            <charset val="186"/>
          </rPr>
          <t>8 valdos (naujas admin. UAB "Green Admin), 11 DNSB</t>
        </r>
      </text>
    </comment>
    <comment ref="D56" authorId="0" shapeId="0">
      <text>
        <r>
          <rPr>
            <sz val="9"/>
            <color indexed="81"/>
            <rFont val="Tahoma"/>
            <family val="2"/>
            <charset val="186"/>
          </rPr>
          <t xml:space="preserve">Išmokos seniūnaičiams pagal 2014-04-30 sprendimą Nr. T2-81
Seniūnaičių mokymų tvarka 2020-01-16 Nr. AD1-95
Patalpų nuoma pagal 2019-12-19 sprendimą Nr. T2-374.
</t>
        </r>
      </text>
    </comment>
    <comment ref="E57" authorId="0" shapeId="0">
      <text>
        <r>
          <rPr>
            <sz val="9"/>
            <color indexed="81"/>
            <rFont val="Tahoma"/>
            <family val="2"/>
            <charset val="186"/>
          </rPr>
          <t>P-2.6.4.2.</t>
        </r>
      </text>
    </comment>
    <comment ref="D72" authorId="1" shapeId="0">
      <text>
        <r>
          <rPr>
            <sz val="9"/>
            <color indexed="81"/>
            <rFont val="Tahoma"/>
            <family val="2"/>
            <charset val="186"/>
          </rPr>
          <t xml:space="preserve">Pagal 2016-06-23 sprendimu Nr. T2-184 patvirtintą Klaipėdos miesto savivaldybės Tarybos veiklos reglamento 21 p., LR Vietos savivaldos įstatymo 19 str. 19 p. bei Statistikos departamento duomenimis (1278(VMDU)*1,5*12)=23 004 Eur; </t>
        </r>
      </text>
    </comment>
    <comment ref="E75"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3.4.2.</t>
        </r>
        <r>
          <rPr>
            <sz val="9"/>
            <color indexed="81"/>
            <rFont val="Tahoma"/>
            <family val="2"/>
            <charset val="186"/>
          </rPr>
          <t xml:space="preserve"> Plėsti Klaipėdos apskrities, vienijančios 7 savivaldybes, bendradarbiavimą sprendžiant viso regiono patrauklumo klausimus </t>
        </r>
        <r>
          <rPr>
            <sz val="9"/>
            <color indexed="81"/>
            <rFont val="Tahoma"/>
            <family val="2"/>
            <charset val="186"/>
          </rPr>
          <t xml:space="preserve">
</t>
        </r>
      </text>
    </comment>
    <comment ref="J75" authorId="1" shapeId="0">
      <text>
        <r>
          <rPr>
            <sz val="9"/>
            <color indexed="81"/>
            <rFont val="Tahoma"/>
            <family val="2"/>
            <charset val="186"/>
          </rPr>
          <t>Savivaldybių asociacija (0,03 proc. nuo biudžeto apimties), VVG - po 50 Eur per metus</t>
        </r>
      </text>
    </comment>
    <comment ref="E77" authorId="0" shapeId="0">
      <text>
        <r>
          <rPr>
            <sz val="9"/>
            <color indexed="81"/>
            <rFont val="Tahoma"/>
            <family val="2"/>
            <charset val="186"/>
          </rPr>
          <t xml:space="preserve">P-1.1.1.2.
</t>
        </r>
      </text>
    </comment>
    <comment ref="E79" authorId="3" shapeId="0">
      <text>
        <r>
          <rPr>
            <b/>
            <sz val="9"/>
            <color indexed="81"/>
            <rFont val="Tahoma"/>
            <family val="2"/>
            <charset val="186"/>
          </rPr>
          <t>KEPS 2030 1.1.4. uždavinys</t>
        </r>
        <r>
          <rPr>
            <sz val="9"/>
            <color indexed="81"/>
            <rFont val="Tahoma"/>
            <family val="2"/>
            <charset val="186"/>
          </rPr>
          <t xml:space="preserve">
Sudaryti sąlygas gauti investuotojams ir talentams aktualias viešąsias pas-laugas ir dokumentus anglų kalba: pa-rengti dvikalbius dokumentų šablonus, teikti paslaugas ir priimti dokumentus, užpildytus anglų kalba</t>
        </r>
      </text>
    </comment>
    <comment ref="E81" authorId="0" shapeId="0">
      <text>
        <r>
          <rPr>
            <sz val="9"/>
            <color indexed="81"/>
            <rFont val="Tahoma"/>
            <family val="2"/>
            <charset val="186"/>
          </rPr>
          <t xml:space="preserve">P-2.6.3.1
</t>
        </r>
      </text>
    </comment>
    <comment ref="E83" authorId="3" shapeId="0">
      <text>
        <r>
          <rPr>
            <sz val="9"/>
            <color indexed="81"/>
            <rFont val="Tahoma"/>
            <family val="2"/>
            <charset val="186"/>
          </rPr>
          <t>KEPS 2030 1.3.7. uždavinys Organizuoti nišinius tarptautinius mega-renginius, susijusius su prioritetinių sričių, verslumo skatinimo temomis</t>
        </r>
      </text>
    </comment>
    <comment ref="J83" authorId="1" shapeId="0">
      <text>
        <r>
          <rPr>
            <sz val="9"/>
            <color indexed="81"/>
            <rFont val="Tahoma"/>
            <family val="2"/>
            <charset val="186"/>
          </rPr>
          <t>(apgyvendinimo, maitinimo paslaugos, kultūrinė programa)</t>
        </r>
      </text>
    </comment>
    <comment ref="K95" authorId="0" shapeId="0">
      <text>
        <r>
          <rPr>
            <sz val="9"/>
            <color indexed="81"/>
            <rFont val="Tahoma"/>
            <family val="2"/>
            <charset val="186"/>
          </rPr>
          <t>2022 m. numatoma atlikti privažiuojamųjų ir įvažiuojamųjų kelių kadastrinius matavimus ir teisinę registracija: 30-40 km, preliminari darbų kaina 20 tūkst. Eur. Neregistruotų šilumos, vandentiekio, buitinių nuotekų ir lietaus nuotekų tinklų kadastriniai matavimai ir teisinė registracija: 17 km x 0,6 Eur/m = 10,2 tūkst. Eur. Taip pat patalpų/pastatų kadastriniai matavimai: 5000 kv. m x 1,0 = 5 tūkst. Eur. Mašinų stovėjimo aikštelių matavimai ir registracija: 4 ha x 1258 Eur/ha = 5,1 tūkst. Eur. Kitų darbų atlikimui Registrų centre (juridinių faktų registravimui, pastatų ir patalpų pakeitimų teisinės registracijos atlikimui, kadastrinių matavimų tikslinimui) lėšų poreikis 5,0 tūkst. Eur. Nenumatytiems darbams apie 3,0 tūkst. Eur.</t>
        </r>
      </text>
    </comment>
    <comment ref="K97" authorId="0" shapeId="0">
      <text>
        <r>
          <rPr>
            <sz val="9"/>
            <color indexed="81"/>
            <rFont val="Tahoma"/>
            <family val="2"/>
            <charset val="186"/>
          </rPr>
          <t xml:space="preserve">Eksploatacinės išlaidos 50,0 tūkst. Eur  + 8,0 tūkst. Eur draudimas. 
</t>
        </r>
      </text>
    </comment>
    <comment ref="K99" authorId="0" shapeId="0">
      <text>
        <r>
          <rPr>
            <sz val="9"/>
            <color indexed="81"/>
            <rFont val="Tahoma"/>
            <family val="2"/>
            <charset val="186"/>
          </rPr>
          <t>2022 m. savivaldybei tenkanti prisidėjimo dalis dėl atliekamų daugiabučių namų modernizavimo darbų: Liepų g. 49 - apie 32,0 tūkst. Eur, Danės g. 7 - apie 44,0 tūkst. Eur, H. Manto g. 51 - apie 10,0 tūkst. Eur. Likutis 4,0 tūkst. Eur rezervas dėl galimų renovacijų kainų padidėjimo.</t>
        </r>
      </text>
    </comment>
    <comment ref="K103" authorId="0" shapeId="0">
      <text>
        <r>
          <rPr>
            <sz val="9"/>
            <color indexed="81"/>
            <rFont val="Tahoma"/>
            <family val="2"/>
            <charset val="186"/>
          </rPr>
          <t xml:space="preserve">Pagal 2010 m. spalio 7 d. sudarytą koncesijos sutartį Savivaldybė dėl energetinių išteklių kompensavimo už 2018-2021 m. įsipareigojusi padengti skirtumą dėl išaugusių kainų, t.y. 41,4 tūkst. Eur su PVM. </t>
        </r>
      </text>
    </comment>
    <comment ref="K104" authorId="0" shapeId="0">
      <text>
        <r>
          <rPr>
            <sz val="9"/>
            <color indexed="81"/>
            <rFont val="Tahoma"/>
            <family val="2"/>
            <charset val="186"/>
          </rPr>
          <t xml:space="preserve">Dėl išaugusių paslaugų kainų ir didesnio objektų skaičiaus 
</t>
        </r>
      </text>
    </comment>
    <comment ref="K108" authorId="0" shapeId="0">
      <text>
        <r>
          <rPr>
            <sz val="9"/>
            <color indexed="81"/>
            <rFont val="Tahoma"/>
            <family val="2"/>
            <charset val="186"/>
          </rPr>
          <t xml:space="preserve">Naujų Savivaldybės administracijos patalpų/pastato nuomos ar įsigijimo pirkimo dokumentų rengimas. Atrankos agentūros paslaugų pirkimas dėl SVĮ nepriklausomų valdymo ir priežiūros organų narių atrinkimo. 
</t>
        </r>
      </text>
    </comment>
    <comment ref="E110" authorId="1" shapeId="0">
      <text>
        <r>
          <rPr>
            <b/>
            <sz val="9"/>
            <color indexed="81"/>
            <rFont val="Tahoma"/>
            <family val="2"/>
            <charset val="186"/>
          </rPr>
          <t xml:space="preserve">P1, 8.2.1. </t>
        </r>
        <r>
          <rPr>
            <sz val="9"/>
            <color indexed="81"/>
            <rFont val="Tahoma"/>
            <family val="2"/>
            <charset val="186"/>
          </rPr>
          <t>Parengta ir įgyvendinta Savivaldybės turto ir įmonių valdymo efektyvinimo koncepcija ir priemonių planas</t>
        </r>
      </text>
    </comment>
    <comment ref="K127" authorId="0" shapeId="0">
      <text>
        <r>
          <rPr>
            <sz val="9"/>
            <color indexed="81"/>
            <rFont val="Tahoma"/>
            <family val="2"/>
            <charset val="186"/>
          </rPr>
          <t>1. Apskaitos sistemos įdiegimas VŠĮ – pavaldžių įstaigų bendra apskaitos sistema – 16k Eur (dalis įstaigų - 2022 m., pabaiga - 2023 m.);
2. Perkama nauja Seniūnaičių balsavimo sistema, puslapis ir kt. – 40k Eur 
3. Paraiškų informacinės sistemos įsigijimas (D. Petrolevičius) – 40k Eur</t>
        </r>
        <r>
          <rPr>
            <b/>
            <sz val="9"/>
            <color indexed="81"/>
            <rFont val="Tahoma"/>
            <family val="2"/>
            <charset val="186"/>
          </rPr>
          <t xml:space="preserve">
</t>
        </r>
        <r>
          <rPr>
            <sz val="9"/>
            <color indexed="81"/>
            <rFont val="Tahoma"/>
            <family val="2"/>
            <charset val="186"/>
          </rPr>
          <t xml:space="preserve">
</t>
        </r>
      </text>
    </comment>
    <comment ref="L127" authorId="0" shapeId="0">
      <text>
        <r>
          <rPr>
            <sz val="9"/>
            <color indexed="81"/>
            <rFont val="Tahoma"/>
            <family val="2"/>
            <charset val="186"/>
          </rPr>
          <t xml:space="preserve">Apskaitos sistemos įdiegimas VŠĮ – pavaldžių įstaigų bendra apskaitos sistema – 30k Eur (baigiama diegti 2023 m.)
</t>
        </r>
        <r>
          <rPr>
            <b/>
            <sz val="9"/>
            <color indexed="81"/>
            <rFont val="Tahoma"/>
            <family val="2"/>
            <charset val="186"/>
          </rPr>
          <t xml:space="preserve">
</t>
        </r>
        <r>
          <rPr>
            <sz val="9"/>
            <color indexed="81"/>
            <rFont val="Tahoma"/>
            <family val="2"/>
            <charset val="186"/>
          </rPr>
          <t xml:space="preserve">
</t>
        </r>
      </text>
    </comment>
    <comment ref="E130" authorId="2" shapeId="0">
      <text>
        <r>
          <rPr>
            <b/>
            <sz val="9"/>
            <color indexed="81"/>
            <rFont val="Tahoma"/>
            <family val="2"/>
            <charset val="186"/>
          </rPr>
          <t xml:space="preserve">2019-2023 m. veiklos prioritetai:
</t>
        </r>
        <r>
          <rPr>
            <sz val="9"/>
            <color indexed="81"/>
            <rFont val="Tahoma"/>
            <family val="2"/>
            <charset val="186"/>
          </rPr>
          <t xml:space="preserve">8.3.5. Sukurta  „Klaipėdiečio kortelės“ koncepcija ir įdiegta sistema.
</t>
        </r>
      </text>
    </comment>
    <comment ref="E132" authorId="0" shapeId="0">
      <text>
        <r>
          <rPr>
            <sz val="9"/>
            <color indexed="81"/>
            <rFont val="Tahoma"/>
            <family val="2"/>
            <charset val="186"/>
          </rPr>
          <t>P-2.6.1.1.</t>
        </r>
      </text>
    </comment>
    <comment ref="E138" authorId="1" shapeId="0">
      <text>
        <r>
          <rPr>
            <b/>
            <sz val="9"/>
            <color indexed="81"/>
            <rFont val="Tahoma"/>
            <family val="2"/>
            <charset val="186"/>
          </rPr>
          <t>P1,</t>
        </r>
        <r>
          <rPr>
            <sz val="9"/>
            <color indexed="81"/>
            <rFont val="Tahoma"/>
            <family val="2"/>
            <charset val="186"/>
          </rPr>
          <t xml:space="preserve"> 8.1.3. Patvirtintas ir įgyvendinamas Klaipėdos miesto  savivaldybės 2021–2030 m. strateginis plėtros planas
</t>
        </r>
      </text>
    </comment>
    <comment ref="E140" authorId="2" shapeId="0">
      <text>
        <r>
          <rPr>
            <sz val="9"/>
            <color indexed="81"/>
            <rFont val="Tahoma"/>
            <family val="2"/>
            <charset val="186"/>
          </rPr>
          <t xml:space="preserve">KEPS 1.1.5. Įdiegti veiklos rezultatų stebėsenos sistemą, pagrįstą procesų rodiklių matavimu, ir susieti ją su darbuotojų vertinimo ir motyvavimo sistema </t>
        </r>
      </text>
    </comment>
    <comment ref="K141" authorId="0" shapeId="0">
      <text>
        <r>
          <rPr>
            <sz val="9"/>
            <color indexed="81"/>
            <rFont val="Tahoma"/>
            <family val="2"/>
            <charset val="186"/>
          </rPr>
          <t xml:space="preserve">Planuojama nuomotis maždaug 600-800 kv.m. patalpas, skirtas dirbti 43 specialistams, iš jų 2-3 darbo vietos būtų skiriamos Klientų aptarnavimo centrui. Patalpų būtų ieškoma pirmame aukšte arba kituose aukštuose, į kuriuos būtų patogus patekimas liftu, pritaikytu neįgaliems asmenims. Siekiant maksimaliai lengvo pasiekiamumo visiems miestiečiams, patalpų lokacija turėtų būti centrinėje miesto dalyje, šalia jų įrengtos parkavimosi vietos bei autobusų stotelės. Po NT agentūrų apklausų paaiškėjo, kad preliminari nuomos kaina gali svyruoti nuo 8-13 Eur/kv.m. priklausomai nuo patalpų lokacijos, šalia esančios infrastruktūros, aukšto ir kitų privalumų.
Reikalinga suma – 700 kv.m. x 10 Eur = 7000 Eur/mėn. x 9 mėn. = 63000 Eur/m;
Perkraustymui – preliminariai apie 50 val. darbo, valandinis įkainis – apie 50 eur.
50 val. x 50 Eur būtų apie 2500 Eur.
</t>
        </r>
      </text>
    </comment>
    <comment ref="K146" authorId="0" shapeId="0">
      <text>
        <r>
          <rPr>
            <sz val="9"/>
            <color indexed="81"/>
            <rFont val="Tahoma"/>
            <family val="2"/>
            <charset val="186"/>
          </rPr>
          <t xml:space="preserve">Priemonės įgyvendinimas perkeliamas į 2022 m., nes laukiama Vidaus audito išvadų dėl Kultūros skyriaus dalinio finansavimo konkursų, kurios bus aktualios rengiant bendrą tvarką visiems Dalinio finansavimo konkursams
</t>
        </r>
      </text>
    </comment>
    <comment ref="K155" authorId="4" shapeId="0">
      <text>
        <r>
          <rPr>
            <sz val="9"/>
            <color indexed="81"/>
            <rFont val="Tahoma"/>
            <family val="2"/>
            <charset val="186"/>
          </rPr>
          <t>Liepų g. 11 pastatui planuojama pirkti žaliąją energiją (saulės elektrinę) iš saulės parko</t>
        </r>
      </text>
    </comment>
    <comment ref="E156" authorId="4" shapeId="0">
      <text>
        <r>
          <rPr>
            <sz val="9"/>
            <color indexed="81"/>
            <rFont val="Tahoma"/>
            <family val="2"/>
            <charset val="186"/>
          </rPr>
          <t>P-3.3.2.3.</t>
        </r>
      </text>
    </comment>
    <comment ref="E159"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t>
        </r>
      </text>
    </comment>
  </commentList>
</comments>
</file>

<file path=xl/comments2.xml><?xml version="1.0" encoding="utf-8"?>
<comments xmlns="http://schemas.openxmlformats.org/spreadsheetml/2006/main">
  <authors>
    <author>Inga Mikalauskienė</author>
    <author>Audra Cepiene</author>
    <author>Indrė Butenienė</author>
    <author>Rima Ališauskaitė</author>
    <author>Snieguole Kacerauskaite</author>
    <author>Saulina Paulauskiene</author>
  </authors>
  <commentList>
    <comment ref="J21" authorId="0" shapeId="0">
      <text>
        <r>
          <rPr>
            <sz val="9"/>
            <color indexed="81"/>
            <rFont val="Tahoma"/>
            <family val="2"/>
            <charset val="186"/>
          </rPr>
          <t>Lėšų planuojama daugiau dėl šių priežasčių:
1. Prie bendros priemonės prisidėjo Taryba ir sekretoriatas.
2. Įvairių paslaugų kainos išaugo, buvo planuota 20-30 proc. daugiau.
3. Ženkliai išaugo komunalinės paslaugos, tai planuojama apie 30 proc. daugiau (papildomai Danės g. 17 išlaikymas)
4. Buvo atstatytos sumažintos sumos komandiruotėms ir reprezentacinėms priemonėms.
5.Ženkliai pakilo kuro kainos.
6. Bankų mokesčiai už laikomus likučius nuo 45k Eur iki 163,4k Eur.
7. Suplanuotos naujos priemonės kaip garažų remontas – 20k Eur, archyvo skaitmeninimas – 15k Eur, Danės g. 17 kabinetų remontas, baldams, avarinių situacijų likvimas  – 30k Eur, Liepų g. 11 lubų keitimas – 5000 Eur ir kitos priemonės.</t>
        </r>
        <r>
          <rPr>
            <b/>
            <sz val="9"/>
            <color indexed="81"/>
            <rFont val="Tahoma"/>
            <family val="2"/>
            <charset val="186"/>
          </rPr>
          <t xml:space="preserve">
</t>
        </r>
        <r>
          <rPr>
            <sz val="9"/>
            <color indexed="81"/>
            <rFont val="Tahoma"/>
            <family val="2"/>
            <charset val="186"/>
          </rPr>
          <t xml:space="preserve">
</t>
        </r>
      </text>
    </comment>
    <comment ref="J26" authorId="0" shapeId="0">
      <text>
        <r>
          <rPr>
            <sz val="9"/>
            <color indexed="81"/>
            <rFont val="Tahoma"/>
            <family val="2"/>
            <charset val="186"/>
          </rPr>
          <t xml:space="preserve">Ryšio paslaugos, paštas, 2 automobilio nuoma (po 7800 Eur/m), kuras, komunalinės išlaidos, apranga, kanceliarinės ir kt. 2024 m. didėjimas dėl aprangos atnaujinimo +20,0 tūkst Eur. Poreikis nuo 2021 m. sumažėjo, nes administracinių pažeidimų IS perduota IT skyriui administruoti ir mokėti iš jų priemonės.
</t>
        </r>
      </text>
    </comment>
    <comment ref="J29" authorId="0" shapeId="0">
      <text>
        <r>
          <rPr>
            <sz val="9"/>
            <color indexed="81"/>
            <rFont val="Tahoma"/>
            <family val="2"/>
            <charset val="186"/>
          </rPr>
          <t xml:space="preserve">2022 m. bus perkamos dvi naujos sirenos už 9,7 tūkst. Eur, 300 lovelių ir 300 miegmaišių už 30,0 tūkst. Eur. 7,1 tūkst. Eur techninis metinis sirenų aptarnavimas. 2023-2024 m. dėl pabrangimo 7,5 tūkst. Eur sirenų aptarnavimas
</t>
        </r>
      </text>
    </comment>
    <comment ref="E32" authorId="0" shapeId="0">
      <text>
        <r>
          <rPr>
            <sz val="9"/>
            <color indexed="81"/>
            <rFont val="Tahoma"/>
            <family val="2"/>
            <charset val="186"/>
          </rPr>
          <t xml:space="preserve">LR sveikatos apsugos ministro 2021 m. sausio 27 d. įsakymas Nr. V-160 
"DĖL VALSTYBĖS INSTITUCIJŲ IR ĮSTAIGŲ, SAVIVALDYBIŲ INSTITUCIJŲ IR ĮSTAIGŲ, ŪKIO SUBJEKTŲ IR KITŲ ĮSTAIGŲ, SAVIVALDYBIŲ ADMINISTRACIJŲ KAUPIAMŲ ASMENINĖS APSAUGOS PRIEMONIŲ IR KITŲ VEIKLOS VYKDYMUI UŽTIKRINTI BŪTINŲ PRIEMONIŲ, SKIRTŲ APSISAUGOTI NUO COVID-19 LIGOS (KORONAVIRUSO INFEKCIJOS), ATSARGŲ SĄRAŠO BEI ŠIŲ PRIEMONIŲ KIEKIO APSKAIČIAVIMO TVARKOS APRAŠO PATVIRTINIMO"
</t>
        </r>
      </text>
    </comment>
    <comment ref="N32" authorId="0" shapeId="0">
      <text>
        <r>
          <rPr>
            <sz val="9"/>
            <color indexed="81"/>
            <rFont val="Tahoma"/>
            <family val="2"/>
            <charset val="186"/>
          </rPr>
          <t>Priemonės:
1. Pervežimai į Mobilų punktą, sergančiųjų pervežimai į namus, saviizoliacijos vietas;
2. Izoliuotų asmenų apgyvendinimas;
3. Izoliuotų asmenų maitinimas;
4. Mobilaus punkto, Karščiavimo klinikos išlaikymas;
5. Apsaugos priemonių įsigijimas (respiratoriai, pirštinės dez. sk.);
6. Patalpų, transporto dezinfekcija;
7. Medicininių atliekų konteineriai.</t>
        </r>
      </text>
    </comment>
    <comment ref="O32" authorId="0" shapeId="0">
      <text>
        <r>
          <rPr>
            <sz val="9"/>
            <color indexed="81"/>
            <rFont val="Tahoma"/>
            <family val="2"/>
            <charset val="186"/>
          </rPr>
          <t>1. Transportas - 200000 Eur;
2. Apgyvendinimas - 4000 Eur;
3. Izoliavimosi patalpų valymo paslaugos - 2000 Eur;
4. Maitinimo paslaugos - 6700 Eur;
5. Dezinfekavimo paslaugos - 12000 Eur;
6. Asmens apsaugos priemonės privalomam rezervui (10 proc.) - 27300 Eur;
7. Mobilaus punkto palapinių (stoginių) nuomos paslaugos (4 vnt.x1000 eurx12 mėn.) - 48000 Eur;</t>
        </r>
      </text>
    </comment>
    <comment ref="O36" authorId="0" shapeId="0">
      <text>
        <r>
          <rPr>
            <sz val="9"/>
            <color indexed="81"/>
            <rFont val="Tahoma"/>
            <family val="2"/>
            <charset val="186"/>
          </rPr>
          <t xml:space="preserve">1. Ėminių iš paciento nosiaryklės ir ryklės paėmimo mobiliuosiuose punktuose COVID-19 ligos (koronaviruso infekcijos) laboratoriniams tyrimams atlikti paslauga;
2. Tikslinių grupių, nurodytų  LR sveikatos apsaugos ministro – valstybės lygio ekstremaliosios situacijos valstybės operacijų vadovo sprendimuose, asmenų ištyrimo greitaisiais serologiniais testais „AMP Rapid Test SARS-CoV-2 IgG/IgM“  paslauga;
3. Skiepijimo COVID-19 vakcina organizavimo ir teikimo Klaipėdos miesto savivaldybės teritorijoje paslauga;
4. Pacientų pervežimo paslaugos greitosios medicininės pagalbos automobiliu paslauga;
5. Savikontrolės tyrimams ir aplinkos paviršių tyrimui reikalingos priemonės.
</t>
        </r>
      </text>
    </comment>
    <comment ref="F37" authorId="1" shapeId="0">
      <text>
        <r>
          <rPr>
            <sz val="9"/>
            <color indexed="81"/>
            <rFont val="Tahoma"/>
            <family val="2"/>
            <charset val="186"/>
          </rPr>
          <t xml:space="preserve">P-2.6.1.4.
</t>
        </r>
      </text>
    </comment>
    <comment ref="N49" authorId="0" shapeId="0">
      <text>
        <r>
          <rPr>
            <sz val="9"/>
            <color indexed="81"/>
            <rFont val="Tahoma"/>
            <family val="2"/>
            <charset val="186"/>
          </rPr>
          <t>7 valdos, 11 DNSB</t>
        </r>
      </text>
    </comment>
    <comment ref="O49" authorId="0" shapeId="0">
      <text>
        <r>
          <rPr>
            <sz val="9"/>
            <color indexed="81"/>
            <rFont val="Tahoma"/>
            <family val="2"/>
            <charset val="186"/>
          </rPr>
          <t>8 valdos (naujas admin. UAB "Green Admin), 11 DNSB</t>
        </r>
      </text>
    </comment>
    <comment ref="E51" authorId="0" shapeId="0">
      <text>
        <r>
          <rPr>
            <sz val="9"/>
            <color indexed="81"/>
            <rFont val="Tahoma"/>
            <family val="2"/>
            <charset val="186"/>
          </rPr>
          <t xml:space="preserve">Išmokos seniūnaičiams pagal 2014-04-30 sprendimą Nr. T2-81
Seniūnaičių mokymų tvarka 2020-01-16 Nr. AD1-95
Patalpų nuoma pagal 2019-12-19 sprendimą Nr. T2-374.
</t>
        </r>
      </text>
    </comment>
    <comment ref="F52" authorId="0" shapeId="0">
      <text>
        <r>
          <rPr>
            <sz val="9"/>
            <color indexed="81"/>
            <rFont val="Tahoma"/>
            <family val="2"/>
            <charset val="186"/>
          </rPr>
          <t>P-2.6.4.2.</t>
        </r>
      </text>
    </comment>
    <comment ref="E56" authorId="0" shapeId="0">
      <text>
        <r>
          <rPr>
            <sz val="9"/>
            <color indexed="81"/>
            <rFont val="Tahoma"/>
            <family val="2"/>
            <charset val="186"/>
          </rPr>
          <t xml:space="preserve">2020-10-23 sprendimo projektas Nr. T1-285.
Klaipėdos regiono plėtros tarybai kaip Klaipėdos m. savivaldybės stojamasis įnašas perduodamas Klaipėdos m. savivaldybei nuosavybės teise priklausantis finansinis turtas iš Klaipėdos m. savivaldybės biudžeto – 2000 Eur </t>
        </r>
      </text>
    </comment>
    <comment ref="E63" authorId="0" shapeId="0">
      <text>
        <r>
          <rPr>
            <sz val="9"/>
            <color indexed="81"/>
            <rFont val="Tahoma"/>
            <family val="2"/>
            <charset val="186"/>
          </rPr>
          <t>Perkelta į bendrą papriemonę "Savivaldybės administracijos veiklos užtikrinimas"</t>
        </r>
      </text>
    </comment>
    <comment ref="E66" authorId="0" shapeId="0">
      <text>
        <r>
          <rPr>
            <sz val="9"/>
            <color indexed="81"/>
            <rFont val="Tahoma"/>
            <family val="2"/>
            <charset val="186"/>
          </rPr>
          <t xml:space="preserve">Perkelta į bendrą papriemonę "Savivaldybės administracijos veiklos užtikrinimas"
</t>
        </r>
      </text>
    </comment>
    <comment ref="E70" authorId="1" shapeId="0">
      <text>
        <r>
          <rPr>
            <sz val="9"/>
            <color indexed="81"/>
            <rFont val="Tahoma"/>
            <family val="2"/>
            <charset val="186"/>
          </rPr>
          <t xml:space="preserve">Pagal 2016-06-23 sprendimu Nr. T2-184 patvirtintą Klaipėdos miesto savivaldybės Tarybos veiklos reglamento 21 p., LR Vietos savivaldos įstatymo 19 str. 19 p. bei Statistikos departamento duomenimis (1278(VMDU)*1,5*12)=23 004 Eur; </t>
        </r>
      </text>
    </comment>
    <comment ref="F73"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3.4.2.</t>
        </r>
        <r>
          <rPr>
            <sz val="9"/>
            <color indexed="81"/>
            <rFont val="Tahoma"/>
            <family val="2"/>
            <charset val="186"/>
          </rPr>
          <t xml:space="preserve"> Plėsti Klaipėdos apskrities, vienijančios 7 savivaldybes, bendradarbiavimą sprendžiant viso regiono patrauklumo klausimus </t>
        </r>
        <r>
          <rPr>
            <sz val="9"/>
            <color indexed="81"/>
            <rFont val="Tahoma"/>
            <family val="2"/>
            <charset val="186"/>
          </rPr>
          <t xml:space="preserve">
</t>
        </r>
      </text>
    </comment>
    <comment ref="M73" authorId="1" shapeId="0">
      <text>
        <r>
          <rPr>
            <sz val="9"/>
            <color indexed="81"/>
            <rFont val="Tahoma"/>
            <family val="2"/>
            <charset val="186"/>
          </rPr>
          <t>Savivaldybių asociacija (0,03 proc. nuo biudžeto apimties), VVG - po 50 Eur per metus</t>
        </r>
      </text>
    </comment>
    <comment ref="F75" authorId="0" shapeId="0">
      <text>
        <r>
          <rPr>
            <sz val="9"/>
            <color indexed="81"/>
            <rFont val="Tahoma"/>
            <family val="2"/>
            <charset val="186"/>
          </rPr>
          <t xml:space="preserve">P-1.1.1.2.
</t>
        </r>
      </text>
    </comment>
    <comment ref="J75" authorId="0" shapeId="0">
      <text>
        <r>
          <rPr>
            <sz val="9"/>
            <color indexed="81"/>
            <rFont val="Tahoma"/>
            <family val="2"/>
            <charset val="186"/>
          </rPr>
          <t xml:space="preserve">Kas metai Klaipėdos regiono merai visuotiniame narių susirinkime pritaria asociacijos "Klaipėdos regionas" dalyvio mokesčio skaičiavimo metodikai. 2021 m. protokolu užfiksuota, kad Klaipėdos miesto savivaldybės nario mokestis Asociacijoje yra 49 432,78 Eur.
</t>
        </r>
      </text>
    </comment>
    <comment ref="M75" authorId="0" shapeId="0">
      <text>
        <r>
          <rPr>
            <sz val="9"/>
            <color indexed="81"/>
            <rFont val="Tahoma"/>
            <family val="2"/>
            <charset val="186"/>
          </rPr>
          <t>Pasikeitė LR regioninės plėtros įstatymas nuo 2020-09-01</t>
        </r>
      </text>
    </comment>
    <comment ref="F77" authorId="3" shapeId="0">
      <text>
        <r>
          <rPr>
            <b/>
            <sz val="9"/>
            <color indexed="81"/>
            <rFont val="Tahoma"/>
            <family val="2"/>
            <charset val="186"/>
          </rPr>
          <t>KEPS 2030 1.1.4. uždavinys</t>
        </r>
        <r>
          <rPr>
            <sz val="9"/>
            <color indexed="81"/>
            <rFont val="Tahoma"/>
            <family val="2"/>
            <charset val="186"/>
          </rPr>
          <t xml:space="preserve">
Sudaryti sąlygas gauti investuotojams ir talentams aktualias viešąsias pas-laugas ir dokumentus anglų kalba: pa-rengti dvikalbius dokumentų šablonus, teikti paslaugas ir priimti dokumentus, užpildytus anglų kalba</t>
        </r>
      </text>
    </comment>
    <comment ref="J77" authorId="0" shapeId="0">
      <text>
        <r>
          <rPr>
            <sz val="9"/>
            <color indexed="81"/>
            <rFont val="Tahoma"/>
            <family val="2"/>
            <charset val="186"/>
          </rPr>
          <t xml:space="preserve">3,0 tūkst. Eur planuojamos vertėjo paslaugos žodžiu Klaipėdos m. 770 m. jubiliejui
</t>
        </r>
      </text>
    </comment>
    <comment ref="F79" authorId="0" shapeId="0">
      <text>
        <r>
          <rPr>
            <sz val="9"/>
            <color indexed="81"/>
            <rFont val="Tahoma"/>
            <family val="2"/>
            <charset val="186"/>
          </rPr>
          <t xml:space="preserve">P-2.6.3.1
</t>
        </r>
      </text>
    </comment>
    <comment ref="F81" authorId="3" shapeId="0">
      <text>
        <r>
          <rPr>
            <sz val="9"/>
            <color indexed="81"/>
            <rFont val="Tahoma"/>
            <family val="2"/>
            <charset val="186"/>
          </rPr>
          <t>KEPS 2030 1.3.7. uždavinys Organizuoti nišinius tarptautinius mega-renginius, susijusius su prioritetinių sričių, verslumo skatinimo temomis</t>
        </r>
      </text>
    </comment>
    <comment ref="M81" authorId="1" shapeId="0">
      <text>
        <r>
          <rPr>
            <sz val="9"/>
            <color indexed="81"/>
            <rFont val="Tahoma"/>
            <family val="2"/>
            <charset val="186"/>
          </rPr>
          <t>(apgyvendinimo, maitinimo paslaugos, kultūrinė programa)</t>
        </r>
      </text>
    </comment>
    <comment ref="J87" authorId="0" shapeId="0">
      <text>
        <r>
          <rPr>
            <sz val="9"/>
            <color indexed="81"/>
            <rFont val="Tahoma"/>
            <family val="2"/>
            <charset val="186"/>
          </rPr>
          <t xml:space="preserve">Šventiniu laikotarpiu buvo išsilieję teršalai Danės upėje. Teršalų likvidavimo išlaidų padengimui bus apmokama iš direktoriaus rezervo. </t>
        </r>
        <r>
          <rPr>
            <sz val="9"/>
            <color indexed="81"/>
            <rFont val="Tahoma"/>
            <family val="2"/>
            <charset val="186"/>
          </rPr>
          <t xml:space="preserve">
</t>
        </r>
      </text>
    </comment>
    <comment ref="O90" authorId="0" shapeId="0">
      <text>
        <r>
          <rPr>
            <sz val="9"/>
            <color indexed="81"/>
            <rFont val="Tahoma"/>
            <family val="2"/>
            <charset val="186"/>
          </rPr>
          <t>2022 m. numatoma atlikti privažiuojamųjų ir įvažiuojamųjų kelių kadastrinius matavimus ir teisinę registracija: 30-40 km, preliminari darbų kaina 20 tūkst. Eur. Neregistruotų šilumos, vandentiekio, buitinių nuotekų ir lietaus nuotekų tinklų kadastriniai matavimai ir teisinė registracija: 17 km x 0,6 Eur/m = 10,2 tūkst. Eur. Taip pat patalpų/pastatų kadastriniai matavimai: 5000 kv. m x 1,0 = 5 tūkst. Eur. Mašinų stovėjimo aikštelių matavimai ir registracija: 4 ha x 1258 Eur/ha = 5,1 tūkst. Eur. Kitų darbų atlikimui Registrų centre (juridinių faktų registravimui, pastatų ir patalpų pakeitimų teisinės registracijos atlikimui, kadastrinių matavimų tikslinimui) lėšų poreikis 5,0 tūkst. Eur. Nenumatytiems darbams apie 3,0 tūkst. Eur.</t>
        </r>
      </text>
    </comment>
    <comment ref="O93" authorId="0" shapeId="0">
      <text>
        <r>
          <rPr>
            <sz val="9"/>
            <color indexed="81"/>
            <rFont val="Tahoma"/>
            <family val="2"/>
            <charset val="186"/>
          </rPr>
          <t xml:space="preserve">Eksploatacinės išlaidos 50,0 tūkst. Eur  + 8,0 tūkst. Eur draudimas. 
</t>
        </r>
      </text>
    </comment>
    <comment ref="O96" authorId="0" shapeId="0">
      <text>
        <r>
          <rPr>
            <sz val="9"/>
            <color indexed="81"/>
            <rFont val="Tahoma"/>
            <family val="2"/>
            <charset val="186"/>
          </rPr>
          <t>2022 m. savivaldybei tenkanti prisidėjimo dalis dėl atliekamų daugiabučių namų modernizavimo darbų: Liepų g. 49 - apie 32,0 tūkst. Eur, Danės g. 7 - apie 44,0 tūkst. Eur, H. Manto g. 51 - apie 10,0 tūkst. Eur. Likutis 4,0 tūkst. Eur rezervas dėl galimų renovacijų kainų padidėjimo.</t>
        </r>
      </text>
    </comment>
    <comment ref="J97" authorId="0" shapeId="0">
      <text>
        <r>
          <rPr>
            <sz val="9"/>
            <color indexed="81"/>
            <rFont val="Tahoma"/>
            <family val="2"/>
            <charset val="186"/>
          </rPr>
          <t xml:space="preserve">Nepaskirstytas SB(SPL) iš ankstesnių metų yra 57,2 tūkst. Eur, plius 11,8 tūkst. Eur iš 2021 m., iš viso 69 tūkst. Eur
</t>
        </r>
      </text>
    </comment>
    <comment ref="O102" authorId="0" shapeId="0">
      <text>
        <r>
          <rPr>
            <sz val="9"/>
            <color indexed="81"/>
            <rFont val="Tahoma"/>
            <family val="2"/>
            <charset val="186"/>
          </rPr>
          <t xml:space="preserve">Pagal 2010 m. spalio 7 d. sudarytą koncesijos sutartį Savivaldybė dėl energetinių išteklių kompensavimo už 2018-2021 m. įsipareigojusi padengti skirtumą dėl išaugusių kainų, t.y. 41,4 tūkst. Eur su PVM. </t>
        </r>
      </text>
    </comment>
    <comment ref="O103" authorId="0" shapeId="0">
      <text>
        <r>
          <rPr>
            <sz val="9"/>
            <color indexed="81"/>
            <rFont val="Tahoma"/>
            <family val="2"/>
            <charset val="186"/>
          </rPr>
          <t xml:space="preserve">Dėl išaugusių paslaugų kainų ir didesnio objektų skaičiaus 
</t>
        </r>
      </text>
    </comment>
    <comment ref="J108" authorId="4" shapeId="0">
      <text>
        <r>
          <rPr>
            <sz val="9"/>
            <color indexed="81"/>
            <rFont val="Tahoma"/>
            <family val="2"/>
            <charset val="186"/>
          </rPr>
          <t>Skaidytyti į:
1. naujų KMSA dokumentų įsigijimas,
2. atrankos agentūros paslaugos</t>
        </r>
        <r>
          <rPr>
            <b/>
            <sz val="9"/>
            <color indexed="81"/>
            <rFont val="Tahoma"/>
            <family val="2"/>
            <charset val="186"/>
          </rPr>
          <t xml:space="preserve">
</t>
        </r>
        <r>
          <rPr>
            <sz val="9"/>
            <color indexed="81"/>
            <rFont val="Tahoma"/>
            <family val="2"/>
            <charset val="186"/>
          </rPr>
          <t xml:space="preserve">
</t>
        </r>
      </text>
    </comment>
    <comment ref="O108" authorId="0" shapeId="0">
      <text>
        <r>
          <rPr>
            <sz val="9"/>
            <color indexed="81"/>
            <rFont val="Tahoma"/>
            <family val="2"/>
            <charset val="186"/>
          </rPr>
          <t xml:space="preserve">Naujų Savivaldybės administracijos patalpų/pastato nuomos ar įsigijimo pirkimo dokumentų rengimas. Atrankos agentūros paslaugų pirkimas dėl SVĮ nepriklausomų valdymo ir priežiūros organų narių atrinkimo. 
</t>
        </r>
      </text>
    </comment>
    <comment ref="F114" authorId="1" shapeId="0">
      <text>
        <r>
          <rPr>
            <b/>
            <sz val="9"/>
            <color indexed="81"/>
            <rFont val="Tahoma"/>
            <family val="2"/>
            <charset val="186"/>
          </rPr>
          <t xml:space="preserve">P1, 8.2.1. </t>
        </r>
        <r>
          <rPr>
            <sz val="9"/>
            <color indexed="81"/>
            <rFont val="Tahoma"/>
            <family val="2"/>
            <charset val="186"/>
          </rPr>
          <t>Parengta ir įgyvendinta Savivaldybės turto ir įmonių valdymo efektyvinimo koncepcija ir priemonių planas</t>
        </r>
      </text>
    </comment>
    <comment ref="M114" authorId="1" shapeId="0">
      <text>
        <r>
          <rPr>
            <sz val="9"/>
            <color indexed="81"/>
            <rFont val="Tahoma"/>
            <family val="2"/>
            <charset val="186"/>
          </rPr>
          <t>Siūloma parengti veiksmų planą, kuriame būtų numatyti strateginiai sprendimai dėl turto ir įmonių valdymo efektyvinimo:  nereikalingo turto pardavimo, kriterijų, kuriuos turi atitikti panaudos gavėjai įvedimo ir t.t. Planą parengti ketinama 2019 m., pilnai įgyvendinti - 2023 m.</t>
        </r>
      </text>
    </comment>
    <comment ref="J118" authorId="0" shapeId="0">
      <text>
        <r>
          <rPr>
            <sz val="9"/>
            <color indexed="81"/>
            <rFont val="Tahoma"/>
            <family val="2"/>
            <charset val="186"/>
          </rPr>
          <t xml:space="preserve">2022 m. planuojama atlikti Danės upės krantinės ruože nuo Jono kalnelio iki Klaipėdos piliavietės ekspertizę, nes atliekant krantinės apžiūrą, nustatyta, kad vietomis ji yra pasislinkusi 3-4 centimetrus. Todėl būtina įvertinti krantinės atitiktį esminiam statinio reikalavimui. Mechaninis atsparumas ir pastovumas. Ekspertizės išvados bus naudojamos Danės upės valymo/gilinimo darbams atlikti. Atlikus apklausą, nustatyta, kad Danės krantinės ekspertizės kaina siekia 50.000,00 eurų. 2019 m. buvo pirktos "Jachtų, mažųjų laivų uosto krantinės dalies Klaipėdoje ekspertizės paslaugos". Pasiūlymo kaina buvo 13.552,00 eurų. Ištyrinėta buvo apie 100 m krantinės. 2022 m. planuojama atlikti 700 m ilgio krantinės ekspertizę. Atkreiptinas dėmesys, kad šiems darbams yra reikalinga povandeninė konstrukcijų apžiūra, todėl kaina, lyginant su pastatų ekspertizės paslaugų kainomis yra žymiai didesnė.
</t>
        </r>
      </text>
    </comment>
    <comment ref="J126" authorId="0" shapeId="0">
      <text>
        <r>
          <rPr>
            <sz val="9"/>
            <color indexed="81"/>
            <rFont val="Tahoma"/>
            <family val="2"/>
            <charset val="186"/>
          </rPr>
          <t>1. Licencijų ir leidimų informacinė sistemos aptarnavimas perkeltas iš Viešosios tvarkos išlaikymo priemonės 35k Eur;
2. Perkami kompiuteriai už 75k Eur (ankstesniais metais planuota tik už 5k Eur) nešiojami kompiuteriai darbuotojams – 100 vnt. po 1500 Eur;
3. IT saugos vertinimo paslaugos – 10k Eur;
4. Perkamas naujas serveris duomenim laikyti (būtina) – 30k Eur;
5. Išaugo Microsoft licencijų kaina - 20k Eur daugiau;
6. Apskaitos sistemos įdiegimas VŠĮ – pavaldžių įstaigų bendra apskaitos sistema – 16k Eur;
7. Perkama nauja Seniūnaičių balsavimo sistema, puslapis ir kt. – 40k Eur 
8. Paraiškų informacinės sistemos įsigijimas (D.Petrolevičiaus) – 40k Eur</t>
        </r>
        <r>
          <rPr>
            <b/>
            <sz val="9"/>
            <color indexed="81"/>
            <rFont val="Tahoma"/>
            <family val="2"/>
            <charset val="186"/>
          </rPr>
          <t xml:space="preserve">
</t>
        </r>
        <r>
          <rPr>
            <sz val="9"/>
            <color indexed="81"/>
            <rFont val="Tahoma"/>
            <family val="2"/>
            <charset val="186"/>
          </rPr>
          <t xml:space="preserve">
</t>
        </r>
      </text>
    </comment>
    <comment ref="M132" authorId="1" shapeId="0">
      <text>
        <r>
          <rPr>
            <sz val="9"/>
            <color indexed="81"/>
            <rFont val="Tahoma"/>
            <family val="2"/>
            <charset val="186"/>
          </rPr>
          <t>(Savivaldybės administracija ir 116 biudžetinė įstaiga)</t>
        </r>
      </text>
    </comment>
    <comment ref="O136" authorId="0" shapeId="0">
      <text>
        <r>
          <rPr>
            <sz val="9"/>
            <color indexed="81"/>
            <rFont val="Tahoma"/>
            <family val="2"/>
            <charset val="186"/>
          </rPr>
          <t>1. Apskaitos sistemos įdiegimas VŠĮ – pavaldžių įstaigų bendra apskaitos sistema – 16k Eur (dalis įstaigų - 2022 m., pabaiga - 2023 m.);
2. Perkama nauja Seniūnaičių balsavimo sistema, puslapis ir kt. – 40k Eur 
3. Paraiškų informacinės sistemos įsigijimas (D. Petrolevičius) – 40k Eur</t>
        </r>
        <r>
          <rPr>
            <b/>
            <sz val="9"/>
            <color indexed="81"/>
            <rFont val="Tahoma"/>
            <family val="2"/>
            <charset val="186"/>
          </rPr>
          <t xml:space="preserve">
</t>
        </r>
        <r>
          <rPr>
            <sz val="9"/>
            <color indexed="81"/>
            <rFont val="Tahoma"/>
            <family val="2"/>
            <charset val="186"/>
          </rPr>
          <t xml:space="preserve">
</t>
        </r>
      </text>
    </comment>
    <comment ref="P136" authorId="0" shapeId="0">
      <text>
        <r>
          <rPr>
            <sz val="9"/>
            <color indexed="81"/>
            <rFont val="Tahoma"/>
            <family val="2"/>
            <charset val="186"/>
          </rPr>
          <t xml:space="preserve">Apskaitos sistemos įdiegimas VŠĮ – pavaldžių įstaigų bendra apskaitos sistema – 30k Eur (baigiama diegti 2023 m.)
</t>
        </r>
        <r>
          <rPr>
            <b/>
            <sz val="9"/>
            <color indexed="81"/>
            <rFont val="Tahoma"/>
            <family val="2"/>
            <charset val="186"/>
          </rPr>
          <t xml:space="preserve">
</t>
        </r>
        <r>
          <rPr>
            <sz val="9"/>
            <color indexed="81"/>
            <rFont val="Tahoma"/>
            <family val="2"/>
            <charset val="186"/>
          </rPr>
          <t xml:space="preserve">
</t>
        </r>
      </text>
    </comment>
    <comment ref="F138" authorId="2" shapeId="0">
      <text>
        <r>
          <rPr>
            <b/>
            <sz val="9"/>
            <color indexed="81"/>
            <rFont val="Tahoma"/>
            <family val="2"/>
            <charset val="186"/>
          </rPr>
          <t xml:space="preserve">2019-2023 m. veiklos prioritetai:
</t>
        </r>
        <r>
          <rPr>
            <sz val="9"/>
            <color indexed="81"/>
            <rFont val="Tahoma"/>
            <family val="2"/>
            <charset val="186"/>
          </rPr>
          <t xml:space="preserve">8.3.5. Sukurta  „Klaipėdiečio kortelės“ koncepcija ir įdiegta sistema.
</t>
        </r>
      </text>
    </comment>
    <comment ref="F140" authorId="0" shapeId="0">
      <text>
        <r>
          <rPr>
            <sz val="9"/>
            <color indexed="81"/>
            <rFont val="Tahoma"/>
            <family val="2"/>
            <charset val="186"/>
          </rPr>
          <t>P-2.6.1.1.</t>
        </r>
      </text>
    </comment>
    <comment ref="E144" authorId="1"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F144" authorId="1" shapeId="0">
      <text>
        <r>
          <rPr>
            <b/>
            <sz val="9"/>
            <color indexed="81"/>
            <rFont val="Tahoma"/>
            <family val="2"/>
            <charset val="186"/>
          </rPr>
          <t xml:space="preserve">P1, 8.3.2. </t>
        </r>
        <r>
          <rPr>
            <sz val="9"/>
            <color indexed="81"/>
            <rFont val="Tahoma"/>
            <family val="2"/>
            <charset val="186"/>
          </rPr>
          <t xml:space="preserve">Savivaldybės administracijoje įdiegta ir funkcionuoja kokybės vadybos sistema
</t>
        </r>
      </text>
    </comment>
    <comment ref="M144" authorId="1"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F145" authorId="1"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 priemonė
</t>
        </r>
      </text>
    </comment>
    <comment ref="F146" authorId="1" shapeId="0">
      <text>
        <r>
          <rPr>
            <b/>
            <sz val="9"/>
            <color indexed="81"/>
            <rFont val="Tahoma"/>
            <family val="2"/>
            <charset val="186"/>
          </rPr>
          <t xml:space="preserve">P3.4.3.5 </t>
        </r>
        <r>
          <rPr>
            <sz val="9"/>
            <color indexed="81"/>
            <rFont val="Tahoma"/>
            <family val="2"/>
            <charset val="186"/>
          </rPr>
          <t xml:space="preserve">Diegti visuotinės kokybės vadybos principus Savivaldybės administracijoje
</t>
        </r>
      </text>
    </comment>
    <comment ref="F147" authorId="1" shapeId="0">
      <text>
        <r>
          <rPr>
            <b/>
            <sz val="9"/>
            <color indexed="81"/>
            <rFont val="Tahoma"/>
            <family val="2"/>
            <charset val="186"/>
          </rPr>
          <t>P1,</t>
        </r>
        <r>
          <rPr>
            <sz val="9"/>
            <color indexed="81"/>
            <rFont val="Tahoma"/>
            <family val="2"/>
            <charset val="186"/>
          </rPr>
          <t xml:space="preserve"> 8.1.3. Patvirtintas ir įgyvendinamas Klaipėdos miesto  savivaldybės 2021–2030 m. strateginis plėtros planas
</t>
        </r>
      </text>
    </comment>
    <comment ref="F149" authorId="2" shapeId="0">
      <text>
        <r>
          <rPr>
            <sz val="9"/>
            <color indexed="81"/>
            <rFont val="Tahoma"/>
            <family val="2"/>
            <charset val="186"/>
          </rPr>
          <t xml:space="preserve">KEPS 1.1.5. Įdiegti veiklos rezultatų stebėsenos sistemą, pagrįstą procesų rodiklių matavimu, ir susieti ją su darbuotojų vertinimo ir motyvavimo sistema </t>
        </r>
      </text>
    </comment>
    <comment ref="F150" authorId="1" shapeId="0">
      <text>
        <r>
          <rPr>
            <b/>
            <sz val="9"/>
            <color indexed="81"/>
            <rFont val="Tahoma"/>
            <family val="2"/>
            <charset val="186"/>
          </rPr>
          <t>P1,</t>
        </r>
        <r>
          <rPr>
            <sz val="9"/>
            <color indexed="81"/>
            <rFont val="Tahoma"/>
            <family val="2"/>
            <charset val="186"/>
          </rPr>
          <t xml:space="preserve"> 8.1.3. Patvirtintas ir įgyvendinamas Klaipėdos miesto  savivaldybės 2021–2030 m. strateginis plėtros planas
</t>
        </r>
      </text>
    </comment>
    <comment ref="F152" authorId="2" shapeId="0">
      <text>
        <r>
          <rPr>
            <sz val="9"/>
            <color indexed="81"/>
            <rFont val="Tahoma"/>
            <family val="2"/>
            <charset val="186"/>
          </rPr>
          <t xml:space="preserve">KEPS 1.1.5. Įdiegti veiklos rezultatų stebėsenos sistemą, pagrįstą procesų rodiklių matavimu, ir susieti ją su darbuotojų vertinimo ir motyvavimo sistema </t>
        </r>
      </text>
    </comment>
    <comment ref="F153" authorId="2" shapeId="0">
      <text>
        <r>
          <rPr>
            <b/>
            <sz val="9"/>
            <color indexed="81"/>
            <rFont val="Tahoma"/>
            <family val="2"/>
            <charset val="186"/>
          </rPr>
          <t xml:space="preserve">P1 </t>
        </r>
        <r>
          <rPr>
            <sz val="9"/>
            <color indexed="81"/>
            <rFont val="Tahoma"/>
            <family val="2"/>
            <charset val="186"/>
          </rPr>
          <t xml:space="preserve">8.3.6. Įsteigtų nuotolinių gyventojų aptarnavimo centrų skaičius. </t>
        </r>
      </text>
    </comment>
    <comment ref="O155" authorId="0" shapeId="0">
      <text>
        <r>
          <rPr>
            <sz val="9"/>
            <color indexed="81"/>
            <rFont val="Tahoma"/>
            <family val="2"/>
            <charset val="186"/>
          </rPr>
          <t xml:space="preserve">Planuojama nuomotis maždaug 600-800 kv.m. patalpas, skirtas dirbti 43 specialistams, iš jų 2-3 darbo vietos būtų skiriamos Klientų aptarnavimo centrui. Patalpų būtų ieškoma pirmame aukšte arba kituose aukštuose, į kuriuos būtų patogus patekimas liftu, pritaikytu neįgaliems asmenims. Siekiant maksimaliai lengvo pasiekiamumo visiems miestiečiams, patalpų lokacija turėtų būti centrinėje miesto dalyje, šalia jų įrengtos parkavimosi vietos bei autobusų stotelės. Po NT agentūrų apklausų paaiškėjo, kad preliminari nuomos kaina gali svyruoti nuo 8-13 Eur/kv.m. priklausomai nuo patalpų lokacijos, šalia esančios infrastruktūros, aukšto ir kitų privalumų.
Reikalinga suma – 700 kv.m. x 10 Eur = 7000 Eur/mėn. x 9 mėn. = 63000 Eur/m;
Perkraustymui – preliminariai apie 50 val. darbo, valandinis įkainis – apie 50 eur.
50 val. x 50 Eur būtų apie 2500 Eur.
</t>
        </r>
      </text>
    </comment>
    <comment ref="O160" authorId="0" shapeId="0">
      <text>
        <r>
          <rPr>
            <sz val="9"/>
            <color indexed="81"/>
            <rFont val="Tahoma"/>
            <family val="2"/>
            <charset val="186"/>
          </rPr>
          <t xml:space="preserve">Priemonės įgyvendinimas perkeliamas į 2022 m., nes laukiama Vidaus audito išvadų dėl Kultūros skyriaus dalinio finansavimo konkursų, kurios bus aktualios rengiant bendrą tvarką visiems Dalinio finansavimo konkursams
</t>
        </r>
      </text>
    </comment>
    <comment ref="O177" authorId="5" shapeId="0">
      <text>
        <r>
          <rPr>
            <sz val="9"/>
            <color indexed="81"/>
            <rFont val="Tahoma"/>
            <family val="2"/>
            <charset val="186"/>
          </rPr>
          <t>Liepų g. 11 pastatui planuojama pirkti žaliąją energiją (saulės elektrinę) iš saulės parko</t>
        </r>
      </text>
    </comment>
    <comment ref="F178" authorId="5" shapeId="0">
      <text>
        <r>
          <rPr>
            <sz val="9"/>
            <color indexed="81"/>
            <rFont val="Tahoma"/>
            <family val="2"/>
            <charset val="186"/>
          </rPr>
          <t>P-3.3.2.3.</t>
        </r>
      </text>
    </comment>
    <comment ref="F181"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t>
        </r>
      </text>
    </comment>
  </commentList>
</comments>
</file>

<file path=xl/sharedStrings.xml><?xml version="1.0" encoding="utf-8"?>
<sst xmlns="http://schemas.openxmlformats.org/spreadsheetml/2006/main" count="964" uniqueCount="296">
  <si>
    <t>Veiklos plano tikslo kodas</t>
  </si>
  <si>
    <t>Uždavinio kodas</t>
  </si>
  <si>
    <t>Priemonės kodas</t>
  </si>
  <si>
    <t>Papriemonės kodas</t>
  </si>
  <si>
    <t>Pavadinimas</t>
  </si>
  <si>
    <t>Finansavimo šaltinis</t>
  </si>
  <si>
    <t>03 Savivaldybės valdymo programa</t>
  </si>
  <si>
    <t>01</t>
  </si>
  <si>
    <t>Savivaldybės administracijos veiklos užtikrinimas:</t>
  </si>
  <si>
    <t>Savivaldybės administracijos veiklos užtikrinimas (darbo užmokestis)</t>
  </si>
  <si>
    <t>SB</t>
  </si>
  <si>
    <t>SB(VB)</t>
  </si>
  <si>
    <t>02</t>
  </si>
  <si>
    <t>SB(SP)</t>
  </si>
  <si>
    <t>SB(SPL)</t>
  </si>
  <si>
    <t>03</t>
  </si>
  <si>
    <t>04</t>
  </si>
  <si>
    <t>Personalo skyrius</t>
  </si>
  <si>
    <t>05</t>
  </si>
  <si>
    <t>06</t>
  </si>
  <si>
    <t>Teisės skyrius</t>
  </si>
  <si>
    <t>Per ataskaitinį laikotarpį užbaigtų bylų skaičius</t>
  </si>
  <si>
    <t>07</t>
  </si>
  <si>
    <t>08</t>
  </si>
  <si>
    <t>Daugiabučių gyvenamųjų namų žemės nuomos mokesčio paskirstymo ir administravimo paslaugos pirkimas</t>
  </si>
  <si>
    <t>Namų administratorių, teikiančių paslaugas, skaičius</t>
  </si>
  <si>
    <t>09</t>
  </si>
  <si>
    <t>SB(VR)</t>
  </si>
  <si>
    <t>SB(VRL)</t>
  </si>
  <si>
    <t>10</t>
  </si>
  <si>
    <t>Viešosios tvarkos skyrius</t>
  </si>
  <si>
    <t>Iš viso:</t>
  </si>
  <si>
    <t>Savivaldybės tarybos finansinio, ūkinio bei materialinio aptarnavimo užtikrinimas</t>
  </si>
  <si>
    <t>Savivaldybės tarybos narių skaičius</t>
  </si>
  <si>
    <t>Mero reprezentacinių priemonių vykdymas (Mero fondo naudojimas)</t>
  </si>
  <si>
    <t>Dalyvavimas vietinių ir tarptautinių organizacijų veikloje:</t>
  </si>
  <si>
    <t>Tarptautinių organizacijų, kurių narė yra Klaipėdos miesto savivaldybė, skaičius</t>
  </si>
  <si>
    <t>Paskolų grąžinimas ir palūkanų mokėjimas</t>
  </si>
  <si>
    <t>Savivaldybės administracijos direktoriaus rezervas</t>
  </si>
  <si>
    <t>Savivaldybei nuosavybės teise priklausančio ir patikėjimo teise valdomo turto valdymas, naudojimas ir disponavimas:</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</si>
  <si>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</si>
  <si>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</si>
  <si>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</si>
  <si>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</si>
  <si>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</si>
  <si>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</si>
  <si>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</si>
  <si>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</si>
  <si>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 xml:space="preserve">Savivaldybės nekilnojamojo turto  (negyvenamoji paskirtis) remontas </t>
  </si>
  <si>
    <t xml:space="preserve">Savivaldybei priklausančių statinių esamos techninės būklės įvertinimo paslaugų įsigijimas </t>
  </si>
  <si>
    <t>Iš viso uždaviniui:</t>
  </si>
  <si>
    <t>Diegti Savivaldybės administracijoje modernias informacines sistemas ir plėsti elektroninių paslaugų spektrą</t>
  </si>
  <si>
    <t>Gerinti gyventojų aptarnavimo ir darbuotojų darbo sąlygas Savivaldybės administracijoje</t>
  </si>
  <si>
    <t>Savivaldybės administracijos reikmėms naudojamų pastatų ir patalpų einamasis remontas:</t>
  </si>
  <si>
    <t>Iš viso tikslui:</t>
  </si>
  <si>
    <t>Iš viso programai:</t>
  </si>
  <si>
    <t>Finansavimo šaltinių suvestinė</t>
  </si>
  <si>
    <t>Finansavimo šaltiniai</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</si>
  <si>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</si>
  <si>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</si>
  <si>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</si>
  <si>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</si>
  <si>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Paskolos lėšos </t>
    </r>
    <r>
      <rPr>
        <b/>
        <sz val="10"/>
        <rFont val="Times New Roman"/>
        <family val="1"/>
        <charset val="186"/>
      </rPr>
      <t>SB(P)</t>
    </r>
  </si>
  <si>
    <r>
      <t xml:space="preserve">Pajamų įmokos už patalpų nuomą </t>
    </r>
    <r>
      <rPr>
        <b/>
        <sz val="10"/>
        <rFont val="Times New Roman"/>
        <family val="1"/>
        <charset val="186"/>
      </rPr>
      <t>SB(SP)</t>
    </r>
  </si>
  <si>
    <r>
      <t>Pajamų įmokų už patalpų nuomą likutis</t>
    </r>
    <r>
      <rPr>
        <b/>
        <sz val="10"/>
        <rFont val="Times New Roman"/>
        <family val="1"/>
        <charset val="186"/>
      </rPr>
      <t xml:space="preserve"> SB(SPL)</t>
    </r>
  </si>
  <si>
    <r>
      <t>Vietinių rinkliavų lėšų likutis</t>
    </r>
    <r>
      <rPr>
        <b/>
        <sz val="10"/>
        <rFont val="Times New Roman"/>
        <family val="1"/>
        <charset val="186"/>
      </rPr>
      <t xml:space="preserve"> SB(VRL)</t>
    </r>
  </si>
  <si>
    <t>KITI ŠALTINIAI, IŠ VISO:</t>
  </si>
  <si>
    <r>
      <t xml:space="preserve">Valstybės biudžeto lėšos </t>
    </r>
    <r>
      <rPr>
        <b/>
        <sz val="10"/>
        <rFont val="Times New Roman"/>
        <family val="1"/>
        <charset val="186"/>
      </rPr>
      <t>LRVB</t>
    </r>
  </si>
  <si>
    <t>IŠ VISO:</t>
  </si>
  <si>
    <r>
      <t xml:space="preserve">Žemės pardavimų likučio lėšos </t>
    </r>
    <r>
      <rPr>
        <b/>
        <sz val="10"/>
        <rFont val="Times New Roman"/>
        <family val="1"/>
        <charset val="186"/>
      </rPr>
      <t>SB(ŽPL)</t>
    </r>
  </si>
  <si>
    <t>Vykdoma sutarčių su Klaipėdos rajono savivaldybe, vnt.</t>
  </si>
  <si>
    <t>Įsigyta organizacinės technikos, vnt.</t>
  </si>
  <si>
    <t xml:space="preserve">Eksploatuojama kompiuterių, vnt. </t>
  </si>
  <si>
    <t>Įsigyta kompiuterinės technikos, vnt.</t>
  </si>
  <si>
    <t>Išsiųsta laiškų, tūkst. vnt.</t>
  </si>
  <si>
    <t>Savivaldybės tarybos ir mero sekretoriato finansinio, ūkinio bei materialinio aptarnavimo užtikrinimas</t>
  </si>
  <si>
    <t>Savivaldybės tarybos ir mero sekretoriato darbuotojų skaičius</t>
  </si>
  <si>
    <t>Inžinerinių tinklų, kurių atlikti matavimai, ilgis, km</t>
  </si>
  <si>
    <t>Kompiuterinės, programinės įrangos, organizacinės technikos bei licencijų įsigijimas, eksploatavimas</t>
  </si>
  <si>
    <t xml:space="preserve">Dalyvio mokestis už narystę Lietuvoje veikiančiose asociacijose </t>
  </si>
  <si>
    <t xml:space="preserve"> TIKSLŲ, UŽDAVINIŲ, PRIEMONIŲ, PRIEMONIŲ IŠLAIDŲ IR PRODUKTO KRITERIJŲ SUVESTINĖ</t>
  </si>
  <si>
    <t>tūkst. Eur</t>
  </si>
  <si>
    <t>Savivaldybės administracijos darbuotojų etatų skaičius</t>
  </si>
  <si>
    <t>SB(L)</t>
  </si>
  <si>
    <t xml:space="preserve">Prižiūrėta objektų, vnt. </t>
  </si>
  <si>
    <t xml:space="preserve">Remontuota objektų, vnt. </t>
  </si>
  <si>
    <t>Perduota inžinerinių tinklų, km</t>
  </si>
  <si>
    <t>Įsigyta programinės įrangos, vnt.</t>
  </si>
  <si>
    <t>Prižiūrėta programinės įrangos, vnt.</t>
  </si>
  <si>
    <t>Eksploatuojama šviestuvų, vnt.</t>
  </si>
  <si>
    <t>Automobilių statymo aikštelės prie „Švyturio“ arenos apšvietimo išlaidų dengimas ir energinių išteklių išlaidų kompensavimas UAB „Klaipėdos arena“</t>
  </si>
  <si>
    <t>Nupirkta spaudos ploto dienraščiuose, tūkst. kv. cm</t>
  </si>
  <si>
    <t xml:space="preserve">Gerinti gyventojų aptarnavimo kokybę, diegiant pažangius vadybos principus </t>
  </si>
  <si>
    <t>ES</t>
  </si>
  <si>
    <t>Apmokyta darbuotojų, skaičius</t>
  </si>
  <si>
    <t xml:space="preserve">Eksploatuojama administracinių teisės pažeidimų protokolų valdymo programa, vartotojų skaičius </t>
  </si>
  <si>
    <t>Naudojamos programinės įrangos licencijos, vnt.</t>
  </si>
  <si>
    <t>Strateginio planavimo skyrius</t>
  </si>
  <si>
    <t>Parengtas planas, vnt.</t>
  </si>
  <si>
    <r>
      <t xml:space="preserve">Europos Sąjungos paramos lėšos </t>
    </r>
    <r>
      <rPr>
        <b/>
        <sz val="10"/>
        <rFont val="Times New Roman"/>
        <family val="1"/>
        <charset val="186"/>
      </rPr>
      <t>ES</t>
    </r>
  </si>
  <si>
    <t>Atstovavimo teismuose ir teismų sprendimų vykdymo organizavimas bei teismo išlaidų apmokėjimas</t>
  </si>
  <si>
    <t>Atlikta pastato (Tiltų g. 8) fasado darbų. Užbaigtumas, proc.</t>
  </si>
  <si>
    <t>Suremontuota kabinetų ploto, kv. m</t>
  </si>
  <si>
    <t>Pastato Liepų g. 11 fasado ir patalpų remontas</t>
  </si>
  <si>
    <t xml:space="preserve">Projekto „Paslaugų teikimo gyventojams kokybės gerinimas Klaipėdos regiono savivaldybėse“ įgyvendinimas </t>
  </si>
  <si>
    <t>26/3</t>
  </si>
  <si>
    <t>Suorganizuota renginių, vnt.</t>
  </si>
  <si>
    <t>Dalyvauta tarptautinių organizacijų veikloje, tarptautiniuose ir miestų partnerių organizuojamuose renginiuose, kartai per metus</t>
  </si>
  <si>
    <t>Savivaldybės kontroliuojamų įmonių įstatinio kapitalo didinimas, perduodant inžinerinius tinklus funkcijoms vykdyti, neveikiančių įmonių likvidavimas</t>
  </si>
  <si>
    <t>Išversta į užsienio kalbas tarptautinio bendradarbiavimo dokumentų, puslapių skaičius</t>
  </si>
  <si>
    <t>Organizuota užsienio delegacijų priėmimų ir  pristatymų apie Klaipėdos miestą, vnt.</t>
  </si>
  <si>
    <t>Savivaldybės administracijos veiklos užtikrinimas (pastatų eksploatacija, prekių ir paslaugų įsigijimas, korespondencijos siuntimas paštu, spaudinių prenumerata ir kt.)</t>
  </si>
  <si>
    <t>Viešosios tvarkos skyriaus veiklos užtikrinimas (pastatų eksploatacija, prekių ir paslaugų įsigijimas, korespondencijos siuntimas paštu ir kt.)</t>
  </si>
  <si>
    <t>Užsienio delegacijų priėmimų organizavimas</t>
  </si>
  <si>
    <t>SB(KPP)</t>
  </si>
  <si>
    <t>P6</t>
  </si>
  <si>
    <t>Organizuotas tarptautinis renginys Klaipėdoje, vnt.</t>
  </si>
  <si>
    <t xml:space="preserve">Išsiųsta registruotų laiškų su įteikimu, paprastų laiškų Viešosios tvarkos skyriaus vykdomai veiklai, tūkst. vnt. </t>
  </si>
  <si>
    <t xml:space="preserve">Įdiegta ir taikoma vadybos metodų, vnt. </t>
  </si>
  <si>
    <r>
      <t xml:space="preserve">Europos Sąjungos paramos lėšos, kurios įtrauktos į savivaldybės biudžetą </t>
    </r>
    <r>
      <rPr>
        <b/>
        <sz val="10"/>
        <rFont val="Times New Roman"/>
        <family val="1"/>
        <charset val="186"/>
      </rPr>
      <t>SB(ES)</t>
    </r>
  </si>
  <si>
    <t>Valstybės deleguotų funkcijų vykdymas: žemės ūkio priemonių vykdymas</t>
  </si>
  <si>
    <t>Išnuomota autotransporto (elektromobilių) priemonių, vnt.</t>
  </si>
  <si>
    <t>1/31</t>
  </si>
  <si>
    <t>Apmokyta darbuotojų ir  mokymų programų skaičius</t>
  </si>
  <si>
    <t>Civilinės saugos funkcijos užtikrinimas</t>
  </si>
  <si>
    <t xml:space="preserve">Įsigyta sulankstomų lovų (300 vnt.) ir miegmaišių (300 vnt.), vnt. </t>
  </si>
  <si>
    <t>P1</t>
  </si>
  <si>
    <t xml:space="preserve">Įgyvendintas civilinės saugos funkcijos užtikrinimo rinkodaros priemonių paketas, vnt. </t>
  </si>
  <si>
    <t>Savivaldybės turto ir įmonių valdymo efektyvinimo koncepcijos ir priemonių plano parengimas ir įgyvendinimas</t>
  </si>
  <si>
    <t>Nuotolinių gyventojų aptarnavimo centrų koncepcijos parengimas ir įgyvendinimas</t>
  </si>
  <si>
    <t>Parengta koncepcija, vnt.</t>
  </si>
  <si>
    <t>Apskaitos skyrius</t>
  </si>
  <si>
    <t>Finansų skyrius</t>
  </si>
  <si>
    <t>P</t>
  </si>
  <si>
    <t>Seniūnaičių mokymai ir išmokų seniūnaičiams mokėjimas</t>
  </si>
  <si>
    <t>Seniūnaičių, atstovaujančių miestui, skaičius</t>
  </si>
  <si>
    <t>Tarptautinio bendradarbiavimo vystymas, atstovaujant Klaipėdos miestui  (tarptautinės organizacijos – Cruise Baltic – CB, EUROCITIES, Union of the Baltic Cities – UBC, Baltic Sail,  European Cities Against Drugs – ECAD, Healthy Cities network – WHO, Kommunnes Internasjonale Miljoorganisasjon – KIMO, Istoriniųi miestų lyga – IMLA, Žydų kultūros paveldo Europoje asociacija, Tall Ships Races Europe Ltd. (Sail Training International – STI))</t>
  </si>
  <si>
    <t>Parengta koncepcija ir priemonių planas, vnt.</t>
  </si>
  <si>
    <t>Jaunimo ir bendruomenių reikalų koordinavimo grupė</t>
  </si>
  <si>
    <t>Bendrasis skyrius</t>
  </si>
  <si>
    <t>Informacinių technologijų skyrius</t>
  </si>
  <si>
    <t>Finansų  skyrius</t>
  </si>
  <si>
    <t xml:space="preserve">Ekonominės plėtros grupė </t>
  </si>
  <si>
    <t>Turto valdymo skyrius</t>
  </si>
  <si>
    <t>Statinių administravimo skyrius</t>
  </si>
  <si>
    <t>Statybos leidimų ir statinių priežiūros skyrius</t>
  </si>
  <si>
    <t>Ekstremalios situacijos, susijusios su COVID-19 paplitimu, valdymo ir  pasekmių likvidavimo priemonių vykdymas</t>
  </si>
  <si>
    <t>Vykdomų priemonių skaičius, vnt.</t>
  </si>
  <si>
    <t>11</t>
  </si>
  <si>
    <t>Eksploatuojama akustinių sirenų, vnt.</t>
  </si>
  <si>
    <t>Ekonominės plėtros grupė</t>
  </si>
  <si>
    <r>
      <t xml:space="preserve">Kiti finansavimo šaltiniai </t>
    </r>
    <r>
      <rPr>
        <b/>
        <sz val="10"/>
        <rFont val="Times New Roman"/>
        <family val="1"/>
        <charset val="186"/>
      </rPr>
      <t>Kt</t>
    </r>
  </si>
  <si>
    <t>Įsigyta inventoriaus, vnt.</t>
  </si>
  <si>
    <t>Civilinės atsakomybės draudimo įsigijimas</t>
  </si>
  <si>
    <t>Įsigytas civilinės atsakomybės draudimas (Administracinių nusižengimų kodekso ginčams nagrinėti), vnt.</t>
  </si>
  <si>
    <t>Sertifikuota atskirų metodų vidinių lyderių, skaičius</t>
  </si>
  <si>
    <t xml:space="preserve">Duomenų apsaugos pareigūno paslaugų centralizuotas teikimas savivaldybės biudžetinėms įstaigoms </t>
  </si>
  <si>
    <t>Įsigyta socialinės reklamos mieste paslaugų, vnt.</t>
  </si>
  <si>
    <t>Mokymų (specifiniai mokymai atestatams ir licencijoms įgyti, naujų darbuotojų adaptavimas) organizavimas</t>
  </si>
  <si>
    <t>Įsigytas Viešųjų pirkimų komisijos civilinės atsakomybės draudimas, vnt.</t>
  </si>
  <si>
    <t xml:space="preserve">Biudžetinės įstaigos, turinčios duomenų apsaugos paslaugas, vnt. </t>
  </si>
  <si>
    <t>Klaipėdos regiono plėtros tarybos kaip Klaipėdos miesto savivaldybės stojamasis įnašo mokėjimas</t>
  </si>
  <si>
    <t>Duomenų apsaugos pareigūnė</t>
  </si>
  <si>
    <t>KSP reprezentacinių priemonių vykdymas, vnt.</t>
  </si>
  <si>
    <t>Strateginio plėtros plano viešinimo renginys, vnt.</t>
  </si>
  <si>
    <t>Archyvo patalpų H. Manto g. 51 remontas</t>
  </si>
  <si>
    <t>Suremontuota patalpų ploto, kv. m</t>
  </si>
  <si>
    <t>Suremontuota stogo ploto, kv. m</t>
  </si>
  <si>
    <t>Transliuota radijo reportažų, vnt.</t>
  </si>
  <si>
    <t>Teismo sprendimų vykdymas, vnt.</t>
  </si>
  <si>
    <t>Klaipėdos regiono plėtros tarybos įsteigimas</t>
  </si>
  <si>
    <t>VALDYMO PROGRAMOS (NR. 03)</t>
  </si>
  <si>
    <t>Strateginis tikslas 01. Didinti miesto konkurencingumą, kryptingai vystant infrastruktūrą ir sudarant palankias sąlygas verslui</t>
  </si>
  <si>
    <t>Socialinių išmokų poskyrio Laukininkų g. 19A remontas</t>
  </si>
  <si>
    <t>SB(S)</t>
  </si>
  <si>
    <r>
      <t xml:space="preserve">Savivaldybei piniginei socialinei paramai finansuoti skirtos lėšos </t>
    </r>
    <r>
      <rPr>
        <b/>
        <sz val="10"/>
        <rFont val="Times New Roman"/>
        <family val="1"/>
        <charset val="186"/>
      </rPr>
      <t>SB(S)</t>
    </r>
  </si>
  <si>
    <t>Koncepto parengimas, vnt.</t>
  </si>
  <si>
    <t xml:space="preserve">3. Asociacija „Klaipėdos regionas“ </t>
  </si>
  <si>
    <t>Savivaldybės administracijos direktorius – programų sąmatų tvirtinimas</t>
  </si>
  <si>
    <t xml:space="preserve">Bendrasis skyrius </t>
  </si>
  <si>
    <t>Tarybos sekretorius</t>
  </si>
  <si>
    <t>Produkto kriterijaus</t>
  </si>
  <si>
    <t>Parengtas tvarkos aprašas, vnt.</t>
  </si>
  <si>
    <t>Dalinio finansavimo paraiškų priėmimo centralizavimas</t>
  </si>
  <si>
    <t xml:space="preserve">Klaipėdos miesto savivaldybės įstaigų, įmonių veiklos bei turto valdymo optimizavimo veiklos plano įgyvendinimas </t>
  </si>
  <si>
    <t xml:space="preserve">Klaipėdiečio kortelės koncepcijos sukūrimas ir sistemos įdiegimas </t>
  </si>
  <si>
    <t>Apskaitos skyrius –  programos sąmatų tvirtinimas, Tarybos sekretoriatas –  priemonės vykdymas</t>
  </si>
  <si>
    <t>Pastatų pripažinimo tinkamais naudoti dokumentų rengimas, vnt.</t>
  </si>
  <si>
    <t>Dalinio finansavimo paraiškų informacinės sistemos įsigijimas, vnt.</t>
  </si>
  <si>
    <t>Kaupinių testavimui ir paviršių tyrimams planuojamų įsigyti priemonių skaičius, vnt.</t>
  </si>
  <si>
    <t>planas</t>
  </si>
  <si>
    <t xml:space="preserve">Turto valdymo skyrius                             </t>
  </si>
  <si>
    <t>Projekto URBACT III „Darnaus vystymosi tikslų bandomasis tinklas“ įgyvendinimas</t>
  </si>
  <si>
    <t>Įgyvendintas projektas, vnt.</t>
  </si>
  <si>
    <t>Priemonės požymis*</t>
  </si>
  <si>
    <t>Vykdytojas (skyrius/asmuo)</t>
  </si>
  <si>
    <t>Asignavimai 2021-iesiems metams**</t>
  </si>
  <si>
    <t>Lėšų poreikis biudžetiniams 2022-iesiems metams</t>
  </si>
  <si>
    <t>2024-ųjų metų lėšų projektas</t>
  </si>
  <si>
    <t>Asignavimai 2021-iesiems metams</t>
  </si>
  <si>
    <r>
      <t xml:space="preserve">Apyvartos lėšų likutis </t>
    </r>
    <r>
      <rPr>
        <b/>
        <sz val="10"/>
        <rFont val="Times New Roman"/>
        <family val="1"/>
        <charset val="186"/>
      </rPr>
      <t>SB(L)</t>
    </r>
  </si>
  <si>
    <t>2021-ieji metai**</t>
  </si>
  <si>
    <t>2022-ieji metai</t>
  </si>
  <si>
    <t>2023-ieji metai</t>
  </si>
  <si>
    <t>2024-ieji metai</t>
  </si>
  <si>
    <t xml:space="preserve">2021–2024 M. KLAIPĖDOS MIESTO SAVIVALDYBĖS  </t>
  </si>
  <si>
    <t>200/35</t>
  </si>
  <si>
    <t>Nacionalinių kanalų, kuriais viešinama informacija apie Klaipėdos miesto privalumus, skaičius</t>
  </si>
  <si>
    <t>Kontrolės ir audito tarnybos finansinio, ūkinio bei materialinio aptarnavimo užtikrinimas</t>
  </si>
  <si>
    <t>Kontrolės ir audito tarnybos darbuotojų skaičius</t>
  </si>
  <si>
    <t>Kontrolės ir audito tarnyba</t>
  </si>
  <si>
    <t>140/26</t>
  </si>
  <si>
    <t>Atliktas savivaldybės darbuotojų mikroklimato tyrimas, vnt.</t>
  </si>
  <si>
    <t>Atliktas patalpų Galinio Pylimo g. 3 grindų remontas. Užbaigtumas, proc.</t>
  </si>
  <si>
    <t>LED panelės, vnt.</t>
  </si>
  <si>
    <t>Pasirašyta paskolų sutarčių, skaičius</t>
  </si>
  <si>
    <t>T</t>
  </si>
  <si>
    <t>Pastato Danės g. 17 stogo remontas</t>
  </si>
  <si>
    <t>N</t>
  </si>
  <si>
    <t>Parengtas projektas, vnt.</t>
  </si>
  <si>
    <t>Atlikta remonto darbų. Užbaigtumas, proc.</t>
  </si>
  <si>
    <t>Atsinaujinančių energijos išteklių (saulės) įrengimas ir priežiūra</t>
  </si>
  <si>
    <t>Parengta paraiškų, vnt.</t>
  </si>
  <si>
    <t>Įvertinta statinių, skaičius</t>
  </si>
  <si>
    <t xml:space="preserve">Atlikta Danės upės krantinės dalies ekspertizė, vnt.  </t>
  </si>
  <si>
    <t>Viešųjų pirkimų skyrius</t>
  </si>
  <si>
    <t>SB'</t>
  </si>
  <si>
    <t>Vyr. patarėjas
D. Petrolevičius</t>
  </si>
  <si>
    <t>Vyr. patarėja
S. Tamašauskienė</t>
  </si>
  <si>
    <t>Įgyvendinta priemonių, proc.</t>
  </si>
  <si>
    <t>Vykdoma priemonių, vnt.</t>
  </si>
  <si>
    <t>Vyr. patarėjas
M. Martišius</t>
  </si>
  <si>
    <t>Perkraustymo paslauga, vnt.</t>
  </si>
  <si>
    <t>Įdiegta naujų informacinių sistemų, vnt.</t>
  </si>
  <si>
    <t xml:space="preserve"> Tarybos sekretoriatas  </t>
  </si>
  <si>
    <t xml:space="preserve">Atlikta pastato (Liepų g. 3) remonto darbų. Užbaigtumas, proc. </t>
  </si>
  <si>
    <t>Mokymai vidaus kontrolės klausimais  pavaldžiose savivaldybės įstaigose, įstaigų skaičius</t>
  </si>
  <si>
    <t>Techninės specifikacijos ir pirkimo sąlygų parengimas, vnt.</t>
  </si>
  <si>
    <t xml:space="preserve">Lietuvoje veikiančių asociacijų, kurių narė yra savivaldybė, skaičius:
1. Lietuvos savivaldybių asociacija – LSA
2. Klaipėdos miesto integruotų investicijų teritorijos vietos veikos grupė – VVG
</t>
  </si>
  <si>
    <t xml:space="preserve">Vyr. patarėja
S. Tamašauskienė
 Turto valdymo skyrius          </t>
  </si>
  <si>
    <t>Įdiegta sistema, vnt.</t>
  </si>
  <si>
    <t>Savivaldybės informacijos transliacijų viešojo transporto ekranuose, tūkst. vnt.</t>
  </si>
  <si>
    <t>Savivaldybės ir jai pavaldžių organizacijų viešųjų pirkimų procesų analizės ir centralizavimo strategijos parengimas</t>
  </si>
  <si>
    <t>160/28</t>
  </si>
  <si>
    <t>2023-iųjų metų lėšų projektas</t>
  </si>
  <si>
    <t>* Nurodoma: 1) ar priemonė nauja (N), ar tęstinė (T); 
                     2) ar projektas investicinis (I);
                     3) KMS 2021–2030 m. Strateginio plėtros plano priemonės, kuri įgyvendinama per šį (n-1)–(n+2) metų SVP, eil. Nr.</t>
  </si>
  <si>
    <t>** Pagal Klaipėdos miesto savivaldybės tarybos sprendimus: 2021-02-25 Nr. T2-24, 2021-04-29 Nr. T2-90; 2021-06-22 Nr. T2-157; 2021-09-30 Nr. T2-192; 2021-11-25 Nr. T2-247; 2021-12-22 Nr. T2-292.</t>
  </si>
  <si>
    <t>SAVIVALDYBĖS LĖŠOS, IŠ VISO:</t>
  </si>
  <si>
    <t>Išsinuomota ir užpildyta stelažų dokumentų saugojimui (archyvo veiklai), m</t>
  </si>
  <si>
    <t>Transliuota vaizdo reportažų, vnt.</t>
  </si>
  <si>
    <t>Išversta į užsienio kalbas savivaldybės teikiamų elektroninių paslaugų formų (pranešimų) ir jų paskelbta savivaldybės interneto svetainėje, vnt.</t>
  </si>
  <si>
    <t>Energinių išteklių išlaidų kompensavimas už 2018–2021 m. periodą, proc.</t>
  </si>
  <si>
    <t>Savivaldybės administracijos patalpų, pastato nuomos ar įsigijimo pirkimo dokumentų rengimas, vnt.</t>
  </si>
  <si>
    <t>Suremontuota patalpų (Debreceno g. 41) ploto, kv. m</t>
  </si>
  <si>
    <t>Įstaigų, kuriose įdiegta personalo valdymo informacinė sistema (Savivaldybės administracija ir 116 biudžetinių įstaigų), skaičius
Įstaigų, kuriose įdiegta personalo valdymo informacinė sistema (Savivaldybės administracija ir 116 biudžetinė įstaiga), skaičius</t>
  </si>
  <si>
    <t>Įstaigų, kuriose įdiegta dokumentų valdymo informacinė sistema (116 biudžetinių įstaigų), skaičius</t>
  </si>
  <si>
    <t>Interneto platformos „Consul“ įdiegimas, vnt.</t>
  </si>
  <si>
    <t>Išplatinta klaipėdiečio kortelė, tūkst. vnt.</t>
  </si>
  <si>
    <t>Socialinės paramos skyriaus ir Klientų aptarnavimo centro patalpų nuomos sutarties sudarymas ir vykdymas, vnt.</t>
  </si>
  <si>
    <t>Organizuoti savivaldybės veiklos bendrųjų funkcijų vykdymą</t>
  </si>
  <si>
    <t>Kurti savivaldybės valdymo sistemą, patogią verslui ir gyventojams</t>
  </si>
  <si>
    <t>Sveikatos apsaugos skyrius – priemonės vykdymas, Planavimo ir analizės skyrius –  programos sąmatos tvirtintojas</t>
  </si>
  <si>
    <t>Viešųjų ryšių plėtojimas (gyventojų apklausos, nuomonių tyrimai,  informacijos sklaida žiniasklaidos priemonėse, savivaldybės skelbimų publikavimas, rinkodaros ir reprezentacinių  priemonių vykdymas ir kt.)</t>
  </si>
  <si>
    <t>Klaipėdos miesto savivaldybės 2021–2030 metų strateginio plėtros plano parengimas</t>
  </si>
  <si>
    <t>Klaipėdos miesto savivaldybės 2021–2030 metų strateginio plėtros plano viešinimas</t>
  </si>
  <si>
    <t>Socialinės paramos skyriaus perkėlimas į nuomojamas patalpas ir Klientų aptarnavimo centro įkūrimas</t>
  </si>
  <si>
    <t xml:space="preserve">Naujo administracinio pastato su klientų aptarnavimo centru statyba arba pirkimas </t>
  </si>
  <si>
    <r>
      <t xml:space="preserve">Kelių priežiūros ir plėtros programos lėšos, įtrauktos į savivaldybės biudžetą </t>
    </r>
    <r>
      <rPr>
        <b/>
        <sz val="10"/>
        <rFont val="Times New Roman"/>
        <family val="1"/>
        <charset val="186"/>
      </rPr>
      <t>SB(KPP)</t>
    </r>
  </si>
  <si>
    <t xml:space="preserve">2022–2024 M. KLAIPĖDOS MIESTO SAVIVALDYBĖS  </t>
  </si>
  <si>
    <t>Klaipėdos miesto savivaldybės valdymo programos (Nr. 03) aprašymo</t>
  </si>
  <si>
    <t>priedas</t>
  </si>
  <si>
    <t>SB(S)'</t>
  </si>
  <si>
    <t>SB(VR)'</t>
  </si>
  <si>
    <t>SB(VRL)'</t>
  </si>
  <si>
    <t>SB(VB)'</t>
  </si>
  <si>
    <t>SB(L)'</t>
  </si>
  <si>
    <t>SB(SP)'</t>
  </si>
  <si>
    <t>SB(KPP)'</t>
  </si>
  <si>
    <t>SB(SPL)'</t>
  </si>
  <si>
    <t>Aiškinamojo rašto 3 priedas</t>
  </si>
  <si>
    <t>Savivaldybės administracijos veiklos valdymo tobulinimas:</t>
  </si>
  <si>
    <t>* N – nauja priemonė, T– tęstinė priemonė, I – investicijų projektas.</t>
  </si>
  <si>
    <t>Išnuomota elektromobilių, vnt.</t>
  </si>
  <si>
    <t>Išnuomota autotransporto priemonių, vnt.</t>
  </si>
  <si>
    <t>Klaipėdos miesto duomenų politikos parengimas</t>
  </si>
  <si>
    <t>Parengta duomenų politika, vnt.</t>
  </si>
  <si>
    <t>Humanitarinės pagalbos ir kitos paramos teikimas Ukrainos gyventojams, nukentėjusiems nuo Rusijos Federacijos karinių veiksmų Ukrainoje</t>
  </si>
  <si>
    <t xml:space="preserve">Suteikta humanitarinė pagalba Odesos miestui, proc. </t>
  </si>
  <si>
    <t>Suteikta sveikatos priežiūros paslaugų, proc.</t>
  </si>
  <si>
    <t>Sukurta 4 ir 5 brandos lygio elektroninių paslaugų, vnt.</t>
  </si>
  <si>
    <t>Elektroninių paslaugų plėtra</t>
  </si>
  <si>
    <t>Nupirkta pabėgėlių apgyvendinimo paslauga, vnt.</t>
  </si>
  <si>
    <t>Perimtas BUAB „Geoterma“ turtas, proc.</t>
  </si>
  <si>
    <t>Įdiegta ir veikianti skaitmenizuota projektų valdymo sistema, vnt.</t>
  </si>
  <si>
    <t>Užtikrinta Pabėgėlių registracijos centro veikla, proc.</t>
  </si>
  <si>
    <t>Robotizuota ar automatizuota veiklos procesų,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</si>
</sst>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27"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sz val="8"/>
      <name val="Times New Roman"/>
      <family val="1"/>
      <charset val="186"/>
    </font>
    <font>
      <sz val="10"/>
      <name val="Times New Roman"/>
      <family val="1"/>
    </font>
    <font>
      <sz val="10"/>
      <name val="Arial"/>
      <family val="2"/>
      <charset val="186"/>
    </font>
    <font>
      <sz val="9"/>
      <name val="Times New Roman"/>
      <family val="1"/>
    </font>
    <font>
      <b/>
      <sz val="9"/>
      <color indexed="81"/>
      <name val="Tahoma"/>
      <family val="2"/>
      <charset val="186"/>
    </font>
    <font>
      <sz val="11"/>
      <name val="Calibri"/>
      <family val="2"/>
      <charset val="186"/>
      <scheme val="minor"/>
    </font>
    <font>
      <sz val="9"/>
      <color indexed="81"/>
      <name val="Tahoma"/>
      <family val="2"/>
      <charset val="186"/>
    </font>
    <font>
      <i/>
      <sz val="10"/>
      <name val="Times New Roman"/>
      <family val="1"/>
      <charset val="186"/>
    </font>
    <font>
      <sz val="7"/>
      <color indexed="81"/>
      <name val="Tahoma"/>
      <family val="2"/>
      <charset val="186"/>
    </font>
    <font>
      <i/>
      <sz val="9"/>
      <name val="Times New Roman"/>
      <family val="1"/>
      <charset val="186"/>
    </font>
    <font>
      <sz val="12"/>
      <name val="Times New Roman"/>
      <family val="1"/>
      <charset val="186"/>
    </font>
    <font>
      <sz val="12"/>
      <name val="Arial"/>
      <family val="2"/>
      <charset val="186"/>
    </font>
    <font>
      <b/>
      <sz val="12"/>
      <name val="Times New Roman"/>
      <family val="1"/>
      <charset val="186"/>
    </font>
    <font>
      <sz val="10"/>
      <color rgb="FFFF0000"/>
      <name val="Times New Roman"/>
      <family val="1"/>
      <charset val="186"/>
    </font>
    <font>
      <sz val="12"/>
      <name val="Times New Roman"/>
      <family val="1"/>
    </font>
    <font>
      <sz val="10"/>
      <color theme="1"/>
      <name val="Times New Roman"/>
      <family val="1"/>
      <charset val="186"/>
    </font>
    <font>
      <b/>
      <sz val="10"/>
      <name val="Times New Roman"/>
      <family val="1"/>
    </font>
    <font>
      <sz val="11"/>
      <name val="Times New Roman"/>
      <family val="1"/>
      <charset val="186"/>
    </font>
    <font>
      <sz val="10"/>
      <color theme="0"/>
      <name val="Times New Roman"/>
      <family val="1"/>
      <charset val="186"/>
    </font>
    <font>
      <sz val="9"/>
      <color theme="0"/>
      <name val="Times New Roman"/>
      <family val="1"/>
      <charset val="186"/>
    </font>
    <font>
      <b/>
      <sz val="10"/>
      <color rgb="FFFF0000"/>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12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hair">
        <color auto="1"/>
      </bottom>
      <diagonal/>
    </border>
    <border>
      <left style="thin">
        <color indexed="64"/>
      </left>
      <right style="thin">
        <color indexed="64"/>
      </right>
      <top/>
      <bottom style="hair">
        <color auto="1"/>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bottom style="hair">
        <color auto="1"/>
      </bottom>
      <diagonal/>
    </border>
    <border>
      <left style="medium">
        <color indexed="64"/>
      </left>
      <right/>
      <top style="hair">
        <color indexed="64"/>
      </top>
      <bottom style="thin">
        <color indexed="64"/>
      </bottom>
      <diagonal/>
    </border>
  </borders>
  <cellStyleXfs count="5">
    <xf numFmtId="0" fontId="0" fillId="0" borderId="0"/>
    <xf numFmtId="164" fontId="1" fillId="0" borderId="0" applyFont="0" applyFill="0" applyBorder="0" applyAlignment="0" applyProtection="0"/>
    <xf numFmtId="0" fontId="8" fillId="0" borderId="0"/>
    <xf numFmtId="0" fontId="8" fillId="0" borderId="0"/>
    <xf numFmtId="0" fontId="8" fillId="0" borderId="0"/>
  </cellStyleXfs>
  <cellXfs count="1396">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Border="1" applyAlignment="1">
      <alignment vertical="top"/>
    </xf>
    <xf numFmtId="49" fontId="4" fillId="4" borderId="29" xfId="0" applyNumberFormat="1" applyFont="1" applyFill="1" applyBorder="1" applyAlignment="1">
      <alignment horizontal="left" vertical="top"/>
    </xf>
    <xf numFmtId="49" fontId="4" fillId="5" borderId="14" xfId="0" applyNumberFormat="1" applyFont="1" applyFill="1" applyBorder="1" applyAlignment="1">
      <alignment horizontal="left" vertical="top"/>
    </xf>
    <xf numFmtId="49" fontId="4" fillId="4" borderId="8" xfId="0" applyNumberFormat="1" applyFont="1" applyFill="1" applyBorder="1" applyAlignment="1">
      <alignment vertical="top"/>
    </xf>
    <xf numFmtId="49" fontId="4" fillId="5" borderId="9" xfId="0" applyNumberFormat="1" applyFont="1" applyFill="1" applyBorder="1" applyAlignment="1">
      <alignment vertical="top"/>
    </xf>
    <xf numFmtId="3" fontId="2" fillId="4" borderId="11" xfId="0" applyNumberFormat="1" applyFont="1" applyFill="1" applyBorder="1" applyAlignment="1">
      <alignment vertical="top"/>
    </xf>
    <xf numFmtId="3" fontId="2" fillId="7" borderId="9" xfId="0" applyNumberFormat="1" applyFont="1" applyFill="1" applyBorder="1" applyAlignment="1">
      <alignment vertical="top"/>
    </xf>
    <xf numFmtId="3" fontId="4" fillId="4" borderId="8" xfId="0" applyNumberFormat="1" applyFont="1" applyFill="1" applyBorder="1" applyAlignment="1">
      <alignment vertical="top"/>
    </xf>
    <xf numFmtId="3" fontId="4" fillId="5" borderId="9" xfId="0" applyNumberFormat="1" applyFont="1" applyFill="1" applyBorder="1" applyAlignment="1">
      <alignment vertical="top"/>
    </xf>
    <xf numFmtId="3" fontId="4" fillId="5" borderId="10" xfId="0" applyNumberFormat="1" applyFont="1" applyFill="1" applyBorder="1" applyAlignment="1">
      <alignment vertical="top"/>
    </xf>
    <xf numFmtId="3" fontId="4" fillId="4" borderId="11" xfId="0" applyNumberFormat="1" applyFont="1" applyFill="1" applyBorder="1" applyAlignment="1">
      <alignment horizontal="center" vertical="top"/>
    </xf>
    <xf numFmtId="3" fontId="4" fillId="4" borderId="22" xfId="0" applyNumberFormat="1" applyFont="1" applyFill="1" applyBorder="1" applyAlignment="1">
      <alignment horizontal="center" vertical="top"/>
    </xf>
    <xf numFmtId="3" fontId="4" fillId="5" borderId="57" xfId="0" applyNumberFormat="1" applyFont="1" applyFill="1" applyBorder="1" applyAlignment="1">
      <alignment horizontal="center" vertical="top"/>
    </xf>
    <xf numFmtId="0" fontId="2" fillId="0" borderId="0" xfId="0" applyFont="1" applyFill="1" applyBorder="1" applyAlignment="1">
      <alignment vertical="top"/>
    </xf>
    <xf numFmtId="3" fontId="4" fillId="4" borderId="2" xfId="0" applyNumberFormat="1" applyFont="1" applyFill="1" applyBorder="1" applyAlignment="1">
      <alignment vertical="top"/>
    </xf>
    <xf numFmtId="3" fontId="4" fillId="5" borderId="3" xfId="0" applyNumberFormat="1" applyFont="1" applyFill="1" applyBorder="1" applyAlignment="1">
      <alignment vertical="top"/>
    </xf>
    <xf numFmtId="3" fontId="2" fillId="0" borderId="0" xfId="0" applyNumberFormat="1" applyFont="1" applyFill="1" applyBorder="1" applyAlignment="1">
      <alignment horizontal="right" vertical="top"/>
    </xf>
    <xf numFmtId="3" fontId="4" fillId="5" borderId="57" xfId="0" applyNumberFormat="1" applyFont="1" applyFill="1" applyBorder="1" applyAlignment="1">
      <alignment vertical="top"/>
    </xf>
    <xf numFmtId="3" fontId="2" fillId="0" borderId="0" xfId="0" applyNumberFormat="1" applyFont="1" applyFill="1" applyBorder="1" applyAlignment="1">
      <alignment vertical="top"/>
    </xf>
    <xf numFmtId="0" fontId="6" fillId="0" borderId="0" xfId="0" applyFont="1" applyBorder="1" applyAlignment="1">
      <alignment vertical="top"/>
    </xf>
    <xf numFmtId="3" fontId="4" fillId="4" borderId="60" xfId="0" applyNumberFormat="1" applyFont="1" applyFill="1" applyBorder="1" applyAlignment="1">
      <alignment horizontal="center" vertical="top"/>
    </xf>
    <xf numFmtId="3" fontId="4" fillId="5" borderId="61" xfId="0" applyNumberFormat="1" applyFont="1" applyFill="1" applyBorder="1" applyAlignment="1">
      <alignment horizontal="center" vertical="top"/>
    </xf>
    <xf numFmtId="3" fontId="4" fillId="5" borderId="64" xfId="0" applyNumberFormat="1" applyFont="1" applyFill="1" applyBorder="1" applyAlignment="1">
      <alignment horizontal="center" vertical="top"/>
    </xf>
    <xf numFmtId="3" fontId="2" fillId="0" borderId="0" xfId="0" applyNumberFormat="1" applyFont="1" applyBorder="1" applyAlignment="1">
      <alignment vertical="top"/>
    </xf>
    <xf numFmtId="0" fontId="2" fillId="6" borderId="12" xfId="0" applyFont="1" applyFill="1" applyBorder="1" applyAlignment="1">
      <alignment horizontal="center" vertical="top"/>
    </xf>
    <xf numFmtId="3" fontId="4" fillId="6" borderId="55" xfId="0" applyNumberFormat="1" applyFont="1" applyFill="1" applyBorder="1" applyAlignment="1">
      <alignment vertical="top" wrapText="1"/>
    </xf>
    <xf numFmtId="3" fontId="4" fillId="3" borderId="60" xfId="0" applyNumberFormat="1" applyFont="1" applyFill="1" applyBorder="1" applyAlignment="1">
      <alignment horizontal="center" vertical="top"/>
    </xf>
    <xf numFmtId="3" fontId="4" fillId="0"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3" fontId="2" fillId="0" borderId="0" xfId="0" applyNumberFormat="1" applyFont="1" applyFill="1" applyBorder="1" applyAlignment="1">
      <alignment horizontal="center" vertical="top"/>
    </xf>
    <xf numFmtId="3" fontId="2" fillId="0" borderId="0" xfId="0" applyNumberFormat="1" applyFont="1" applyAlignment="1">
      <alignment vertical="top"/>
    </xf>
    <xf numFmtId="3" fontId="2" fillId="0" borderId="0" xfId="0" applyNumberFormat="1" applyFont="1" applyAlignment="1">
      <alignment horizontal="center" vertical="top"/>
    </xf>
    <xf numFmtId="3" fontId="6" fillId="0" borderId="0" xfId="0" applyNumberFormat="1" applyFont="1" applyAlignment="1">
      <alignment vertical="top"/>
    </xf>
    <xf numFmtId="0" fontId="6" fillId="0" borderId="0" xfId="0" applyFont="1" applyAlignment="1">
      <alignment vertical="top"/>
    </xf>
    <xf numFmtId="3" fontId="3" fillId="0" borderId="0" xfId="0" applyNumberFormat="1" applyFont="1" applyAlignment="1">
      <alignment vertical="top"/>
    </xf>
    <xf numFmtId="3" fontId="6" fillId="0" borderId="0" xfId="0" applyNumberFormat="1" applyFont="1" applyAlignment="1">
      <alignment horizontal="center" vertical="top"/>
    </xf>
    <xf numFmtId="3" fontId="2" fillId="6" borderId="12"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166" fontId="4" fillId="3" borderId="45" xfId="0" applyNumberFormat="1" applyFont="1" applyFill="1" applyBorder="1" applyAlignment="1">
      <alignment horizontal="center" vertical="top" wrapText="1"/>
    </xf>
    <xf numFmtId="3" fontId="4" fillId="6" borderId="0" xfId="0" applyNumberFormat="1" applyFont="1" applyFill="1" applyBorder="1" applyAlignment="1">
      <alignment horizontal="center" vertical="top"/>
    </xf>
    <xf numFmtId="0" fontId="11" fillId="0" borderId="0" xfId="0" applyFont="1"/>
    <xf numFmtId="3" fontId="11" fillId="0" borderId="0" xfId="0" applyNumberFormat="1" applyFont="1"/>
    <xf numFmtId="3" fontId="6" fillId="0" borderId="0" xfId="0" applyNumberFormat="1" applyFont="1" applyFill="1" applyAlignment="1">
      <alignment vertical="top"/>
    </xf>
    <xf numFmtId="166" fontId="4" fillId="3" borderId="52" xfId="0" applyNumberFormat="1" applyFont="1" applyFill="1" applyBorder="1" applyAlignment="1">
      <alignment horizontal="center" vertical="top" wrapText="1"/>
    </xf>
    <xf numFmtId="166" fontId="4" fillId="9" borderId="45" xfId="0" applyNumberFormat="1" applyFont="1" applyFill="1" applyBorder="1" applyAlignment="1">
      <alignment horizontal="center" vertical="top" wrapText="1"/>
    </xf>
    <xf numFmtId="166" fontId="2" fillId="0" borderId="45" xfId="0" applyNumberFormat="1" applyFont="1" applyBorder="1" applyAlignment="1">
      <alignment horizontal="center" vertical="top" wrapText="1"/>
    </xf>
    <xf numFmtId="166" fontId="4" fillId="9" borderId="56" xfId="0" applyNumberFormat="1" applyFont="1" applyFill="1" applyBorder="1" applyAlignment="1">
      <alignment horizontal="center" vertical="top" wrapText="1"/>
    </xf>
    <xf numFmtId="3" fontId="9" fillId="6" borderId="12" xfId="0" applyNumberFormat="1" applyFont="1" applyFill="1" applyBorder="1" applyAlignment="1">
      <alignment horizontal="left" vertical="top" wrapText="1"/>
    </xf>
    <xf numFmtId="3" fontId="4" fillId="6" borderId="12" xfId="1" applyNumberFormat="1" applyFont="1" applyFill="1" applyBorder="1" applyAlignment="1">
      <alignment horizontal="center" vertical="top"/>
    </xf>
    <xf numFmtId="3" fontId="4" fillId="0" borderId="0" xfId="0" applyNumberFormat="1" applyFont="1" applyFill="1" applyBorder="1" applyAlignment="1">
      <alignment horizontal="center" vertical="top"/>
    </xf>
    <xf numFmtId="166" fontId="11" fillId="0" borderId="0" xfId="0" applyNumberFormat="1" applyFont="1"/>
    <xf numFmtId="166" fontId="4" fillId="0" borderId="0" xfId="0" applyNumberFormat="1" applyFont="1" applyFill="1" applyBorder="1" applyAlignment="1">
      <alignment horizontal="center" vertical="top"/>
    </xf>
    <xf numFmtId="3" fontId="4" fillId="6" borderId="27" xfId="0" applyNumberFormat="1" applyFont="1" applyFill="1" applyBorder="1" applyAlignment="1">
      <alignment horizontal="center" vertical="top"/>
    </xf>
    <xf numFmtId="49" fontId="2" fillId="6" borderId="9" xfId="0" applyNumberFormat="1" applyFont="1" applyFill="1" applyBorder="1" applyAlignment="1">
      <alignment horizontal="center" vertical="top"/>
    </xf>
    <xf numFmtId="166" fontId="2" fillId="0" borderId="0" xfId="0" applyNumberFormat="1" applyFont="1" applyAlignment="1">
      <alignment vertical="top"/>
    </xf>
    <xf numFmtId="49" fontId="4" fillId="5" borderId="61" xfId="0" applyNumberFormat="1" applyFont="1" applyFill="1" applyBorder="1" applyAlignment="1">
      <alignment horizontal="center" vertical="top"/>
    </xf>
    <xf numFmtId="3" fontId="4" fillId="6" borderId="66" xfId="0" applyNumberFormat="1" applyFont="1" applyFill="1" applyBorder="1" applyAlignment="1">
      <alignment horizontal="center" vertical="top"/>
    </xf>
    <xf numFmtId="3" fontId="2" fillId="6" borderId="52" xfId="0" applyNumberFormat="1" applyFont="1" applyFill="1" applyBorder="1" applyAlignment="1">
      <alignment horizontal="center" vertical="top" wrapText="1"/>
    </xf>
    <xf numFmtId="3" fontId="4" fillId="6" borderId="21" xfId="0" applyNumberFormat="1" applyFont="1" applyFill="1" applyBorder="1" applyAlignment="1">
      <alignment horizontal="center" vertical="top"/>
    </xf>
    <xf numFmtId="3" fontId="2" fillId="0" borderId="0" xfId="0" applyNumberFormat="1" applyFont="1" applyFill="1" applyAlignment="1">
      <alignment vertical="top"/>
    </xf>
    <xf numFmtId="0" fontId="2" fillId="6" borderId="30" xfId="0" applyFont="1" applyFill="1" applyBorder="1" applyAlignment="1">
      <alignment horizontal="center" vertical="top"/>
    </xf>
    <xf numFmtId="166" fontId="4" fillId="9" borderId="1" xfId="0" applyNumberFormat="1" applyFont="1" applyFill="1" applyBorder="1" applyAlignment="1">
      <alignment horizontal="center" vertical="top"/>
    </xf>
    <xf numFmtId="3" fontId="4" fillId="5" borderId="59" xfId="0" applyNumberFormat="1" applyFont="1" applyFill="1" applyBorder="1" applyAlignment="1">
      <alignment horizontal="center" vertical="top"/>
    </xf>
    <xf numFmtId="3" fontId="2" fillId="0" borderId="52" xfId="0" applyNumberFormat="1" applyFont="1" applyFill="1" applyBorder="1" applyAlignment="1">
      <alignment horizontal="center" vertical="top" wrapText="1"/>
    </xf>
    <xf numFmtId="3" fontId="4" fillId="5" borderId="51" xfId="0" applyNumberFormat="1" applyFont="1" applyFill="1" applyBorder="1" applyAlignment="1">
      <alignment horizontal="center" vertical="top"/>
    </xf>
    <xf numFmtId="166" fontId="4" fillId="9" borderId="74" xfId="0" applyNumberFormat="1" applyFont="1" applyFill="1" applyBorder="1" applyAlignment="1">
      <alignment horizontal="center" vertical="top"/>
    </xf>
    <xf numFmtId="49" fontId="4" fillId="6" borderId="49" xfId="0" applyNumberFormat="1" applyFont="1" applyFill="1" applyBorder="1" applyAlignment="1">
      <alignment horizontal="center" vertical="top"/>
    </xf>
    <xf numFmtId="49" fontId="4" fillId="6" borderId="36" xfId="0" applyNumberFormat="1" applyFont="1" applyFill="1" applyBorder="1" applyAlignment="1">
      <alignment horizontal="center" vertical="top"/>
    </xf>
    <xf numFmtId="49" fontId="4" fillId="9" borderId="9" xfId="0" applyNumberFormat="1" applyFont="1" applyFill="1" applyBorder="1" applyAlignment="1">
      <alignment vertical="top"/>
    </xf>
    <xf numFmtId="3" fontId="4" fillId="6" borderId="27" xfId="0" applyNumberFormat="1" applyFont="1" applyFill="1" applyBorder="1" applyAlignment="1">
      <alignment vertical="top"/>
    </xf>
    <xf numFmtId="49" fontId="4" fillId="6" borderId="50" xfId="0" applyNumberFormat="1" applyFont="1" applyFill="1" applyBorder="1" applyAlignment="1">
      <alignment horizontal="center" vertical="top"/>
    </xf>
    <xf numFmtId="49" fontId="4" fillId="6" borderId="9" xfId="0" applyNumberFormat="1" applyFont="1" applyFill="1" applyBorder="1" applyAlignment="1">
      <alignment horizontal="center" vertical="top" wrapText="1"/>
    </xf>
    <xf numFmtId="3" fontId="3" fillId="6" borderId="66" xfId="0" applyNumberFormat="1" applyFont="1" applyFill="1" applyBorder="1" applyAlignment="1">
      <alignment horizontal="center" vertical="center" textRotation="90" wrapText="1"/>
    </xf>
    <xf numFmtId="3" fontId="2" fillId="6" borderId="52" xfId="1" applyNumberFormat="1" applyFont="1" applyFill="1" applyBorder="1" applyAlignment="1">
      <alignment horizontal="center" vertical="top" wrapText="1"/>
    </xf>
    <xf numFmtId="0" fontId="2" fillId="6" borderId="35" xfId="0" applyFont="1" applyFill="1" applyBorder="1" applyAlignment="1">
      <alignment horizontal="center" vertical="top"/>
    </xf>
    <xf numFmtId="0" fontId="2" fillId="6" borderId="0" xfId="0" applyFont="1" applyFill="1" applyBorder="1" applyAlignment="1">
      <alignment vertical="center" wrapText="1"/>
    </xf>
    <xf numFmtId="3" fontId="2" fillId="6" borderId="10" xfId="0" applyNumberFormat="1" applyFont="1" applyFill="1" applyBorder="1" applyAlignment="1">
      <alignment horizontal="center" vertical="top" wrapText="1"/>
    </xf>
    <xf numFmtId="49" fontId="4" fillId="6" borderId="37" xfId="0" applyNumberFormat="1" applyFont="1" applyFill="1" applyBorder="1" applyAlignment="1">
      <alignment horizontal="center" vertical="top" wrapText="1"/>
    </xf>
    <xf numFmtId="3" fontId="2" fillId="0" borderId="69" xfId="0" applyNumberFormat="1" applyFont="1" applyFill="1" applyBorder="1" applyAlignment="1">
      <alignment horizontal="left" vertical="top" wrapText="1"/>
    </xf>
    <xf numFmtId="3" fontId="2" fillId="6" borderId="49" xfId="0" applyNumberFormat="1" applyFont="1" applyFill="1" applyBorder="1" applyAlignment="1">
      <alignment vertical="top" wrapText="1"/>
    </xf>
    <xf numFmtId="3" fontId="2" fillId="6" borderId="9" xfId="0" applyNumberFormat="1" applyFont="1" applyFill="1" applyBorder="1" applyAlignment="1">
      <alignment horizontal="center" vertical="top" wrapText="1"/>
    </xf>
    <xf numFmtId="0" fontId="2" fillId="0" borderId="0" xfId="0" applyFont="1" applyAlignment="1">
      <alignment vertical="center"/>
    </xf>
    <xf numFmtId="0" fontId="2" fillId="0" borderId="0" xfId="0" applyNumberFormat="1" applyFont="1" applyAlignment="1">
      <alignment vertical="top"/>
    </xf>
    <xf numFmtId="3" fontId="4" fillId="6" borderId="37" xfId="0" applyNumberFormat="1" applyFont="1" applyFill="1" applyBorder="1" applyAlignment="1">
      <alignment horizontal="center" vertical="top"/>
    </xf>
    <xf numFmtId="0" fontId="4" fillId="6" borderId="12" xfId="0" applyFont="1" applyFill="1" applyBorder="1" applyAlignment="1">
      <alignment horizontal="left" vertical="top" wrapText="1"/>
    </xf>
    <xf numFmtId="3" fontId="2" fillId="0" borderId="0" xfId="0" applyNumberFormat="1" applyFont="1" applyBorder="1" applyAlignment="1">
      <alignment horizontal="center" vertical="top"/>
    </xf>
    <xf numFmtId="3" fontId="4" fillId="6" borderId="36" xfId="0" applyNumberFormat="1" applyFont="1" applyFill="1" applyBorder="1" applyAlignment="1">
      <alignment horizontal="center" vertical="top"/>
    </xf>
    <xf numFmtId="3" fontId="4" fillId="6" borderId="49" xfId="0" applyNumberFormat="1" applyFont="1" applyFill="1" applyBorder="1" applyAlignment="1">
      <alignment horizontal="center" vertical="top"/>
    </xf>
    <xf numFmtId="0" fontId="2" fillId="6" borderId="43" xfId="0" applyFont="1" applyFill="1" applyBorder="1" applyAlignment="1">
      <alignment horizontal="center" vertical="top"/>
    </xf>
    <xf numFmtId="0" fontId="2" fillId="6" borderId="70" xfId="0" applyFont="1" applyFill="1" applyBorder="1" applyAlignment="1">
      <alignment vertical="top" wrapText="1"/>
    </xf>
    <xf numFmtId="49" fontId="4" fillId="9" borderId="4" xfId="0" applyNumberFormat="1" applyFont="1" applyFill="1" applyBorder="1" applyAlignment="1">
      <alignment horizontal="center" vertical="top"/>
    </xf>
    <xf numFmtId="49" fontId="4" fillId="6" borderId="37" xfId="0" applyNumberFormat="1" applyFont="1" applyFill="1" applyBorder="1" applyAlignment="1">
      <alignment vertical="top"/>
    </xf>
    <xf numFmtId="3" fontId="5" fillId="6" borderId="30" xfId="0" applyNumberFormat="1" applyFont="1" applyFill="1" applyBorder="1" applyAlignment="1">
      <alignment horizontal="center" vertical="top" wrapText="1"/>
    </xf>
    <xf numFmtId="0" fontId="4" fillId="6" borderId="9" xfId="0" applyFont="1" applyFill="1" applyBorder="1" applyAlignment="1">
      <alignment horizontal="center" vertical="top" wrapText="1"/>
    </xf>
    <xf numFmtId="166" fontId="2" fillId="0" borderId="0" xfId="0" applyNumberFormat="1" applyFont="1" applyBorder="1" applyAlignment="1">
      <alignment vertical="top"/>
    </xf>
    <xf numFmtId="49" fontId="4" fillId="6" borderId="37" xfId="0" applyNumberFormat="1" applyFont="1" applyFill="1" applyBorder="1" applyAlignment="1">
      <alignment horizontal="center" vertical="center" wrapText="1"/>
    </xf>
    <xf numFmtId="49" fontId="5" fillId="6" borderId="37" xfId="0" applyNumberFormat="1" applyFont="1" applyFill="1" applyBorder="1" applyAlignment="1">
      <alignment horizontal="center" vertical="center" wrapText="1"/>
    </xf>
    <xf numFmtId="166" fontId="2" fillId="0" borderId="0" xfId="0" applyNumberFormat="1" applyFont="1" applyFill="1" applyBorder="1" applyAlignment="1">
      <alignment vertical="top"/>
    </xf>
    <xf numFmtId="49" fontId="4" fillId="4" borderId="2" xfId="0" applyNumberFormat="1" applyFont="1" applyFill="1" applyBorder="1" applyAlignment="1">
      <alignment horizontal="center" vertical="top"/>
    </xf>
    <xf numFmtId="49" fontId="4" fillId="5" borderId="3" xfId="0" applyNumberFormat="1" applyFont="1" applyFill="1" applyBorder="1" applyAlignment="1">
      <alignment horizontal="center" vertical="top"/>
    </xf>
    <xf numFmtId="49" fontId="4" fillId="6" borderId="10" xfId="0" applyNumberFormat="1" applyFont="1" applyFill="1" applyBorder="1" applyAlignment="1">
      <alignment horizontal="center" vertical="top"/>
    </xf>
    <xf numFmtId="3" fontId="4" fillId="6" borderId="3" xfId="0" applyNumberFormat="1" applyFont="1" applyFill="1" applyBorder="1" applyAlignment="1">
      <alignment vertical="top" wrapText="1"/>
    </xf>
    <xf numFmtId="0" fontId="11" fillId="6" borderId="9" xfId="0" applyFont="1" applyFill="1" applyBorder="1" applyAlignment="1">
      <alignment horizontal="center" wrapText="1"/>
    </xf>
    <xf numFmtId="3" fontId="4" fillId="6" borderId="55" xfId="0" applyNumberFormat="1" applyFont="1" applyFill="1" applyBorder="1" applyAlignment="1">
      <alignment horizontal="center" vertical="top"/>
    </xf>
    <xf numFmtId="3" fontId="4" fillId="6" borderId="10" xfId="0" applyNumberFormat="1" applyFont="1" applyFill="1" applyBorder="1" applyAlignment="1">
      <alignment horizontal="center" vertical="top"/>
    </xf>
    <xf numFmtId="3" fontId="2" fillId="6" borderId="58"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49" fontId="2" fillId="0" borderId="0" xfId="0" applyNumberFormat="1" applyFont="1" applyAlignment="1">
      <alignment vertical="top"/>
    </xf>
    <xf numFmtId="49" fontId="11" fillId="0" borderId="0" xfId="0" applyNumberFormat="1" applyFont="1"/>
    <xf numFmtId="49" fontId="2" fillId="9" borderId="0" xfId="0" applyNumberFormat="1" applyFont="1" applyFill="1" applyBorder="1" applyAlignment="1">
      <alignment vertical="top"/>
    </xf>
    <xf numFmtId="49" fontId="4" fillId="9" borderId="10" xfId="0" applyNumberFormat="1" applyFont="1" applyFill="1" applyBorder="1" applyAlignment="1">
      <alignment vertical="top"/>
    </xf>
    <xf numFmtId="49" fontId="4" fillId="9" borderId="21" xfId="0" applyNumberFormat="1" applyFont="1" applyFill="1" applyBorder="1" applyAlignment="1">
      <alignment vertical="top"/>
    </xf>
    <xf numFmtId="49" fontId="4" fillId="9" borderId="59" xfId="0" applyNumberFormat="1" applyFont="1" applyFill="1" applyBorder="1" applyAlignment="1">
      <alignment horizontal="center" vertical="top"/>
    </xf>
    <xf numFmtId="49" fontId="4" fillId="9" borderId="57" xfId="0" applyNumberFormat="1" applyFont="1" applyFill="1" applyBorder="1" applyAlignment="1">
      <alignment horizontal="center" vertical="top"/>
    </xf>
    <xf numFmtId="49" fontId="4" fillId="9" borderId="0" xfId="0" applyNumberFormat="1" applyFont="1" applyFill="1" applyBorder="1" applyAlignment="1">
      <alignment horizontal="center" vertical="top"/>
    </xf>
    <xf numFmtId="49" fontId="4" fillId="9" borderId="1" xfId="0" applyNumberFormat="1" applyFont="1" applyFill="1" applyBorder="1" applyAlignment="1">
      <alignment horizontal="center" vertical="top"/>
    </xf>
    <xf numFmtId="49" fontId="4" fillId="9" borderId="3" xfId="0" applyNumberFormat="1" applyFont="1" applyFill="1" applyBorder="1" applyAlignment="1">
      <alignment vertical="top"/>
    </xf>
    <xf numFmtId="49" fontId="4" fillId="9" borderId="57" xfId="0" applyNumberFormat="1" applyFont="1" applyFill="1" applyBorder="1" applyAlignment="1">
      <alignment vertical="top"/>
    </xf>
    <xf numFmtId="49" fontId="4" fillId="9" borderId="0" xfId="0" applyNumberFormat="1" applyFont="1" applyFill="1" applyBorder="1" applyAlignment="1">
      <alignment vertical="top"/>
    </xf>
    <xf numFmtId="49" fontId="2" fillId="9" borderId="21" xfId="0" applyNumberFormat="1" applyFont="1" applyFill="1" applyBorder="1" applyAlignment="1">
      <alignment horizontal="center" vertical="top"/>
    </xf>
    <xf numFmtId="49" fontId="4" fillId="0" borderId="0" xfId="0" applyNumberFormat="1" applyFont="1" applyFill="1" applyBorder="1" applyAlignment="1">
      <alignment horizontal="right" vertical="top"/>
    </xf>
    <xf numFmtId="49" fontId="2" fillId="0" borderId="0" xfId="0" applyNumberFormat="1" applyFont="1" applyFill="1" applyBorder="1" applyAlignment="1">
      <alignment horizontal="right" vertical="top"/>
    </xf>
    <xf numFmtId="49" fontId="6" fillId="0" borderId="0" xfId="0" applyNumberFormat="1" applyFont="1" applyAlignment="1">
      <alignment vertical="top"/>
    </xf>
    <xf numFmtId="166" fontId="2" fillId="6" borderId="9" xfId="0" applyNumberFormat="1" applyFont="1" applyFill="1" applyBorder="1" applyAlignment="1">
      <alignment horizontal="center" vertical="top"/>
    </xf>
    <xf numFmtId="166" fontId="2" fillId="6" borderId="37" xfId="0" applyNumberFormat="1" applyFont="1" applyFill="1" applyBorder="1" applyAlignment="1">
      <alignment horizontal="center" vertical="top"/>
    </xf>
    <xf numFmtId="166" fontId="2" fillId="6" borderId="48" xfId="0" applyNumberFormat="1" applyFont="1" applyFill="1" applyBorder="1" applyAlignment="1">
      <alignment horizontal="center" vertical="top"/>
    </xf>
    <xf numFmtId="166" fontId="2" fillId="6" borderId="46" xfId="0" applyNumberFormat="1" applyFont="1" applyFill="1" applyBorder="1" applyAlignment="1">
      <alignment horizontal="center" vertical="top"/>
    </xf>
    <xf numFmtId="166" fontId="2" fillId="6" borderId="57" xfId="0" applyNumberFormat="1" applyFont="1" applyFill="1" applyBorder="1" applyAlignment="1">
      <alignment horizontal="center" vertical="top"/>
    </xf>
    <xf numFmtId="166" fontId="2" fillId="6" borderId="33" xfId="0" applyNumberFormat="1" applyFont="1" applyFill="1" applyBorder="1" applyAlignment="1">
      <alignment horizontal="center" vertical="top"/>
    </xf>
    <xf numFmtId="166" fontId="3" fillId="6" borderId="0" xfId="0" applyNumberFormat="1" applyFont="1" applyFill="1" applyBorder="1" applyAlignment="1">
      <alignment horizontal="center" vertical="top"/>
    </xf>
    <xf numFmtId="166" fontId="3" fillId="6" borderId="33" xfId="0" applyNumberFormat="1" applyFont="1" applyFill="1" applyBorder="1" applyAlignment="1">
      <alignment horizontal="center" vertical="top"/>
    </xf>
    <xf numFmtId="166" fontId="3" fillId="6" borderId="46" xfId="0" applyNumberFormat="1" applyFont="1" applyFill="1" applyBorder="1" applyAlignment="1">
      <alignment horizontal="center" vertical="top"/>
    </xf>
    <xf numFmtId="166" fontId="3" fillId="6" borderId="57" xfId="0" applyNumberFormat="1" applyFont="1" applyFill="1" applyBorder="1" applyAlignment="1">
      <alignment horizontal="center" vertical="top"/>
    </xf>
    <xf numFmtId="166" fontId="4" fillId="9" borderId="82" xfId="0" applyNumberFormat="1" applyFont="1" applyFill="1" applyBorder="1" applyAlignment="1">
      <alignment horizontal="center" vertical="top"/>
    </xf>
    <xf numFmtId="166" fontId="4" fillId="5" borderId="61" xfId="0" applyNumberFormat="1" applyFont="1" applyFill="1" applyBorder="1" applyAlignment="1">
      <alignment horizontal="center" vertical="top"/>
    </xf>
    <xf numFmtId="166" fontId="2" fillId="6" borderId="34" xfId="0" applyNumberFormat="1" applyFont="1" applyFill="1" applyBorder="1" applyAlignment="1">
      <alignment horizontal="center" vertical="top"/>
    </xf>
    <xf numFmtId="166" fontId="2" fillId="6" borderId="78" xfId="0" applyNumberFormat="1" applyFont="1" applyFill="1" applyBorder="1" applyAlignment="1">
      <alignment vertical="top"/>
    </xf>
    <xf numFmtId="166" fontId="4" fillId="4" borderId="64" xfId="0" applyNumberFormat="1" applyFont="1" applyFill="1" applyBorder="1" applyAlignment="1">
      <alignment horizontal="center" vertical="top"/>
    </xf>
    <xf numFmtId="166" fontId="4" fillId="3" borderId="64" xfId="0" applyNumberFormat="1" applyFont="1" applyFill="1" applyBorder="1" applyAlignment="1">
      <alignment horizontal="center" vertical="top"/>
    </xf>
    <xf numFmtId="166" fontId="2" fillId="0" borderId="45" xfId="0" applyNumberFormat="1" applyFont="1" applyBorder="1" applyAlignment="1">
      <alignment horizontal="center" vertical="center" wrapText="1"/>
    </xf>
    <xf numFmtId="166" fontId="2" fillId="6" borderId="45" xfId="0" applyNumberFormat="1" applyFont="1" applyFill="1" applyBorder="1" applyAlignment="1">
      <alignment horizontal="center" vertical="center" wrapText="1"/>
    </xf>
    <xf numFmtId="166" fontId="2" fillId="0" borderId="45" xfId="0" applyNumberFormat="1" applyFont="1" applyFill="1" applyBorder="1" applyAlignment="1">
      <alignment horizontal="center" vertical="center" wrapText="1"/>
    </xf>
    <xf numFmtId="166" fontId="2" fillId="9" borderId="45" xfId="0" applyNumberFormat="1" applyFont="1" applyFill="1" applyBorder="1" applyAlignment="1">
      <alignment horizontal="center" vertical="center" wrapText="1"/>
    </xf>
    <xf numFmtId="166" fontId="4" fillId="9" borderId="74" xfId="0" applyNumberFormat="1" applyFont="1" applyFill="1" applyBorder="1" applyAlignment="1">
      <alignment horizontal="center" vertical="center"/>
    </xf>
    <xf numFmtId="3" fontId="4" fillId="9" borderId="43" xfId="0" applyNumberFormat="1" applyFont="1" applyFill="1" applyBorder="1" applyAlignment="1">
      <alignment horizontal="center" vertical="center"/>
    </xf>
    <xf numFmtId="3" fontId="4" fillId="9" borderId="56" xfId="0" applyNumberFormat="1" applyFont="1" applyFill="1" applyBorder="1" applyAlignment="1">
      <alignment horizontal="center" vertical="center"/>
    </xf>
    <xf numFmtId="166" fontId="4" fillId="9" borderId="79" xfId="0" applyNumberFormat="1" applyFont="1" applyFill="1" applyBorder="1" applyAlignment="1">
      <alignment horizontal="center" vertical="center"/>
    </xf>
    <xf numFmtId="166" fontId="4" fillId="9" borderId="14" xfId="0" applyNumberFormat="1" applyFont="1" applyFill="1" applyBorder="1" applyAlignment="1">
      <alignment horizontal="center" vertical="center"/>
    </xf>
    <xf numFmtId="3" fontId="4" fillId="9" borderId="12" xfId="0" applyNumberFormat="1" applyFont="1" applyFill="1" applyBorder="1" applyAlignment="1">
      <alignment horizontal="center" vertical="top"/>
    </xf>
    <xf numFmtId="3" fontId="2" fillId="0" borderId="24" xfId="0" applyNumberFormat="1" applyFont="1" applyBorder="1" applyAlignment="1">
      <alignment horizontal="center" vertical="top" wrapText="1"/>
    </xf>
    <xf numFmtId="3" fontId="2" fillId="0" borderId="5" xfId="0" applyNumberFormat="1" applyFont="1" applyBorder="1" applyAlignment="1">
      <alignment horizontal="center" vertical="top" wrapText="1"/>
    </xf>
    <xf numFmtId="49" fontId="2" fillId="6" borderId="69"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xf>
    <xf numFmtId="3" fontId="7" fillId="6" borderId="43" xfId="0" applyNumberFormat="1" applyFont="1" applyFill="1" applyBorder="1" applyAlignment="1">
      <alignment horizontal="center" vertical="top" wrapText="1"/>
    </xf>
    <xf numFmtId="3" fontId="7" fillId="6" borderId="35" xfId="0" applyNumberFormat="1" applyFont="1" applyFill="1" applyBorder="1" applyAlignment="1">
      <alignment horizontal="center" vertical="top" wrapText="1"/>
    </xf>
    <xf numFmtId="166" fontId="7" fillId="6" borderId="48" xfId="0" applyNumberFormat="1" applyFont="1" applyFill="1" applyBorder="1" applyAlignment="1">
      <alignment horizontal="center" vertical="top" wrapText="1"/>
    </xf>
    <xf numFmtId="0" fontId="11" fillId="6" borderId="30" xfId="0" applyFont="1" applyFill="1" applyBorder="1" applyAlignment="1">
      <alignment horizontal="center" wrapText="1"/>
    </xf>
    <xf numFmtId="166" fontId="9" fillId="6" borderId="57" xfId="0" applyNumberFormat="1" applyFont="1" applyFill="1" applyBorder="1" applyAlignment="1">
      <alignment horizontal="center" vertical="top"/>
    </xf>
    <xf numFmtId="166" fontId="2" fillId="6" borderId="49" xfId="0" applyNumberFormat="1" applyFont="1" applyFill="1" applyBorder="1" applyAlignment="1">
      <alignment horizontal="center" vertical="top"/>
    </xf>
    <xf numFmtId="3" fontId="5" fillId="6" borderId="10" xfId="0" applyNumberFormat="1" applyFont="1" applyFill="1" applyBorder="1" applyAlignment="1">
      <alignment horizontal="center" vertical="top" wrapText="1"/>
    </xf>
    <xf numFmtId="49" fontId="4" fillId="6" borderId="44" xfId="0" applyNumberFormat="1" applyFont="1" applyFill="1" applyBorder="1" applyAlignment="1">
      <alignment horizontal="center" vertical="top"/>
    </xf>
    <xf numFmtId="0" fontId="2" fillId="6" borderId="36" xfId="0" applyFont="1" applyFill="1" applyBorder="1" applyAlignment="1">
      <alignment horizontal="center" vertical="top"/>
    </xf>
    <xf numFmtId="0" fontId="2" fillId="6" borderId="27" xfId="0" applyFont="1" applyFill="1" applyBorder="1" applyAlignment="1">
      <alignment horizontal="center" vertical="center"/>
    </xf>
    <xf numFmtId="3" fontId="2" fillId="6" borderId="75" xfId="0" applyNumberFormat="1" applyFont="1" applyFill="1" applyBorder="1" applyAlignment="1">
      <alignment horizontal="center" vertical="top"/>
    </xf>
    <xf numFmtId="0" fontId="2" fillId="6" borderId="76" xfId="0" applyFont="1" applyFill="1" applyBorder="1" applyAlignment="1">
      <alignment horizontal="center" vertical="top" wrapText="1"/>
    </xf>
    <xf numFmtId="3" fontId="4" fillId="6" borderId="16" xfId="0" applyNumberFormat="1" applyFont="1" applyFill="1" applyBorder="1" applyAlignment="1">
      <alignment horizontal="center" vertical="top" wrapText="1"/>
    </xf>
    <xf numFmtId="3" fontId="5" fillId="6" borderId="30" xfId="0" applyNumberFormat="1" applyFont="1" applyFill="1" applyBorder="1" applyAlignment="1">
      <alignment vertical="center" textRotation="90" wrapText="1"/>
    </xf>
    <xf numFmtId="49" fontId="4" fillId="9" borderId="21" xfId="0" applyNumberFormat="1" applyFont="1" applyFill="1" applyBorder="1" applyAlignment="1">
      <alignment horizontal="center" vertical="top"/>
    </xf>
    <xf numFmtId="3" fontId="2" fillId="0" borderId="0" xfId="0" applyNumberFormat="1" applyFont="1" applyFill="1" applyBorder="1" applyAlignment="1">
      <alignment horizontal="left" vertical="top" wrapText="1"/>
    </xf>
    <xf numFmtId="3" fontId="4" fillId="6" borderId="3" xfId="0" applyNumberFormat="1" applyFont="1" applyFill="1" applyBorder="1" applyAlignment="1">
      <alignment horizontal="left" vertical="top" wrapText="1"/>
    </xf>
    <xf numFmtId="3" fontId="2" fillId="6" borderId="12" xfId="1" applyNumberFormat="1" applyFont="1" applyFill="1" applyBorder="1" applyAlignment="1">
      <alignment vertical="center" wrapText="1"/>
    </xf>
    <xf numFmtId="0" fontId="2" fillId="6" borderId="76" xfId="0" applyFont="1" applyFill="1" applyBorder="1" applyAlignment="1">
      <alignment horizontal="center" vertical="top"/>
    </xf>
    <xf numFmtId="166" fontId="2" fillId="6" borderId="43" xfId="0" applyNumberFormat="1" applyFont="1" applyFill="1" applyBorder="1" applyAlignment="1">
      <alignment horizontal="center" vertical="top"/>
    </xf>
    <xf numFmtId="166" fontId="2" fillId="6" borderId="12" xfId="0" applyNumberFormat="1" applyFont="1" applyFill="1" applyBorder="1" applyAlignment="1">
      <alignment horizontal="center" vertical="top"/>
    </xf>
    <xf numFmtId="166" fontId="2" fillId="6" borderId="76" xfId="0" applyNumberFormat="1" applyFont="1" applyFill="1" applyBorder="1" applyAlignment="1">
      <alignment horizontal="center" vertical="top"/>
    </xf>
    <xf numFmtId="166" fontId="2" fillId="6" borderId="35" xfId="0" applyNumberFormat="1" applyFont="1" applyFill="1" applyBorder="1" applyAlignment="1">
      <alignment horizontal="center" vertical="top"/>
    </xf>
    <xf numFmtId="0" fontId="2" fillId="6" borderId="38" xfId="0" applyFont="1" applyFill="1" applyBorder="1" applyAlignment="1">
      <alignment horizontal="center" vertical="top"/>
    </xf>
    <xf numFmtId="3" fontId="4" fillId="9" borderId="56" xfId="0" applyNumberFormat="1" applyFont="1" applyFill="1" applyBorder="1" applyAlignment="1">
      <alignment horizontal="center" vertical="top"/>
    </xf>
    <xf numFmtId="3" fontId="4" fillId="9" borderId="24" xfId="0" applyNumberFormat="1" applyFont="1" applyFill="1" applyBorder="1" applyAlignment="1">
      <alignment horizontal="right" vertical="top" wrapText="1"/>
    </xf>
    <xf numFmtId="166" fontId="4" fillId="9" borderId="56" xfId="0" applyNumberFormat="1" applyFont="1" applyFill="1" applyBorder="1" applyAlignment="1">
      <alignment horizontal="center" vertical="top"/>
    </xf>
    <xf numFmtId="3" fontId="2" fillId="0" borderId="73" xfId="0" applyNumberFormat="1" applyFont="1" applyBorder="1" applyAlignment="1">
      <alignment horizontal="center" vertical="top"/>
    </xf>
    <xf numFmtId="0" fontId="4" fillId="10" borderId="37" xfId="0" applyFont="1" applyFill="1" applyBorder="1" applyAlignment="1">
      <alignment horizontal="center" vertical="top"/>
    </xf>
    <xf numFmtId="166" fontId="8" fillId="6" borderId="20" xfId="0" applyNumberFormat="1" applyFont="1" applyFill="1" applyBorder="1" applyAlignment="1">
      <alignment vertical="top" wrapText="1"/>
    </xf>
    <xf numFmtId="166" fontId="2" fillId="6" borderId="80" xfId="0" applyNumberFormat="1" applyFont="1" applyFill="1" applyBorder="1" applyAlignment="1">
      <alignment horizontal="center" vertical="top"/>
    </xf>
    <xf numFmtId="3" fontId="2" fillId="0" borderId="52" xfId="0" applyNumberFormat="1" applyFont="1" applyBorder="1" applyAlignment="1">
      <alignment horizontal="center" vertical="top"/>
    </xf>
    <xf numFmtId="3" fontId="2" fillId="6" borderId="41" xfId="0" applyNumberFormat="1" applyFont="1" applyFill="1" applyBorder="1" applyAlignment="1">
      <alignment horizontal="center" vertical="top"/>
    </xf>
    <xf numFmtId="166" fontId="2" fillId="6" borderId="52" xfId="0" applyNumberFormat="1" applyFont="1" applyFill="1" applyBorder="1" applyAlignment="1">
      <alignment horizontal="center" vertical="top"/>
    </xf>
    <xf numFmtId="3" fontId="9" fillId="6" borderId="12" xfId="0" applyNumberFormat="1" applyFont="1" applyFill="1" applyBorder="1" applyAlignment="1">
      <alignment horizontal="center" vertical="top" wrapText="1"/>
    </xf>
    <xf numFmtId="3" fontId="9" fillId="6" borderId="35" xfId="0" applyNumberFormat="1" applyFont="1" applyFill="1" applyBorder="1" applyAlignment="1">
      <alignment horizontal="center" vertical="top" wrapText="1"/>
    </xf>
    <xf numFmtId="166" fontId="4" fillId="9" borderId="82" xfId="0" applyNumberFormat="1" applyFont="1" applyFill="1" applyBorder="1" applyAlignment="1">
      <alignment horizontal="center" vertical="center"/>
    </xf>
    <xf numFmtId="3" fontId="4" fillId="9" borderId="56" xfId="0" applyNumberFormat="1" applyFont="1" applyFill="1" applyBorder="1" applyAlignment="1">
      <alignment horizontal="center" vertical="top" wrapText="1"/>
    </xf>
    <xf numFmtId="3" fontId="4" fillId="9" borderId="43"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top"/>
    </xf>
    <xf numFmtId="3" fontId="2" fillId="6" borderId="35" xfId="0" applyNumberFormat="1" applyFont="1" applyFill="1" applyBorder="1" applyAlignment="1">
      <alignment horizontal="center"/>
    </xf>
    <xf numFmtId="166" fontId="2" fillId="0" borderId="52" xfId="0" applyNumberFormat="1" applyFont="1" applyFill="1" applyBorder="1" applyAlignment="1">
      <alignment horizontal="center" vertical="top"/>
    </xf>
    <xf numFmtId="3" fontId="2" fillId="0" borderId="35" xfId="0" applyNumberFormat="1" applyFont="1" applyBorder="1" applyAlignment="1">
      <alignment horizontal="center" vertical="top"/>
    </xf>
    <xf numFmtId="3" fontId="2" fillId="6" borderId="87" xfId="0" applyNumberFormat="1" applyFont="1" applyFill="1" applyBorder="1" applyAlignment="1">
      <alignment horizontal="center" vertical="top"/>
    </xf>
    <xf numFmtId="166" fontId="2" fillId="6" borderId="77" xfId="0" applyNumberFormat="1" applyFont="1" applyFill="1" applyBorder="1" applyAlignment="1">
      <alignment horizontal="center" vertical="top"/>
    </xf>
    <xf numFmtId="3" fontId="2" fillId="0" borderId="41" xfId="0" applyNumberFormat="1" applyFont="1" applyFill="1" applyBorder="1" applyAlignment="1">
      <alignment horizontal="center" vertical="top" wrapText="1"/>
    </xf>
    <xf numFmtId="0" fontId="2" fillId="6" borderId="57" xfId="0" applyFont="1" applyFill="1" applyBorder="1" applyAlignment="1">
      <alignment horizontal="center" vertical="center"/>
    </xf>
    <xf numFmtId="166" fontId="3" fillId="6" borderId="43" xfId="0" applyNumberFormat="1" applyFont="1" applyFill="1" applyBorder="1" applyAlignment="1">
      <alignment horizontal="center" vertical="top"/>
    </xf>
    <xf numFmtId="166" fontId="3" fillId="6" borderId="35" xfId="0" applyNumberFormat="1" applyFont="1" applyFill="1" applyBorder="1" applyAlignment="1">
      <alignment horizontal="center" vertical="top"/>
    </xf>
    <xf numFmtId="3" fontId="4" fillId="9" borderId="24" xfId="0" applyNumberFormat="1" applyFont="1" applyFill="1" applyBorder="1" applyAlignment="1">
      <alignment horizontal="right" vertical="center" wrapText="1"/>
    </xf>
    <xf numFmtId="166" fontId="2" fillId="6" borderId="5" xfId="0" applyNumberFormat="1" applyFont="1" applyFill="1" applyBorder="1" applyAlignment="1">
      <alignment horizontal="center" vertical="top"/>
    </xf>
    <xf numFmtId="0" fontId="2" fillId="0" borderId="35" xfId="0" applyFont="1" applyBorder="1" applyAlignment="1">
      <alignment vertical="top"/>
    </xf>
    <xf numFmtId="166" fontId="4" fillId="5" borderId="86" xfId="0" applyNumberFormat="1" applyFont="1" applyFill="1" applyBorder="1" applyAlignment="1">
      <alignment horizontal="center" vertical="top"/>
    </xf>
    <xf numFmtId="166" fontId="3" fillId="6" borderId="83" xfId="0" applyNumberFormat="1" applyFont="1" applyFill="1" applyBorder="1" applyAlignment="1">
      <alignment horizontal="right" vertical="top"/>
    </xf>
    <xf numFmtId="166" fontId="4" fillId="6" borderId="21" xfId="0" applyNumberFormat="1" applyFont="1" applyFill="1" applyBorder="1" applyAlignment="1">
      <alignment horizontal="center" vertical="top"/>
    </xf>
    <xf numFmtId="0" fontId="2" fillId="0" borderId="12" xfId="0" applyFont="1" applyBorder="1" applyAlignment="1">
      <alignment vertical="top"/>
    </xf>
    <xf numFmtId="0" fontId="2" fillId="0" borderId="77" xfId="0" applyFont="1" applyBorder="1" applyAlignment="1">
      <alignment horizontal="center" vertical="top"/>
    </xf>
    <xf numFmtId="166" fontId="2" fillId="6" borderId="41" xfId="0" applyNumberFormat="1" applyFont="1" applyFill="1" applyBorder="1" applyAlignment="1">
      <alignment horizontal="center" vertical="top"/>
    </xf>
    <xf numFmtId="3" fontId="11" fillId="6" borderId="56" xfId="0" applyNumberFormat="1" applyFont="1" applyFill="1" applyBorder="1" applyAlignment="1">
      <alignment horizontal="center" vertical="top" wrapText="1"/>
    </xf>
    <xf numFmtId="3" fontId="2" fillId="6" borderId="89" xfId="0" applyNumberFormat="1" applyFont="1" applyFill="1" applyBorder="1" applyAlignment="1">
      <alignment horizontal="center" vertical="top"/>
    </xf>
    <xf numFmtId="3" fontId="2" fillId="6" borderId="77" xfId="0" applyNumberFormat="1" applyFont="1" applyFill="1" applyBorder="1" applyAlignment="1">
      <alignment horizontal="center" vertical="top" wrapText="1"/>
    </xf>
    <xf numFmtId="166" fontId="4" fillId="6" borderId="56" xfId="0" applyNumberFormat="1" applyFont="1" applyFill="1" applyBorder="1" applyAlignment="1">
      <alignment horizontal="center" vertical="top"/>
    </xf>
    <xf numFmtId="166" fontId="5" fillId="6" borderId="89" xfId="0" applyNumberFormat="1" applyFont="1" applyFill="1" applyBorder="1" applyAlignment="1">
      <alignment horizontal="center" vertical="center" textRotation="90" wrapText="1"/>
    </xf>
    <xf numFmtId="166" fontId="8" fillId="6" borderId="25" xfId="0" applyNumberFormat="1" applyFont="1" applyFill="1" applyBorder="1" applyAlignment="1">
      <alignment vertical="top" wrapText="1"/>
    </xf>
    <xf numFmtId="166" fontId="4" fillId="6" borderId="25" xfId="0" applyNumberFormat="1" applyFont="1" applyFill="1" applyBorder="1" applyAlignment="1">
      <alignment horizontal="center" vertical="top"/>
    </xf>
    <xf numFmtId="3" fontId="2" fillId="6" borderId="56" xfId="0" applyNumberFormat="1" applyFont="1" applyFill="1" applyBorder="1" applyAlignment="1">
      <alignment horizontal="center" vertical="top" wrapText="1"/>
    </xf>
    <xf numFmtId="3" fontId="2" fillId="6" borderId="25" xfId="0" applyNumberFormat="1" applyFont="1" applyFill="1" applyBorder="1" applyAlignment="1">
      <alignment horizontal="left" vertical="top" wrapText="1"/>
    </xf>
    <xf numFmtId="3" fontId="2" fillId="6" borderId="20" xfId="0" applyNumberFormat="1" applyFont="1" applyFill="1" applyBorder="1" applyAlignment="1">
      <alignment vertical="top" wrapText="1"/>
    </xf>
    <xf numFmtId="3" fontId="4" fillId="6" borderId="48"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11" fillId="6" borderId="25" xfId="0" applyNumberFormat="1" applyFont="1" applyFill="1" applyBorder="1" applyAlignment="1">
      <alignment vertical="top" wrapText="1"/>
    </xf>
    <xf numFmtId="3" fontId="2" fillId="6" borderId="12" xfId="0" applyNumberFormat="1" applyFont="1" applyFill="1" applyBorder="1" applyAlignment="1">
      <alignment vertical="top" wrapText="1"/>
    </xf>
    <xf numFmtId="3" fontId="2" fillId="6" borderId="24" xfId="0" applyNumberFormat="1" applyFont="1" applyFill="1" applyBorder="1" applyAlignment="1">
      <alignment vertical="top" wrapText="1"/>
    </xf>
    <xf numFmtId="3" fontId="2" fillId="6" borderId="25" xfId="0" applyNumberFormat="1" applyFont="1" applyFill="1" applyBorder="1" applyAlignment="1">
      <alignment vertical="top" wrapText="1"/>
    </xf>
    <xf numFmtId="3" fontId="2" fillId="6" borderId="88" xfId="0" applyNumberFormat="1" applyFont="1" applyFill="1" applyBorder="1" applyAlignment="1">
      <alignment vertical="top"/>
    </xf>
    <xf numFmtId="3" fontId="2" fillId="0" borderId="25" xfId="0" applyNumberFormat="1" applyFont="1" applyBorder="1" applyAlignment="1">
      <alignment vertical="top"/>
    </xf>
    <xf numFmtId="3" fontId="2" fillId="6" borderId="4" xfId="0" applyNumberFormat="1" applyFont="1" applyFill="1" applyBorder="1" applyAlignment="1">
      <alignment vertical="top"/>
    </xf>
    <xf numFmtId="0" fontId="6" fillId="6" borderId="25" xfId="0" applyFont="1" applyFill="1" applyBorder="1" applyAlignment="1">
      <alignment vertical="top"/>
    </xf>
    <xf numFmtId="3" fontId="2" fillId="6" borderId="48" xfId="0" applyNumberFormat="1" applyFont="1" applyFill="1" applyBorder="1" applyAlignment="1">
      <alignment vertical="top"/>
    </xf>
    <xf numFmtId="3" fontId="2" fillId="6" borderId="44" xfId="0" applyNumberFormat="1" applyFont="1" applyFill="1" applyBorder="1" applyAlignment="1">
      <alignment vertical="top" wrapText="1"/>
    </xf>
    <xf numFmtId="0" fontId="2" fillId="6" borderId="25" xfId="0" applyFont="1" applyFill="1" applyBorder="1" applyAlignment="1">
      <alignment horizontal="left" vertical="top" wrapText="1"/>
    </xf>
    <xf numFmtId="49" fontId="2" fillId="6" borderId="56" xfId="0" applyNumberFormat="1" applyFont="1" applyFill="1" applyBorder="1" applyAlignment="1">
      <alignment horizontal="center" vertical="top" wrapText="1"/>
    </xf>
    <xf numFmtId="0" fontId="3" fillId="6" borderId="89" xfId="0" applyFont="1" applyFill="1" applyBorder="1" applyAlignment="1">
      <alignment horizontal="center" vertical="center" textRotation="90" wrapText="1"/>
    </xf>
    <xf numFmtId="3" fontId="3" fillId="0" borderId="89" xfId="0" applyNumberFormat="1" applyFont="1" applyFill="1" applyBorder="1" applyAlignment="1">
      <alignment horizontal="center" vertical="top" wrapText="1"/>
    </xf>
    <xf numFmtId="0" fontId="16" fillId="0" borderId="0" xfId="0" applyFont="1" applyAlignment="1">
      <alignment horizontal="center" vertical="top"/>
    </xf>
    <xf numFmtId="166" fontId="2" fillId="6" borderId="0" xfId="0" applyNumberFormat="1" applyFont="1" applyFill="1" applyBorder="1" applyAlignment="1">
      <alignment horizontal="center" vertical="top"/>
    </xf>
    <xf numFmtId="49" fontId="5" fillId="6" borderId="9" xfId="0" applyNumberFormat="1" applyFont="1" applyFill="1" applyBorder="1" applyAlignment="1">
      <alignment vertical="center" wrapText="1"/>
    </xf>
    <xf numFmtId="3" fontId="4" fillId="6" borderId="9" xfId="0" applyNumberFormat="1" applyFont="1" applyFill="1" applyBorder="1" applyAlignment="1">
      <alignment horizontal="center" vertical="top" wrapText="1"/>
    </xf>
    <xf numFmtId="3" fontId="6" fillId="0" borderId="78" xfId="0" applyNumberFormat="1" applyFont="1" applyBorder="1" applyAlignment="1">
      <alignment vertical="top"/>
    </xf>
    <xf numFmtId="3" fontId="6" fillId="0" borderId="78" xfId="0" applyNumberFormat="1" applyFont="1" applyFill="1" applyBorder="1" applyAlignment="1">
      <alignment vertical="top"/>
    </xf>
    <xf numFmtId="49" fontId="2" fillId="6" borderId="69" xfId="0" applyNumberFormat="1" applyFont="1" applyFill="1" applyBorder="1" applyAlignment="1">
      <alignment horizontal="center" vertical="top"/>
    </xf>
    <xf numFmtId="0" fontId="16" fillId="0" borderId="0" xfId="0" applyFont="1" applyAlignment="1">
      <alignment horizontal="center" vertical="top"/>
    </xf>
    <xf numFmtId="0" fontId="16" fillId="0" borderId="0" xfId="0" applyFont="1" applyFill="1" applyBorder="1" applyAlignment="1">
      <alignment vertical="top" wrapText="1"/>
    </xf>
    <xf numFmtId="0" fontId="17" fillId="0" borderId="0" xfId="0" applyFont="1" applyAlignment="1">
      <alignment vertical="top" wrapText="1"/>
    </xf>
    <xf numFmtId="166" fontId="2" fillId="6" borderId="38" xfId="0" applyNumberFormat="1" applyFont="1" applyFill="1" applyBorder="1" applyAlignment="1">
      <alignment horizontal="center" vertical="top"/>
    </xf>
    <xf numFmtId="166" fontId="2" fillId="6" borderId="50" xfId="0" applyNumberFormat="1" applyFont="1" applyFill="1" applyBorder="1" applyAlignment="1">
      <alignment horizontal="center" vertical="top"/>
    </xf>
    <xf numFmtId="0" fontId="2" fillId="6" borderId="0" xfId="0" applyFont="1" applyFill="1" applyBorder="1" applyAlignment="1">
      <alignment horizontal="center" vertical="top"/>
    </xf>
    <xf numFmtId="166" fontId="7" fillId="6" borderId="33" xfId="0" applyNumberFormat="1" applyFont="1" applyFill="1" applyBorder="1" applyAlignment="1">
      <alignment horizontal="center" vertical="top" wrapText="1"/>
    </xf>
    <xf numFmtId="166" fontId="4" fillId="5" borderId="62" xfId="0" applyNumberFormat="1" applyFont="1" applyFill="1" applyBorder="1" applyAlignment="1">
      <alignment horizontal="center" vertical="top"/>
    </xf>
    <xf numFmtId="0" fontId="2" fillId="0" borderId="11" xfId="0" applyFont="1" applyBorder="1" applyAlignment="1">
      <alignment vertical="top"/>
    </xf>
    <xf numFmtId="0" fontId="3" fillId="0" borderId="1" xfId="0" applyFont="1" applyBorder="1" applyAlignment="1">
      <alignment vertical="top"/>
    </xf>
    <xf numFmtId="0" fontId="2" fillId="0" borderId="1" xfId="0" applyFont="1" applyBorder="1" applyAlignment="1">
      <alignment vertical="top"/>
    </xf>
    <xf numFmtId="166" fontId="2" fillId="6" borderId="58" xfId="0" applyNumberFormat="1" applyFont="1" applyFill="1" applyBorder="1" applyAlignment="1">
      <alignment horizontal="center" vertical="top"/>
    </xf>
    <xf numFmtId="166" fontId="2" fillId="6" borderId="69" xfId="0" applyNumberFormat="1" applyFont="1" applyFill="1" applyBorder="1" applyAlignment="1">
      <alignment horizontal="center" vertical="top"/>
    </xf>
    <xf numFmtId="166" fontId="2" fillId="6" borderId="93" xfId="0" applyNumberFormat="1" applyFont="1" applyFill="1" applyBorder="1" applyAlignment="1">
      <alignment horizontal="center" vertical="top"/>
    </xf>
    <xf numFmtId="166" fontId="2" fillId="6" borderId="13" xfId="0" applyNumberFormat="1" applyFont="1" applyFill="1" applyBorder="1" applyAlignment="1">
      <alignment horizontal="center" vertical="top"/>
    </xf>
    <xf numFmtId="166" fontId="2" fillId="6" borderId="8" xfId="0" applyNumberFormat="1" applyFont="1" applyFill="1" applyBorder="1" applyAlignment="1">
      <alignment horizontal="center" vertical="top"/>
    </xf>
    <xf numFmtId="166" fontId="2" fillId="6" borderId="68" xfId="0" applyNumberFormat="1" applyFont="1" applyFill="1" applyBorder="1" applyAlignment="1">
      <alignment horizontal="center" vertical="top"/>
    </xf>
    <xf numFmtId="166" fontId="2" fillId="6" borderId="32" xfId="0" applyNumberFormat="1" applyFont="1" applyFill="1" applyBorder="1" applyAlignment="1">
      <alignment horizontal="center" vertical="top"/>
    </xf>
    <xf numFmtId="166" fontId="2" fillId="6" borderId="70" xfId="0" applyNumberFormat="1" applyFont="1" applyFill="1" applyBorder="1" applyAlignment="1">
      <alignment horizontal="center" vertical="top"/>
    </xf>
    <xf numFmtId="0" fontId="2" fillId="6" borderId="37" xfId="0" applyFont="1" applyFill="1" applyBorder="1" applyAlignment="1">
      <alignment horizontal="center" vertical="top"/>
    </xf>
    <xf numFmtId="166" fontId="4" fillId="5" borderId="60" xfId="0" applyNumberFormat="1" applyFont="1" applyFill="1" applyBorder="1" applyAlignment="1">
      <alignment horizontal="center" vertical="top"/>
    </xf>
    <xf numFmtId="166" fontId="4" fillId="9" borderId="25" xfId="0" applyNumberFormat="1" applyFont="1" applyFill="1" applyBorder="1" applyAlignment="1">
      <alignment horizontal="center" vertical="top"/>
    </xf>
    <xf numFmtId="166" fontId="4" fillId="5" borderId="64" xfId="0" applyNumberFormat="1" applyFont="1" applyFill="1" applyBorder="1" applyAlignment="1">
      <alignment horizontal="center" vertical="top"/>
    </xf>
    <xf numFmtId="166" fontId="2" fillId="6" borderId="94" xfId="0" applyNumberFormat="1" applyFont="1" applyFill="1" applyBorder="1" applyAlignment="1">
      <alignment horizontal="center" vertical="top"/>
    </xf>
    <xf numFmtId="0" fontId="2" fillId="6" borderId="91" xfId="0" applyFont="1" applyFill="1" applyBorder="1" applyAlignment="1">
      <alignment horizontal="center" vertical="center"/>
    </xf>
    <xf numFmtId="165" fontId="2" fillId="6" borderId="94" xfId="0" applyNumberFormat="1" applyFont="1" applyFill="1" applyBorder="1" applyAlignment="1">
      <alignment horizontal="center" vertical="center"/>
    </xf>
    <xf numFmtId="166" fontId="2" fillId="6" borderId="85" xfId="0" applyNumberFormat="1" applyFont="1" applyFill="1" applyBorder="1" applyAlignment="1">
      <alignment horizontal="center" vertical="top"/>
    </xf>
    <xf numFmtId="166" fontId="4" fillId="9" borderId="51" xfId="0" applyNumberFormat="1" applyFont="1" applyFill="1" applyBorder="1" applyAlignment="1">
      <alignment horizontal="center" vertical="top"/>
    </xf>
    <xf numFmtId="0" fontId="2" fillId="6" borderId="2" xfId="0" applyFont="1" applyFill="1" applyBorder="1" applyAlignment="1">
      <alignment horizontal="center" vertical="center"/>
    </xf>
    <xf numFmtId="165" fontId="2" fillId="6" borderId="85" xfId="0" applyNumberFormat="1" applyFont="1" applyFill="1" applyBorder="1" applyAlignment="1">
      <alignment horizontal="center" vertical="center"/>
    </xf>
    <xf numFmtId="0" fontId="2" fillId="6" borderId="3" xfId="0" applyFont="1" applyFill="1" applyBorder="1" applyAlignment="1">
      <alignment horizontal="center" vertical="center"/>
    </xf>
    <xf numFmtId="166" fontId="2" fillId="6" borderId="95" xfId="0" applyNumberFormat="1" applyFont="1" applyFill="1" applyBorder="1" applyAlignment="1">
      <alignment horizontal="center" vertical="top"/>
    </xf>
    <xf numFmtId="166" fontId="4" fillId="9" borderId="20" xfId="0" applyNumberFormat="1" applyFont="1" applyFill="1" applyBorder="1" applyAlignment="1">
      <alignment horizontal="center" vertical="top"/>
    </xf>
    <xf numFmtId="0" fontId="2" fillId="6" borderId="9" xfId="0" applyFont="1" applyFill="1" applyBorder="1" applyAlignment="1">
      <alignment horizontal="center" vertical="center"/>
    </xf>
    <xf numFmtId="165" fontId="2" fillId="6" borderId="95" xfId="0" applyNumberFormat="1" applyFont="1" applyFill="1" applyBorder="1" applyAlignment="1">
      <alignment horizontal="center" vertical="center"/>
    </xf>
    <xf numFmtId="166" fontId="2" fillId="6" borderId="7" xfId="0" applyNumberFormat="1" applyFont="1" applyFill="1" applyBorder="1" applyAlignment="1">
      <alignment horizontal="center" vertical="top"/>
    </xf>
    <xf numFmtId="166" fontId="4" fillId="9" borderId="96" xfId="0" applyNumberFormat="1" applyFont="1" applyFill="1" applyBorder="1" applyAlignment="1">
      <alignment horizontal="center" vertical="top"/>
    </xf>
    <xf numFmtId="166" fontId="2" fillId="6" borderId="54" xfId="0" applyNumberFormat="1" applyFont="1" applyFill="1" applyBorder="1" applyAlignment="1">
      <alignment horizontal="center" vertical="top"/>
    </xf>
    <xf numFmtId="166" fontId="4" fillId="9" borderId="88" xfId="0" applyNumberFormat="1" applyFont="1" applyFill="1" applyBorder="1" applyAlignment="1">
      <alignment horizontal="center" vertical="top"/>
    </xf>
    <xf numFmtId="166" fontId="2" fillId="6" borderId="55" xfId="0" applyNumberFormat="1" applyFont="1" applyFill="1" applyBorder="1" applyAlignment="1">
      <alignment horizontal="center" vertical="top"/>
    </xf>
    <xf numFmtId="166" fontId="2" fillId="0" borderId="7" xfId="0" applyNumberFormat="1" applyFont="1" applyFill="1" applyBorder="1" applyAlignment="1">
      <alignment horizontal="center" vertical="top"/>
    </xf>
    <xf numFmtId="166" fontId="2" fillId="0" borderId="54" xfId="0" applyNumberFormat="1" applyFont="1" applyFill="1" applyBorder="1" applyAlignment="1">
      <alignment horizontal="center" vertical="top"/>
    </xf>
    <xf numFmtId="166" fontId="2" fillId="0" borderId="55" xfId="0" applyNumberFormat="1" applyFont="1" applyFill="1" applyBorder="1" applyAlignment="1">
      <alignment horizontal="center" vertical="top"/>
    </xf>
    <xf numFmtId="166" fontId="2" fillId="6" borderId="40" xfId="0" applyNumberFormat="1" applyFont="1" applyFill="1" applyBorder="1" applyAlignment="1">
      <alignment horizontal="center" vertical="top"/>
    </xf>
    <xf numFmtId="0" fontId="2" fillId="0" borderId="48" xfId="0" applyFont="1" applyBorder="1" applyAlignment="1">
      <alignment vertical="top"/>
    </xf>
    <xf numFmtId="166" fontId="2" fillId="6" borderId="98" xfId="0" applyNumberFormat="1" applyFont="1" applyFill="1" applyBorder="1" applyAlignment="1">
      <alignment horizontal="center" vertical="top"/>
    </xf>
    <xf numFmtId="166" fontId="4" fillId="9" borderId="89" xfId="0" applyNumberFormat="1" applyFont="1" applyFill="1" applyBorder="1" applyAlignment="1">
      <alignment horizontal="center" vertical="center"/>
    </xf>
    <xf numFmtId="166" fontId="3" fillId="6" borderId="58" xfId="0" applyNumberFormat="1" applyFont="1" applyFill="1" applyBorder="1" applyAlignment="1">
      <alignment horizontal="center" vertical="top"/>
    </xf>
    <xf numFmtId="0" fontId="2" fillId="0" borderId="57" xfId="0" applyFont="1" applyBorder="1" applyAlignment="1">
      <alignment vertical="top"/>
    </xf>
    <xf numFmtId="0" fontId="2" fillId="0" borderId="69" xfId="0" applyFont="1" applyBorder="1" applyAlignment="1">
      <alignment vertical="top"/>
    </xf>
    <xf numFmtId="166" fontId="3" fillId="6" borderId="9" xfId="0" applyNumberFormat="1" applyFont="1" applyFill="1" applyBorder="1" applyAlignment="1">
      <alignment horizontal="center" vertical="top"/>
    </xf>
    <xf numFmtId="166" fontId="3" fillId="6" borderId="37" xfId="0" applyNumberFormat="1" applyFont="1" applyFill="1" applyBorder="1" applyAlignment="1">
      <alignment horizontal="center" vertical="top"/>
    </xf>
    <xf numFmtId="0" fontId="2" fillId="0" borderId="9" xfId="0" applyFont="1" applyBorder="1" applyAlignment="1">
      <alignment vertical="top"/>
    </xf>
    <xf numFmtId="166" fontId="4" fillId="5" borderId="92" xfId="0" applyNumberFormat="1" applyFont="1" applyFill="1" applyBorder="1" applyAlignment="1">
      <alignment horizontal="center" vertical="top"/>
    </xf>
    <xf numFmtId="166" fontId="4" fillId="3" borderId="7" xfId="0" applyNumberFormat="1" applyFont="1" applyFill="1" applyBorder="1" applyAlignment="1">
      <alignment horizontal="center" vertical="top" wrapText="1"/>
    </xf>
    <xf numFmtId="166" fontId="4" fillId="9" borderId="18" xfId="0" applyNumberFormat="1" applyFont="1" applyFill="1" applyBorder="1" applyAlignment="1">
      <alignment horizontal="center" vertical="top" wrapText="1"/>
    </xf>
    <xf numFmtId="166" fontId="2" fillId="0" borderId="18" xfId="0" applyNumberFormat="1" applyFont="1" applyBorder="1" applyAlignment="1">
      <alignment horizontal="center" vertical="center" wrapText="1"/>
    </xf>
    <xf numFmtId="166" fontId="2" fillId="6" borderId="18" xfId="0" applyNumberFormat="1" applyFont="1" applyFill="1" applyBorder="1" applyAlignment="1">
      <alignment horizontal="center" vertical="center" wrapText="1"/>
    </xf>
    <xf numFmtId="166" fontId="2" fillId="0" borderId="18" xfId="0" applyNumberFormat="1" applyFont="1" applyFill="1" applyBorder="1" applyAlignment="1">
      <alignment horizontal="center" vertical="center" wrapText="1"/>
    </xf>
    <xf numFmtId="166" fontId="2" fillId="9" borderId="18" xfId="0" applyNumberFormat="1" applyFont="1" applyFill="1" applyBorder="1" applyAlignment="1">
      <alignment horizontal="center" vertical="center" wrapText="1"/>
    </xf>
    <xf numFmtId="166" fontId="4" fillId="3" borderId="18" xfId="0" applyNumberFormat="1" applyFont="1" applyFill="1" applyBorder="1" applyAlignment="1">
      <alignment horizontal="center" vertical="top" wrapText="1"/>
    </xf>
    <xf numFmtId="166" fontId="2" fillId="0" borderId="18" xfId="0" applyNumberFormat="1" applyFont="1" applyBorder="1" applyAlignment="1">
      <alignment horizontal="center" vertical="top" wrapText="1"/>
    </xf>
    <xf numFmtId="166" fontId="4" fillId="9" borderId="96" xfId="0" applyNumberFormat="1" applyFont="1" applyFill="1" applyBorder="1" applyAlignment="1">
      <alignment horizontal="center" vertical="top" wrapText="1"/>
    </xf>
    <xf numFmtId="166" fontId="4" fillId="3" borderId="54" xfId="0" applyNumberFormat="1" applyFont="1" applyFill="1" applyBorder="1" applyAlignment="1">
      <alignment horizontal="center" vertical="top" wrapText="1"/>
    </xf>
    <xf numFmtId="166" fontId="4" fillId="9" borderId="29" xfId="0" applyNumberFormat="1" applyFont="1" applyFill="1" applyBorder="1" applyAlignment="1">
      <alignment horizontal="center" vertical="top" wrapText="1"/>
    </xf>
    <xf numFmtId="166" fontId="2" fillId="0" borderId="29" xfId="0" applyNumberFormat="1" applyFont="1" applyBorder="1" applyAlignment="1">
      <alignment horizontal="center" vertical="center" wrapText="1"/>
    </xf>
    <xf numFmtId="166" fontId="2" fillId="6" borderId="29" xfId="0" applyNumberFormat="1" applyFont="1" applyFill="1" applyBorder="1" applyAlignment="1">
      <alignment horizontal="center" vertical="center" wrapText="1"/>
    </xf>
    <xf numFmtId="166" fontId="2" fillId="0" borderId="29" xfId="0" applyNumberFormat="1" applyFont="1" applyFill="1" applyBorder="1" applyAlignment="1">
      <alignment horizontal="center" vertical="center" wrapText="1"/>
    </xf>
    <xf numFmtId="166" fontId="2" fillId="9" borderId="29" xfId="0" applyNumberFormat="1" applyFont="1" applyFill="1" applyBorder="1" applyAlignment="1">
      <alignment horizontal="center" vertical="center" wrapText="1"/>
    </xf>
    <xf numFmtId="166" fontId="4" fillId="3" borderId="29" xfId="0" applyNumberFormat="1" applyFont="1" applyFill="1" applyBorder="1" applyAlignment="1">
      <alignment horizontal="center" vertical="top" wrapText="1"/>
    </xf>
    <xf numFmtId="166" fontId="2" fillId="0" borderId="29" xfId="0" applyNumberFormat="1" applyFont="1" applyBorder="1" applyAlignment="1">
      <alignment horizontal="center" vertical="top" wrapText="1"/>
    </xf>
    <xf numFmtId="166" fontId="4" fillId="9" borderId="88" xfId="0" applyNumberFormat="1" applyFont="1" applyFill="1" applyBorder="1" applyAlignment="1">
      <alignment horizontal="center" vertical="top" wrapText="1"/>
    </xf>
    <xf numFmtId="166" fontId="4" fillId="3" borderId="55" xfId="0" applyNumberFormat="1" applyFont="1" applyFill="1" applyBorder="1" applyAlignment="1">
      <alignment horizontal="center" vertical="top" wrapText="1"/>
    </xf>
    <xf numFmtId="166" fontId="4" fillId="9" borderId="44" xfId="0" applyNumberFormat="1" applyFont="1" applyFill="1" applyBorder="1" applyAlignment="1">
      <alignment horizontal="center" vertical="top" wrapText="1"/>
    </xf>
    <xf numFmtId="166" fontId="2" fillId="0" borderId="44" xfId="0" applyNumberFormat="1" applyFont="1" applyBorder="1" applyAlignment="1">
      <alignment horizontal="center" vertical="center" wrapText="1"/>
    </xf>
    <xf numFmtId="166" fontId="2" fillId="6" borderId="44" xfId="0" applyNumberFormat="1" applyFont="1" applyFill="1" applyBorder="1" applyAlignment="1">
      <alignment horizontal="center" vertical="center" wrapText="1"/>
    </xf>
    <xf numFmtId="166" fontId="2" fillId="0" borderId="44" xfId="0" applyNumberFormat="1" applyFont="1" applyFill="1" applyBorder="1" applyAlignment="1">
      <alignment horizontal="center" vertical="center" wrapText="1"/>
    </xf>
    <xf numFmtId="166" fontId="2" fillId="9" borderId="44" xfId="0" applyNumberFormat="1" applyFont="1" applyFill="1" applyBorder="1" applyAlignment="1">
      <alignment horizontal="center" vertical="center" wrapText="1"/>
    </xf>
    <xf numFmtId="166" fontId="4" fillId="3" borderId="44" xfId="0" applyNumberFormat="1" applyFont="1" applyFill="1" applyBorder="1" applyAlignment="1">
      <alignment horizontal="center" vertical="top" wrapText="1"/>
    </xf>
    <xf numFmtId="166" fontId="2" fillId="0" borderId="44" xfId="0" applyNumberFormat="1" applyFont="1" applyBorder="1" applyAlignment="1">
      <alignment horizontal="center" vertical="top" wrapText="1"/>
    </xf>
    <xf numFmtId="166" fontId="4" fillId="9" borderId="25" xfId="0" applyNumberFormat="1" applyFont="1" applyFill="1" applyBorder="1" applyAlignment="1">
      <alignment horizontal="center" vertical="top" wrapText="1"/>
    </xf>
    <xf numFmtId="166" fontId="2" fillId="6" borderId="71" xfId="0" applyNumberFormat="1" applyFont="1" applyFill="1" applyBorder="1" applyAlignment="1">
      <alignment horizontal="center" vertical="top"/>
    </xf>
    <xf numFmtId="0" fontId="2" fillId="6" borderId="99"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40" xfId="0" applyFont="1" applyFill="1" applyBorder="1" applyAlignment="1">
      <alignment horizontal="center" vertical="center"/>
    </xf>
    <xf numFmtId="166" fontId="3" fillId="6" borderId="12" xfId="0" applyNumberFormat="1" applyFont="1" applyFill="1" applyBorder="1" applyAlignment="1">
      <alignment horizontal="center" vertical="top"/>
    </xf>
    <xf numFmtId="166" fontId="9" fillId="6" borderId="12" xfId="0" applyNumberFormat="1" applyFont="1" applyFill="1" applyBorder="1" applyAlignment="1">
      <alignment horizontal="center" vertical="top"/>
    </xf>
    <xf numFmtId="166" fontId="7" fillId="6" borderId="35" xfId="0" applyNumberFormat="1" applyFont="1" applyFill="1" applyBorder="1" applyAlignment="1">
      <alignment horizontal="center" vertical="top" wrapText="1"/>
    </xf>
    <xf numFmtId="166" fontId="4" fillId="9" borderId="56" xfId="0" applyNumberFormat="1" applyFont="1" applyFill="1" applyBorder="1" applyAlignment="1">
      <alignment horizontal="center" vertical="center"/>
    </xf>
    <xf numFmtId="166" fontId="4" fillId="9" borderId="17" xfId="0" applyNumberFormat="1" applyFont="1" applyFill="1" applyBorder="1" applyAlignment="1">
      <alignment horizontal="center" vertical="center"/>
    </xf>
    <xf numFmtId="166" fontId="4" fillId="9" borderId="45" xfId="0" applyNumberFormat="1" applyFont="1" applyFill="1" applyBorder="1" applyAlignment="1">
      <alignment horizontal="center" vertical="center"/>
    </xf>
    <xf numFmtId="166" fontId="2" fillId="6" borderId="52" xfId="0" applyNumberFormat="1" applyFont="1" applyFill="1" applyBorder="1" applyAlignment="1">
      <alignment vertical="top"/>
    </xf>
    <xf numFmtId="166" fontId="4" fillId="9" borderId="24" xfId="0" applyNumberFormat="1" applyFont="1" applyFill="1" applyBorder="1" applyAlignment="1">
      <alignment horizontal="center" vertical="top"/>
    </xf>
    <xf numFmtId="166" fontId="4" fillId="5" borderId="100" xfId="0" applyNumberFormat="1" applyFont="1" applyFill="1" applyBorder="1" applyAlignment="1">
      <alignment horizontal="center" vertical="top"/>
    </xf>
    <xf numFmtId="166" fontId="4" fillId="4" borderId="100" xfId="0" applyNumberFormat="1" applyFont="1" applyFill="1" applyBorder="1" applyAlignment="1">
      <alignment horizontal="center" vertical="top"/>
    </xf>
    <xf numFmtId="166" fontId="4" fillId="3" borderId="100" xfId="0" applyNumberFormat="1" applyFont="1" applyFill="1" applyBorder="1" applyAlignment="1">
      <alignment horizontal="center" vertical="top"/>
    </xf>
    <xf numFmtId="166" fontId="3" fillId="6" borderId="52" xfId="0" applyNumberFormat="1" applyFont="1" applyFill="1" applyBorder="1" applyAlignment="1">
      <alignment horizontal="right" vertical="top"/>
    </xf>
    <xf numFmtId="166" fontId="4" fillId="4" borderId="86" xfId="0" applyNumberFormat="1" applyFont="1" applyFill="1" applyBorder="1" applyAlignment="1">
      <alignment horizontal="center" vertical="top"/>
    </xf>
    <xf numFmtId="166" fontId="4" fillId="3" borderId="86" xfId="0" applyNumberFormat="1" applyFont="1" applyFill="1" applyBorder="1" applyAlignment="1">
      <alignment horizontal="center" vertical="top"/>
    </xf>
    <xf numFmtId="166" fontId="2" fillId="6" borderId="55" xfId="0" applyNumberFormat="1" applyFont="1" applyFill="1" applyBorder="1" applyAlignment="1">
      <alignment vertical="top"/>
    </xf>
    <xf numFmtId="0" fontId="5" fillId="0" borderId="65" xfId="0" applyFont="1" applyBorder="1" applyAlignment="1">
      <alignment horizontal="center" vertical="center" textRotation="90" wrapText="1"/>
    </xf>
    <xf numFmtId="0" fontId="5" fillId="0" borderId="60" xfId="0" applyFont="1" applyBorder="1" applyAlignment="1">
      <alignment horizontal="center" vertical="center" textRotation="90" wrapText="1"/>
    </xf>
    <xf numFmtId="0" fontId="5" fillId="0" borderId="64" xfId="0" applyFont="1" applyBorder="1" applyAlignment="1">
      <alignment horizontal="center" vertical="center" textRotation="90" wrapText="1"/>
    </xf>
    <xf numFmtId="0" fontId="5" fillId="0" borderId="63" xfId="0" applyFont="1" applyBorder="1" applyAlignment="1">
      <alignment horizontal="center" vertical="center" textRotation="90" wrapText="1"/>
    </xf>
    <xf numFmtId="3" fontId="2" fillId="0" borderId="11" xfId="0" applyNumberFormat="1" applyFont="1" applyBorder="1" applyAlignment="1">
      <alignment vertical="top"/>
    </xf>
    <xf numFmtId="49" fontId="2" fillId="6" borderId="93" xfId="0" applyNumberFormat="1" applyFont="1" applyFill="1" applyBorder="1" applyAlignment="1">
      <alignment horizontal="center" vertical="top"/>
    </xf>
    <xf numFmtId="49" fontId="2" fillId="6" borderId="34" xfId="0" applyNumberFormat="1" applyFont="1" applyFill="1" applyBorder="1" applyAlignment="1">
      <alignment horizontal="center" vertical="top"/>
    </xf>
    <xf numFmtId="3" fontId="2" fillId="6" borderId="102" xfId="0" applyNumberFormat="1" applyFont="1" applyFill="1" applyBorder="1" applyAlignment="1">
      <alignment horizontal="center" vertical="top"/>
    </xf>
    <xf numFmtId="3" fontId="2" fillId="6" borderId="101" xfId="0" applyNumberFormat="1" applyFont="1" applyFill="1" applyBorder="1" applyAlignment="1">
      <alignment horizontal="center" vertical="top"/>
    </xf>
    <xf numFmtId="0" fontId="2" fillId="0" borderId="93" xfId="0" applyFont="1" applyBorder="1" applyAlignment="1">
      <alignment horizontal="center" vertical="top"/>
    </xf>
    <xf numFmtId="0" fontId="2" fillId="0" borderId="94" xfId="0" applyFont="1" applyBorder="1" applyAlignment="1">
      <alignment horizontal="center" vertical="top"/>
    </xf>
    <xf numFmtId="165" fontId="2" fillId="6" borderId="58" xfId="0" applyNumberFormat="1" applyFont="1" applyFill="1" applyBorder="1" applyAlignment="1">
      <alignment horizontal="center" vertical="top" wrapText="1"/>
    </xf>
    <xf numFmtId="165" fontId="2" fillId="6" borderId="34" xfId="0" applyNumberFormat="1" applyFont="1" applyFill="1" applyBorder="1" applyAlignment="1">
      <alignment horizontal="center" vertical="center" textRotation="90"/>
    </xf>
    <xf numFmtId="3" fontId="2" fillId="6" borderId="76" xfId="0" applyNumberFormat="1" applyFont="1" applyFill="1" applyBorder="1" applyAlignment="1">
      <alignment vertical="top" wrapText="1"/>
    </xf>
    <xf numFmtId="3" fontId="2" fillId="6" borderId="103" xfId="0" applyNumberFormat="1" applyFont="1" applyFill="1" applyBorder="1" applyAlignment="1">
      <alignment vertical="top" wrapText="1"/>
    </xf>
    <xf numFmtId="0" fontId="2" fillId="6" borderId="103" xfId="0" applyFont="1" applyFill="1" applyBorder="1" applyAlignment="1">
      <alignment vertical="top" wrapText="1"/>
    </xf>
    <xf numFmtId="0" fontId="2" fillId="6" borderId="12" xfId="0" applyFont="1" applyFill="1" applyBorder="1" applyAlignment="1">
      <alignment vertical="top" wrapText="1"/>
    </xf>
    <xf numFmtId="0" fontId="2" fillId="6" borderId="35" xfId="0" applyFont="1" applyFill="1" applyBorder="1" applyAlignment="1">
      <alignment vertical="top" wrapText="1"/>
    </xf>
    <xf numFmtId="3" fontId="2" fillId="6" borderId="103" xfId="0" applyNumberFormat="1"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93" xfId="0" applyFont="1" applyFill="1" applyBorder="1" applyAlignment="1">
      <alignment horizontal="center" vertical="top"/>
    </xf>
    <xf numFmtId="0" fontId="2" fillId="0" borderId="94" xfId="0" applyFont="1" applyFill="1" applyBorder="1" applyAlignment="1">
      <alignment horizontal="center" vertical="top"/>
    </xf>
    <xf numFmtId="0" fontId="2" fillId="0" borderId="97" xfId="0" applyFont="1" applyFill="1" applyBorder="1" applyAlignment="1">
      <alignment horizontal="center" vertical="top"/>
    </xf>
    <xf numFmtId="0" fontId="2" fillId="0" borderId="101" xfId="0" applyFont="1" applyFill="1" applyBorder="1" applyAlignment="1">
      <alignment horizontal="center" vertical="top"/>
    </xf>
    <xf numFmtId="0" fontId="2" fillId="6" borderId="81" xfId="0" applyFont="1" applyFill="1" applyBorder="1" applyAlignment="1">
      <alignment horizontal="center" vertical="top"/>
    </xf>
    <xf numFmtId="0" fontId="2" fillId="0" borderId="105" xfId="0" applyFont="1" applyFill="1" applyBorder="1" applyAlignment="1">
      <alignment horizontal="center" vertical="top"/>
    </xf>
    <xf numFmtId="0" fontId="2" fillId="0" borderId="80" xfId="0" applyFont="1" applyFill="1" applyBorder="1" applyAlignment="1">
      <alignment horizontal="center" vertical="top"/>
    </xf>
    <xf numFmtId="0" fontId="2" fillId="0" borderId="47" xfId="0" applyFont="1" applyFill="1" applyBorder="1" applyAlignment="1">
      <alignment horizontal="center" vertical="top"/>
    </xf>
    <xf numFmtId="3" fontId="2" fillId="6" borderId="69"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3" fillId="6" borderId="96" xfId="0" applyNumberFormat="1" applyFont="1" applyFill="1" applyBorder="1" applyAlignment="1">
      <alignment horizontal="center" vertical="top" wrapText="1"/>
    </xf>
    <xf numFmtId="3" fontId="2" fillId="6" borderId="91" xfId="0" applyNumberFormat="1" applyFont="1" applyFill="1" applyBorder="1" applyAlignment="1">
      <alignment horizontal="center" vertical="top"/>
    </xf>
    <xf numFmtId="3" fontId="2" fillId="6" borderId="96" xfId="0" applyNumberFormat="1" applyFont="1" applyFill="1" applyBorder="1" applyAlignment="1">
      <alignment horizontal="center" vertical="top"/>
    </xf>
    <xf numFmtId="3" fontId="2" fillId="6" borderId="69" xfId="0" applyNumberFormat="1" applyFont="1" applyFill="1" applyBorder="1" applyAlignment="1">
      <alignment vertical="top"/>
    </xf>
    <xf numFmtId="3" fontId="2" fillId="6" borderId="96" xfId="0" applyNumberFormat="1" applyFont="1" applyFill="1" applyBorder="1" applyAlignment="1">
      <alignment vertical="top"/>
    </xf>
    <xf numFmtId="3" fontId="2" fillId="0" borderId="91" xfId="0" applyNumberFormat="1" applyFont="1" applyBorder="1" applyAlignment="1">
      <alignment horizontal="center" vertical="top"/>
    </xf>
    <xf numFmtId="3" fontId="2" fillId="0" borderId="7" xfId="0" applyNumberFormat="1" applyFont="1" applyBorder="1" applyAlignment="1">
      <alignment horizontal="center" vertical="top"/>
    </xf>
    <xf numFmtId="3" fontId="2" fillId="6" borderId="13" xfId="0" applyNumberFormat="1" applyFont="1" applyFill="1" applyBorder="1" applyAlignment="1">
      <alignment horizontal="center" vertical="top"/>
    </xf>
    <xf numFmtId="3" fontId="2" fillId="6" borderId="39" xfId="0" applyNumberFormat="1" applyFont="1" applyFill="1" applyBorder="1" applyAlignment="1">
      <alignment horizontal="center" vertical="top"/>
    </xf>
    <xf numFmtId="3" fontId="2" fillId="6" borderId="8" xfId="0" applyNumberFormat="1" applyFont="1" applyFill="1" applyBorder="1" applyAlignment="1">
      <alignment horizontal="center" vertical="top"/>
    </xf>
    <xf numFmtId="3" fontId="3" fillId="6" borderId="88" xfId="0" applyNumberFormat="1" applyFont="1" applyFill="1" applyBorder="1" applyAlignment="1">
      <alignment horizontal="center" vertical="top" wrapText="1"/>
    </xf>
    <xf numFmtId="3" fontId="2" fillId="6" borderId="2" xfId="0" applyNumberFormat="1" applyFont="1" applyFill="1" applyBorder="1" applyAlignment="1">
      <alignment horizontal="center" vertical="top"/>
    </xf>
    <xf numFmtId="3" fontId="2" fillId="6" borderId="88" xfId="0" applyNumberFormat="1" applyFont="1" applyFill="1" applyBorder="1" applyAlignment="1">
      <alignment horizontal="center" vertical="top"/>
    </xf>
    <xf numFmtId="3" fontId="2" fillId="6" borderId="8" xfId="0" applyNumberFormat="1" applyFont="1" applyFill="1" applyBorder="1" applyAlignment="1">
      <alignment vertical="top"/>
    </xf>
    <xf numFmtId="3" fontId="2" fillId="0" borderId="2" xfId="0" applyNumberFormat="1" applyFont="1" applyBorder="1" applyAlignment="1">
      <alignment horizontal="center" vertical="top"/>
    </xf>
    <xf numFmtId="3" fontId="2" fillId="0" borderId="54" xfId="0" applyNumberFormat="1" applyFont="1" applyBorder="1" applyAlignment="1">
      <alignment horizontal="center" vertical="top"/>
    </xf>
    <xf numFmtId="3" fontId="2" fillId="6" borderId="37" xfId="0" applyNumberFormat="1" applyFont="1" applyFill="1" applyBorder="1" applyAlignment="1">
      <alignment horizontal="center" vertical="top"/>
    </xf>
    <xf numFmtId="3" fontId="2" fillId="6" borderId="106"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3" fillId="6" borderId="25"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3" fontId="2" fillId="6" borderId="25" xfId="0" applyNumberFormat="1" applyFont="1" applyFill="1" applyBorder="1" applyAlignment="1">
      <alignment horizontal="center" vertical="top"/>
    </xf>
    <xf numFmtId="3" fontId="2" fillId="6" borderId="9" xfId="0" applyNumberFormat="1" applyFont="1" applyFill="1" applyBorder="1" applyAlignment="1">
      <alignment vertical="top"/>
    </xf>
    <xf numFmtId="3" fontId="2" fillId="6" borderId="25" xfId="0" applyNumberFormat="1" applyFont="1" applyFill="1" applyBorder="1" applyAlignment="1">
      <alignment vertical="top"/>
    </xf>
    <xf numFmtId="3" fontId="2" fillId="0" borderId="55" xfId="0" applyNumberFormat="1" applyFont="1" applyBorder="1" applyAlignment="1">
      <alignment horizontal="center" vertical="top"/>
    </xf>
    <xf numFmtId="3" fontId="2" fillId="6" borderId="97" xfId="0" applyNumberFormat="1" applyFont="1" applyFill="1" applyBorder="1" applyAlignment="1">
      <alignment horizontal="center" vertical="top"/>
    </xf>
    <xf numFmtId="0" fontId="6" fillId="6" borderId="34" xfId="0" applyFont="1" applyFill="1" applyBorder="1" applyAlignment="1">
      <alignment horizontal="center" vertical="top"/>
    </xf>
    <xf numFmtId="3" fontId="2" fillId="6" borderId="94" xfId="0" applyNumberFormat="1" applyFont="1" applyFill="1" applyBorder="1" applyAlignment="1">
      <alignment horizontal="center" vertical="top"/>
    </xf>
    <xf numFmtId="3" fontId="7" fillId="6" borderId="102" xfId="0"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0" fontId="6" fillId="6" borderId="32" xfId="0" applyFont="1" applyFill="1" applyBorder="1" applyAlignment="1">
      <alignment horizontal="center" vertical="top"/>
    </xf>
    <xf numFmtId="3" fontId="2" fillId="6" borderId="67" xfId="0" applyNumberFormat="1" applyFont="1" applyFill="1" applyBorder="1" applyAlignment="1">
      <alignment horizontal="center" vertical="top"/>
    </xf>
    <xf numFmtId="3" fontId="2" fillId="6" borderId="85" xfId="0" applyNumberFormat="1" applyFont="1" applyFill="1" applyBorder="1" applyAlignment="1">
      <alignment horizontal="center" vertical="top"/>
    </xf>
    <xf numFmtId="3" fontId="7" fillId="6" borderId="39" xfId="0" applyNumberFormat="1" applyFont="1" applyFill="1" applyBorder="1" applyAlignment="1">
      <alignment horizontal="center" vertical="top"/>
    </xf>
    <xf numFmtId="3" fontId="2" fillId="6" borderId="98" xfId="0" applyNumberFormat="1" applyFont="1" applyFill="1" applyBorder="1" applyAlignment="1">
      <alignment horizontal="center" vertical="top"/>
    </xf>
    <xf numFmtId="0" fontId="6" fillId="6" borderId="48" xfId="0" applyFont="1" applyFill="1" applyBorder="1" applyAlignment="1">
      <alignment horizontal="center" vertical="top"/>
    </xf>
    <xf numFmtId="3" fontId="2" fillId="6" borderId="107" xfId="0" applyNumberFormat="1" applyFont="1" applyFill="1" applyBorder="1" applyAlignment="1">
      <alignment horizontal="center" vertical="top"/>
    </xf>
    <xf numFmtId="3" fontId="2" fillId="6" borderId="95" xfId="0" applyNumberFormat="1" applyFont="1" applyFill="1" applyBorder="1" applyAlignment="1">
      <alignment horizontal="center" vertical="top"/>
    </xf>
    <xf numFmtId="3" fontId="7" fillId="6" borderId="106"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3" fontId="2" fillId="6" borderId="23" xfId="0" applyNumberFormat="1" applyFont="1" applyFill="1" applyBorder="1" applyAlignment="1">
      <alignment horizontal="center" vertical="top"/>
    </xf>
    <xf numFmtId="3" fontId="2" fillId="0" borderId="7" xfId="0" applyNumberFormat="1" applyFont="1" applyFill="1" applyBorder="1" applyAlignment="1">
      <alignment horizontal="center" vertical="top"/>
    </xf>
    <xf numFmtId="3" fontId="2" fillId="6" borderId="54" xfId="0" applyNumberFormat="1" applyFont="1" applyFill="1" applyBorder="1" applyAlignment="1">
      <alignment horizontal="center" vertical="top"/>
    </xf>
    <xf numFmtId="3" fontId="2" fillId="6" borderId="19" xfId="0" applyNumberFormat="1" applyFont="1" applyFill="1" applyBorder="1" applyAlignment="1">
      <alignment horizontal="center" vertical="top"/>
    </xf>
    <xf numFmtId="3" fontId="2" fillId="0" borderId="54" xfId="0" applyNumberFormat="1" applyFont="1" applyFill="1" applyBorder="1" applyAlignment="1">
      <alignment horizontal="center" vertical="top"/>
    </xf>
    <xf numFmtId="3" fontId="2" fillId="6" borderId="55"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3" fontId="2" fillId="0" borderId="55" xfId="0" applyNumberFormat="1" applyFont="1" applyFill="1" applyBorder="1" applyAlignment="1">
      <alignment horizontal="center" vertical="top"/>
    </xf>
    <xf numFmtId="3" fontId="2" fillId="6" borderId="18" xfId="0" applyNumberFormat="1" applyFont="1" applyFill="1" applyBorder="1" applyAlignment="1">
      <alignment horizontal="center" vertical="top"/>
    </xf>
    <xf numFmtId="0" fontId="2" fillId="6" borderId="58" xfId="0" applyNumberFormat="1" applyFont="1" applyFill="1" applyBorder="1" applyAlignment="1">
      <alignment horizontal="center" vertical="top"/>
    </xf>
    <xf numFmtId="0" fontId="2" fillId="6" borderId="97" xfId="0" applyNumberFormat="1" applyFont="1" applyFill="1" applyBorder="1" applyAlignment="1">
      <alignment horizontal="center" vertical="top"/>
    </xf>
    <xf numFmtId="3" fontId="3" fillId="6" borderId="58" xfId="0" applyNumberFormat="1" applyFont="1" applyFill="1" applyBorder="1" applyAlignment="1">
      <alignment horizontal="center" vertical="top"/>
    </xf>
    <xf numFmtId="3" fontId="3" fillId="6" borderId="23" xfId="0" applyNumberFormat="1" applyFont="1" applyFill="1" applyBorder="1" applyAlignment="1">
      <alignment horizontal="center" vertical="top" wrapText="1"/>
    </xf>
    <xf numFmtId="3" fontId="2" fillId="6" borderId="29" xfId="0" applyNumberFormat="1" applyFont="1" applyFill="1" applyBorder="1" applyAlignment="1">
      <alignment horizontal="center" vertical="top"/>
    </xf>
    <xf numFmtId="0" fontId="2" fillId="6" borderId="13" xfId="0" applyNumberFormat="1" applyFont="1" applyFill="1" applyBorder="1" applyAlignment="1">
      <alignment horizontal="center" vertical="top"/>
    </xf>
    <xf numFmtId="0" fontId="2" fillId="6" borderId="40" xfId="0" applyNumberFormat="1" applyFont="1" applyFill="1" applyBorder="1" applyAlignment="1">
      <alignment horizontal="center" vertical="top"/>
    </xf>
    <xf numFmtId="3" fontId="3" fillId="6" borderId="19" xfId="0" applyNumberFormat="1" applyFont="1" applyFill="1" applyBorder="1" applyAlignment="1">
      <alignment horizontal="center" vertical="top" wrapText="1"/>
    </xf>
    <xf numFmtId="3" fontId="2" fillId="6" borderId="44" xfId="0" applyNumberFormat="1" applyFont="1" applyFill="1" applyBorder="1" applyAlignment="1">
      <alignment horizontal="center" vertical="top"/>
    </xf>
    <xf numFmtId="0" fontId="2" fillId="6" borderId="37" xfId="0" applyNumberFormat="1" applyFont="1" applyFill="1" applyBorder="1" applyAlignment="1">
      <alignment horizontal="center" vertical="top"/>
    </xf>
    <xf numFmtId="0" fontId="2" fillId="6" borderId="98" xfId="0" applyNumberFormat="1" applyFont="1" applyFill="1" applyBorder="1" applyAlignment="1">
      <alignment horizontal="center" vertical="top"/>
    </xf>
    <xf numFmtId="3" fontId="3" fillId="6" borderId="20" xfId="0" applyNumberFormat="1" applyFont="1" applyFill="1" applyBorder="1" applyAlignment="1">
      <alignment horizontal="center" vertical="top" wrapText="1"/>
    </xf>
    <xf numFmtId="0" fontId="2" fillId="0" borderId="88" xfId="0" applyFont="1" applyBorder="1" applyAlignment="1">
      <alignment horizontal="center" vertical="center" textRotation="90"/>
    </xf>
    <xf numFmtId="165" fontId="2" fillId="6" borderId="32" xfId="0" applyNumberFormat="1" applyFont="1" applyFill="1" applyBorder="1" applyAlignment="1">
      <alignment horizontal="center" vertical="center" textRotation="90"/>
    </xf>
    <xf numFmtId="49" fontId="2" fillId="6" borderId="8" xfId="0" applyNumberFormat="1" applyFont="1" applyFill="1" applyBorder="1" applyAlignment="1">
      <alignment horizontal="center" vertical="top" wrapText="1"/>
    </xf>
    <xf numFmtId="0" fontId="2" fillId="0" borderId="68" xfId="0" applyFont="1" applyBorder="1" applyAlignment="1">
      <alignment horizontal="center" vertical="top"/>
    </xf>
    <xf numFmtId="0" fontId="2" fillId="0" borderId="85" xfId="0" applyFont="1" applyBorder="1" applyAlignment="1">
      <alignment horizontal="center" vertical="top"/>
    </xf>
    <xf numFmtId="165" fontId="2" fillId="6" borderId="48" xfId="0" applyNumberFormat="1" applyFont="1" applyFill="1" applyBorder="1" applyAlignment="1">
      <alignment horizontal="center" vertical="center" textRotation="90"/>
    </xf>
    <xf numFmtId="165" fontId="2" fillId="6" borderId="37" xfId="0" applyNumberFormat="1" applyFont="1" applyFill="1" applyBorder="1" applyAlignment="1">
      <alignment horizontal="center" vertical="top" wrapText="1"/>
    </xf>
    <xf numFmtId="49" fontId="2" fillId="6" borderId="9" xfId="0" applyNumberFormat="1" applyFont="1" applyFill="1" applyBorder="1" applyAlignment="1">
      <alignment horizontal="center" vertical="top" wrapText="1"/>
    </xf>
    <xf numFmtId="0" fontId="2" fillId="0" borderId="70" xfId="0" applyFont="1" applyBorder="1" applyAlignment="1">
      <alignment horizontal="center" vertical="top"/>
    </xf>
    <xf numFmtId="0" fontId="2" fillId="0" borderId="95" xfId="0" applyFont="1" applyBorder="1" applyAlignment="1">
      <alignment horizontal="center" vertical="top"/>
    </xf>
    <xf numFmtId="49" fontId="2" fillId="6" borderId="68" xfId="0" applyNumberFormat="1" applyFont="1" applyFill="1" applyBorder="1" applyAlignment="1">
      <alignment horizontal="center" vertical="top"/>
    </xf>
    <xf numFmtId="49" fontId="2" fillId="6" borderId="8" xfId="0" applyNumberFormat="1" applyFont="1" applyFill="1" applyBorder="1" applyAlignment="1">
      <alignment horizontal="center" vertical="top"/>
    </xf>
    <xf numFmtId="49" fontId="2" fillId="6" borderId="32" xfId="0" applyNumberFormat="1" applyFont="1" applyFill="1" applyBorder="1" applyAlignment="1">
      <alignment horizontal="center" vertical="top"/>
    </xf>
    <xf numFmtId="49" fontId="2" fillId="6" borderId="81" xfId="0" applyNumberFormat="1" applyFont="1" applyFill="1" applyBorder="1" applyAlignment="1">
      <alignment horizontal="center" vertical="top"/>
    </xf>
    <xf numFmtId="49" fontId="2" fillId="6" borderId="57" xfId="0" applyNumberFormat="1" applyFont="1" applyFill="1" applyBorder="1" applyAlignment="1">
      <alignment horizontal="center" vertical="top"/>
    </xf>
    <xf numFmtId="49" fontId="2" fillId="6" borderId="33" xfId="0" applyNumberFormat="1" applyFont="1" applyFill="1" applyBorder="1" applyAlignment="1">
      <alignment horizontal="center" vertical="top"/>
    </xf>
    <xf numFmtId="3" fontId="2" fillId="6" borderId="80" xfId="0" applyNumberFormat="1" applyFont="1" applyFill="1" applyBorder="1" applyAlignment="1">
      <alignment horizontal="center" vertical="top"/>
    </xf>
    <xf numFmtId="3" fontId="2" fillId="6" borderId="47" xfId="0" applyNumberFormat="1" applyFont="1" applyFill="1" applyBorder="1" applyAlignment="1">
      <alignment horizontal="center" vertical="top"/>
    </xf>
    <xf numFmtId="3" fontId="7" fillId="6" borderId="46" xfId="0" applyNumberFormat="1" applyFont="1" applyFill="1" applyBorder="1" applyAlignment="1">
      <alignment horizontal="center" vertical="top"/>
    </xf>
    <xf numFmtId="3" fontId="2" fillId="6" borderId="108" xfId="0" applyNumberFormat="1" applyFont="1" applyFill="1" applyBorder="1" applyAlignment="1">
      <alignment horizontal="center" vertical="top"/>
    </xf>
    <xf numFmtId="0" fontId="2" fillId="6" borderId="45" xfId="0" applyFont="1" applyFill="1" applyBorder="1" applyAlignment="1">
      <alignment vertical="top" wrapText="1"/>
    </xf>
    <xf numFmtId="3" fontId="2" fillId="6" borderId="104" xfId="0" applyNumberFormat="1" applyFont="1" applyFill="1" applyBorder="1" applyAlignment="1">
      <alignment vertical="top" wrapText="1"/>
    </xf>
    <xf numFmtId="3" fontId="2" fillId="6" borderId="105" xfId="0" applyNumberFormat="1" applyFont="1" applyFill="1" applyBorder="1" applyAlignment="1">
      <alignment horizontal="center" vertical="top"/>
    </xf>
    <xf numFmtId="3" fontId="2" fillId="6" borderId="103" xfId="0" applyNumberFormat="1" applyFont="1" applyFill="1" applyBorder="1" applyAlignment="1">
      <alignment horizontal="center" vertical="top"/>
    </xf>
    <xf numFmtId="3" fontId="7" fillId="6" borderId="104" xfId="0" applyNumberFormat="1" applyFont="1" applyFill="1" applyBorder="1" applyAlignment="1">
      <alignment horizontal="center" vertical="top"/>
    </xf>
    <xf numFmtId="0" fontId="2" fillId="6" borderId="43" xfId="0" applyFont="1" applyFill="1" applyBorder="1" applyAlignment="1">
      <alignment vertical="top" wrapText="1"/>
    </xf>
    <xf numFmtId="0" fontId="2" fillId="6" borderId="77" xfId="0" applyFont="1" applyFill="1" applyBorder="1" applyAlignment="1">
      <alignment vertical="top" wrapText="1"/>
    </xf>
    <xf numFmtId="166" fontId="13" fillId="6" borderId="56" xfId="0" applyNumberFormat="1" applyFont="1" applyFill="1" applyBorder="1" applyAlignment="1">
      <alignment horizontal="left" vertical="top" wrapText="1"/>
    </xf>
    <xf numFmtId="3" fontId="2" fillId="6" borderId="56" xfId="0" applyNumberFormat="1" applyFont="1" applyFill="1" applyBorder="1" applyAlignment="1">
      <alignment horizontal="left" vertical="top" wrapText="1"/>
    </xf>
    <xf numFmtId="3" fontId="2" fillId="6" borderId="5" xfId="0" applyNumberFormat="1" applyFont="1" applyFill="1" applyBorder="1" applyAlignment="1">
      <alignment vertical="top" wrapText="1"/>
    </xf>
    <xf numFmtId="3" fontId="2" fillId="0" borderId="56" xfId="0" applyNumberFormat="1" applyFont="1" applyBorder="1" applyAlignment="1">
      <alignment vertical="top" wrapText="1"/>
    </xf>
    <xf numFmtId="3" fontId="2" fillId="0" borderId="52" xfId="0" applyNumberFormat="1" applyFont="1" applyBorder="1" applyAlignment="1">
      <alignment vertical="top" wrapText="1"/>
    </xf>
    <xf numFmtId="0" fontId="11" fillId="6" borderId="56" xfId="0" applyFont="1" applyFill="1" applyBorder="1" applyAlignment="1">
      <alignment vertical="top" wrapText="1"/>
    </xf>
    <xf numFmtId="0" fontId="2" fillId="6" borderId="76" xfId="0" applyFont="1" applyFill="1" applyBorder="1" applyAlignment="1">
      <alignment vertical="top" wrapText="1"/>
    </xf>
    <xf numFmtId="0" fontId="11" fillId="6" borderId="35" xfId="0" applyFont="1" applyFill="1" applyBorder="1" applyAlignment="1">
      <alignment vertical="top" wrapText="1"/>
    </xf>
    <xf numFmtId="0" fontId="2" fillId="6" borderId="103" xfId="0" applyFont="1" applyFill="1" applyBorder="1" applyAlignment="1">
      <alignment horizontal="left" vertical="top" wrapText="1"/>
    </xf>
    <xf numFmtId="0" fontId="2" fillId="6" borderId="35" xfId="0" applyFont="1" applyFill="1" applyBorder="1" applyAlignment="1">
      <alignment horizontal="left" vertical="top" wrapText="1"/>
    </xf>
    <xf numFmtId="0" fontId="7" fillId="6" borderId="43" xfId="0" applyFont="1" applyFill="1" applyBorder="1" applyAlignment="1">
      <alignment horizontal="left" vertical="top" wrapText="1"/>
    </xf>
    <xf numFmtId="166" fontId="13" fillId="6" borderId="24" xfId="0" applyNumberFormat="1" applyFont="1" applyFill="1" applyBorder="1" applyAlignment="1">
      <alignment horizontal="left" vertical="top" wrapText="1"/>
    </xf>
    <xf numFmtId="3" fontId="2" fillId="6" borderId="52" xfId="0" applyNumberFormat="1" applyFont="1" applyFill="1" applyBorder="1" applyAlignment="1">
      <alignment vertical="top" wrapText="1"/>
    </xf>
    <xf numFmtId="3" fontId="2" fillId="0" borderId="12" xfId="0" applyNumberFormat="1" applyFont="1" applyBorder="1" applyAlignment="1">
      <alignment vertical="top" wrapText="1"/>
    </xf>
    <xf numFmtId="3" fontId="2" fillId="6" borderId="5" xfId="0" applyNumberFormat="1" applyFont="1" applyFill="1" applyBorder="1" applyAlignment="1">
      <alignment vertical="top"/>
    </xf>
    <xf numFmtId="3" fontId="2" fillId="6" borderId="56" xfId="0" applyNumberFormat="1" applyFont="1" applyFill="1" applyBorder="1" applyAlignment="1">
      <alignment vertical="top"/>
    </xf>
    <xf numFmtId="3" fontId="13" fillId="6" borderId="35" xfId="0" applyNumberFormat="1" applyFont="1" applyFill="1" applyBorder="1" applyAlignment="1">
      <alignment vertical="top" wrapText="1"/>
    </xf>
    <xf numFmtId="3" fontId="2" fillId="0" borderId="52" xfId="0" applyNumberFormat="1" applyFont="1" applyFill="1" applyBorder="1" applyAlignment="1">
      <alignment vertical="top" wrapText="1"/>
    </xf>
    <xf numFmtId="3" fontId="2" fillId="6" borderId="35" xfId="0" applyNumberFormat="1" applyFont="1" applyFill="1" applyBorder="1" applyAlignment="1">
      <alignment vertical="top"/>
    </xf>
    <xf numFmtId="0" fontId="2" fillId="6" borderId="77" xfId="0" applyFont="1" applyFill="1" applyBorder="1" applyAlignment="1">
      <alignment horizontal="left" vertical="top" wrapText="1"/>
    </xf>
    <xf numFmtId="0" fontId="2" fillId="6" borderId="101" xfId="0" applyFont="1" applyFill="1" applyBorder="1" applyAlignment="1">
      <alignment horizontal="center" vertical="center"/>
    </xf>
    <xf numFmtId="0" fontId="2" fillId="6" borderId="34" xfId="0" applyFont="1" applyFill="1" applyBorder="1" applyAlignment="1">
      <alignment horizontal="center" vertical="center"/>
    </xf>
    <xf numFmtId="0" fontId="2" fillId="10" borderId="102" xfId="0" applyFont="1" applyFill="1" applyBorder="1" applyAlignment="1">
      <alignment horizontal="center" vertical="top"/>
    </xf>
    <xf numFmtId="0" fontId="2" fillId="10" borderId="69" xfId="0" applyFont="1" applyFill="1" applyBorder="1" applyAlignment="1">
      <alignment horizontal="center" vertical="center"/>
    </xf>
    <xf numFmtId="0" fontId="2" fillId="10" borderId="94" xfId="0" applyFont="1" applyFill="1" applyBorder="1" applyAlignment="1">
      <alignment horizontal="center" vertical="top"/>
    </xf>
    <xf numFmtId="0" fontId="2" fillId="10" borderId="58" xfId="0" applyFont="1" applyFill="1" applyBorder="1" applyAlignment="1">
      <alignment horizontal="center" vertical="top"/>
    </xf>
    <xf numFmtId="3" fontId="2" fillId="6" borderId="52" xfId="0" applyNumberFormat="1" applyFont="1" applyFill="1" applyBorder="1" applyAlignment="1">
      <alignment vertical="top"/>
    </xf>
    <xf numFmtId="0" fontId="2" fillId="0" borderId="76" xfId="0" applyFont="1" applyBorder="1" applyAlignment="1">
      <alignment vertical="top" wrapText="1"/>
    </xf>
    <xf numFmtId="0" fontId="2" fillId="6" borderId="103" xfId="0" applyFont="1" applyFill="1" applyBorder="1" applyAlignment="1">
      <alignment vertical="center" wrapText="1"/>
    </xf>
    <xf numFmtId="0" fontId="2" fillId="6" borderId="77" xfId="0" applyFont="1" applyFill="1" applyBorder="1" applyAlignment="1">
      <alignment vertical="center" wrapText="1"/>
    </xf>
    <xf numFmtId="0" fontId="2" fillId="10" borderId="43" xfId="0" applyFont="1" applyFill="1" applyBorder="1" applyAlignment="1">
      <alignment vertical="top" wrapText="1"/>
    </xf>
    <xf numFmtId="0" fontId="2" fillId="0" borderId="77" xfId="0" applyFont="1" applyBorder="1" applyAlignment="1">
      <alignment vertical="top" wrapText="1"/>
    </xf>
    <xf numFmtId="0" fontId="2" fillId="6" borderId="58" xfId="0" applyFont="1" applyFill="1" applyBorder="1" applyAlignment="1">
      <alignment horizontal="center" vertical="top"/>
    </xf>
    <xf numFmtId="0" fontId="2" fillId="6" borderId="34" xfId="0" applyFont="1" applyFill="1" applyBorder="1" applyAlignment="1">
      <alignment horizontal="center" vertical="top"/>
    </xf>
    <xf numFmtId="0" fontId="2" fillId="6" borderId="69" xfId="0" applyFont="1" applyFill="1" applyBorder="1" applyAlignment="1">
      <alignment horizontal="center" vertical="top"/>
    </xf>
    <xf numFmtId="3" fontId="2" fillId="6" borderId="52" xfId="0" applyNumberFormat="1" applyFont="1" applyFill="1" applyBorder="1" applyAlignment="1">
      <alignment horizontal="left" vertical="top" wrapText="1"/>
    </xf>
    <xf numFmtId="49" fontId="4" fillId="4" borderId="29" xfId="0" applyNumberFormat="1" applyFont="1" applyFill="1" applyBorder="1" applyAlignment="1">
      <alignment horizontal="left" vertical="top" wrapText="1"/>
    </xf>
    <xf numFmtId="0" fontId="4" fillId="6" borderId="48" xfId="0" applyFont="1" applyFill="1" applyBorder="1" applyAlignment="1">
      <alignment horizontal="left" vertical="top" wrapText="1"/>
    </xf>
    <xf numFmtId="0" fontId="4" fillId="6" borderId="71" xfId="0" applyFont="1" applyFill="1" applyBorder="1" applyAlignment="1">
      <alignment horizontal="left" vertical="top" wrapText="1"/>
    </xf>
    <xf numFmtId="3" fontId="2" fillId="6" borderId="12" xfId="0" applyNumberFormat="1" applyFont="1" applyFill="1" applyBorder="1" applyAlignment="1">
      <alignment vertical="top"/>
    </xf>
    <xf numFmtId="0" fontId="2" fillId="0" borderId="89" xfId="0" applyFont="1" applyBorder="1" applyAlignment="1">
      <alignment horizontal="center" vertical="center" textRotation="90"/>
    </xf>
    <xf numFmtId="0" fontId="2" fillId="0" borderId="0" xfId="0" applyFont="1" applyBorder="1" applyAlignment="1"/>
    <xf numFmtId="0" fontId="2" fillId="6" borderId="67" xfId="0" applyFont="1" applyFill="1" applyBorder="1" applyAlignment="1">
      <alignment horizontal="center" vertical="center"/>
    </xf>
    <xf numFmtId="0" fontId="2" fillId="6" borderId="32" xfId="0" applyFont="1" applyFill="1" applyBorder="1" applyAlignment="1">
      <alignment horizontal="center" vertical="center"/>
    </xf>
    <xf numFmtId="0" fontId="2" fillId="10" borderId="39" xfId="0" applyFont="1" applyFill="1" applyBorder="1" applyAlignment="1">
      <alignment horizontal="center" vertical="top"/>
    </xf>
    <xf numFmtId="0" fontId="2" fillId="10" borderId="8" xfId="0" applyFont="1" applyFill="1" applyBorder="1" applyAlignment="1">
      <alignment horizontal="center" vertical="center"/>
    </xf>
    <xf numFmtId="0" fontId="2" fillId="10" borderId="85" xfId="0" applyFont="1" applyFill="1" applyBorder="1" applyAlignment="1">
      <alignment horizontal="center" vertical="top"/>
    </xf>
    <xf numFmtId="0" fontId="2" fillId="10" borderId="13" xfId="0" applyFont="1" applyFill="1" applyBorder="1" applyAlignment="1">
      <alignment horizontal="center" vertical="top"/>
    </xf>
    <xf numFmtId="0" fontId="2" fillId="6" borderId="107" xfId="0" applyFont="1" applyFill="1" applyBorder="1" applyAlignment="1">
      <alignment horizontal="center" vertical="center"/>
    </xf>
    <xf numFmtId="0" fontId="2" fillId="6" borderId="48" xfId="0" applyFont="1" applyFill="1" applyBorder="1" applyAlignment="1">
      <alignment horizontal="center" vertical="center"/>
    </xf>
    <xf numFmtId="0" fontId="2" fillId="10" borderId="106" xfId="0" applyFont="1" applyFill="1" applyBorder="1" applyAlignment="1">
      <alignment horizontal="center" vertical="top"/>
    </xf>
    <xf numFmtId="0" fontId="2" fillId="10" borderId="9" xfId="0" applyFont="1" applyFill="1" applyBorder="1" applyAlignment="1">
      <alignment horizontal="center" vertical="center"/>
    </xf>
    <xf numFmtId="0" fontId="2" fillId="10" borderId="95" xfId="0" applyFont="1" applyFill="1" applyBorder="1" applyAlignment="1">
      <alignment horizontal="center" vertical="top"/>
    </xf>
    <xf numFmtId="0" fontId="2" fillId="10" borderId="37" xfId="0" applyFont="1" applyFill="1" applyBorder="1" applyAlignment="1">
      <alignment horizontal="center" vertical="top"/>
    </xf>
    <xf numFmtId="0" fontId="2" fillId="6" borderId="13" xfId="0" applyFont="1" applyFill="1" applyBorder="1" applyAlignment="1">
      <alignment horizontal="center" vertical="top"/>
    </xf>
    <xf numFmtId="0" fontId="2" fillId="6" borderId="32" xfId="0" applyFont="1" applyFill="1" applyBorder="1" applyAlignment="1">
      <alignment horizontal="center" vertical="top"/>
    </xf>
    <xf numFmtId="0" fontId="2" fillId="6" borderId="48" xfId="0" applyFont="1" applyFill="1" applyBorder="1" applyAlignment="1">
      <alignment horizontal="center" vertical="top"/>
    </xf>
    <xf numFmtId="0" fontId="2" fillId="6" borderId="9" xfId="0" applyFont="1" applyFill="1" applyBorder="1" applyAlignment="1">
      <alignment horizontal="center" vertical="top"/>
    </xf>
    <xf numFmtId="0" fontId="9" fillId="0" borderId="0" xfId="0" applyFont="1" applyFill="1" applyAlignment="1">
      <alignment vertical="top"/>
    </xf>
    <xf numFmtId="0" fontId="9" fillId="8" borderId="0" xfId="0" applyFont="1" applyFill="1" applyAlignment="1">
      <alignment vertical="top"/>
    </xf>
    <xf numFmtId="0" fontId="2" fillId="6" borderId="57" xfId="0" applyFont="1" applyFill="1" applyBorder="1" applyAlignment="1">
      <alignment horizontal="center" vertical="top"/>
    </xf>
    <xf numFmtId="166" fontId="4" fillId="9" borderId="89" xfId="0" applyNumberFormat="1" applyFont="1" applyFill="1" applyBorder="1" applyAlignment="1">
      <alignment horizontal="center" vertical="top"/>
    </xf>
    <xf numFmtId="3" fontId="2" fillId="6" borderId="66" xfId="0" applyNumberFormat="1" applyFont="1" applyFill="1" applyBorder="1" applyAlignment="1">
      <alignment horizontal="center" vertical="top"/>
    </xf>
    <xf numFmtId="3" fontId="2" fillId="6" borderId="78" xfId="0" applyNumberFormat="1" applyFont="1" applyFill="1" applyBorder="1" applyAlignment="1">
      <alignment vertical="top" wrapText="1"/>
    </xf>
    <xf numFmtId="3" fontId="2" fillId="6" borderId="83" xfId="0" applyNumberFormat="1" applyFont="1" applyFill="1" applyBorder="1" applyAlignment="1">
      <alignment horizontal="center" vertical="top"/>
    </xf>
    <xf numFmtId="3" fontId="2" fillId="6" borderId="52" xfId="0" applyNumberFormat="1" applyFont="1" applyFill="1" applyBorder="1" applyAlignment="1">
      <alignment horizontal="center" vertical="top"/>
    </xf>
    <xf numFmtId="3" fontId="2" fillId="6" borderId="109" xfId="0" applyNumberFormat="1" applyFont="1" applyFill="1" applyBorder="1" applyAlignment="1">
      <alignment horizontal="center" vertical="top"/>
    </xf>
    <xf numFmtId="3" fontId="2" fillId="6" borderId="110" xfId="0" applyNumberFormat="1" applyFont="1" applyFill="1" applyBorder="1" applyAlignment="1">
      <alignment horizontal="center" vertical="top"/>
    </xf>
    <xf numFmtId="49" fontId="2" fillId="6" borderId="104" xfId="0" applyNumberFormat="1" applyFont="1" applyFill="1" applyBorder="1" applyAlignment="1">
      <alignment horizontal="center" vertical="top" wrapText="1"/>
    </xf>
    <xf numFmtId="0" fontId="2" fillId="6" borderId="9" xfId="0" applyNumberFormat="1" applyFont="1" applyFill="1" applyBorder="1" applyAlignment="1">
      <alignment horizontal="center" vertical="top"/>
    </xf>
    <xf numFmtId="0" fontId="2" fillId="6" borderId="67" xfId="0" applyFont="1" applyFill="1" applyBorder="1" applyAlignment="1">
      <alignment horizontal="left" vertical="top" wrapText="1"/>
    </xf>
    <xf numFmtId="166" fontId="2" fillId="6" borderId="107" xfId="0" applyNumberFormat="1" applyFont="1" applyFill="1" applyBorder="1" applyAlignment="1">
      <alignment horizontal="center" vertical="top"/>
    </xf>
    <xf numFmtId="166" fontId="2" fillId="6" borderId="75" xfId="0" applyNumberFormat="1" applyFont="1" applyFill="1" applyBorder="1" applyAlignment="1">
      <alignment horizontal="center" vertical="top"/>
    </xf>
    <xf numFmtId="0" fontId="2" fillId="6" borderId="41" xfId="1" applyNumberFormat="1" applyFont="1" applyFill="1" applyBorder="1" applyAlignment="1">
      <alignment horizontal="center" vertical="top" wrapText="1"/>
    </xf>
    <xf numFmtId="0" fontId="2" fillId="0" borderId="12" xfId="0" applyFont="1" applyBorder="1" applyAlignment="1">
      <alignment horizontal="center" vertical="top"/>
    </xf>
    <xf numFmtId="166" fontId="3" fillId="6" borderId="71" xfId="0" applyNumberFormat="1" applyFont="1" applyFill="1" applyBorder="1" applyAlignment="1">
      <alignment horizontal="center" vertical="top"/>
    </xf>
    <xf numFmtId="3" fontId="2" fillId="6" borderId="76" xfId="0" applyNumberFormat="1" applyFont="1" applyFill="1" applyBorder="1" applyAlignment="1">
      <alignment horizontal="center" vertical="top"/>
    </xf>
    <xf numFmtId="166" fontId="3" fillId="6" borderId="40" xfId="0" applyNumberFormat="1" applyFont="1" applyFill="1" applyBorder="1" applyAlignment="1">
      <alignment horizontal="center" vertical="top"/>
    </xf>
    <xf numFmtId="166" fontId="3" fillId="6" borderId="70" xfId="0" applyNumberFormat="1" applyFont="1" applyFill="1" applyBorder="1" applyAlignment="1">
      <alignment horizontal="center" vertical="top"/>
    </xf>
    <xf numFmtId="166" fontId="3" fillId="6" borderId="111" xfId="0" applyNumberFormat="1" applyFont="1" applyFill="1" applyBorder="1" applyAlignment="1">
      <alignment horizontal="center" vertical="top"/>
    </xf>
    <xf numFmtId="0" fontId="2" fillId="6" borderId="70" xfId="0" applyFont="1" applyFill="1" applyBorder="1" applyAlignment="1">
      <alignment horizontal="center" vertical="top"/>
    </xf>
    <xf numFmtId="0" fontId="2" fillId="6" borderId="112" xfId="0" applyFont="1" applyFill="1" applyBorder="1" applyAlignment="1">
      <alignment horizontal="left" vertical="top" wrapText="1"/>
    </xf>
    <xf numFmtId="0" fontId="2" fillId="6" borderId="103" xfId="0" applyFont="1" applyFill="1" applyBorder="1" applyAlignment="1">
      <alignment horizontal="center" vertical="top"/>
    </xf>
    <xf numFmtId="0" fontId="2" fillId="6" borderId="67" xfId="0" applyFont="1" applyFill="1" applyBorder="1" applyAlignment="1">
      <alignment horizontal="center" vertical="top"/>
    </xf>
    <xf numFmtId="0" fontId="2" fillId="6" borderId="95" xfId="0" applyFont="1" applyFill="1" applyBorder="1" applyAlignment="1">
      <alignment horizontal="center" vertical="top"/>
    </xf>
    <xf numFmtId="0" fontId="2" fillId="6" borderId="113" xfId="0" applyFont="1" applyFill="1" applyBorder="1" applyAlignment="1">
      <alignment horizontal="center" vertical="top"/>
    </xf>
    <xf numFmtId="0" fontId="2" fillId="6" borderId="106" xfId="0" applyFont="1" applyFill="1" applyBorder="1" applyAlignment="1">
      <alignment horizontal="center" vertical="top"/>
    </xf>
    <xf numFmtId="166" fontId="2" fillId="6" borderId="111" xfId="0" applyNumberFormat="1" applyFont="1" applyFill="1" applyBorder="1" applyAlignment="1">
      <alignment horizontal="center" vertical="top"/>
    </xf>
    <xf numFmtId="0" fontId="2" fillId="6" borderId="77" xfId="0" applyFont="1" applyFill="1" applyBorder="1" applyAlignment="1">
      <alignment horizontal="center" vertical="top"/>
    </xf>
    <xf numFmtId="166" fontId="2" fillId="6" borderId="103" xfId="0" applyNumberFormat="1" applyFont="1" applyFill="1" applyBorder="1" applyAlignment="1">
      <alignment horizontal="center" vertical="top"/>
    </xf>
    <xf numFmtId="166" fontId="2" fillId="6" borderId="67" xfId="0" applyNumberFormat="1" applyFont="1" applyFill="1" applyBorder="1" applyAlignment="1">
      <alignment horizontal="center" vertical="top"/>
    </xf>
    <xf numFmtId="166" fontId="2" fillId="6" borderId="84" xfId="0" applyNumberFormat="1" applyFont="1" applyFill="1" applyBorder="1" applyAlignment="1">
      <alignment horizontal="center" vertical="top"/>
    </xf>
    <xf numFmtId="166" fontId="2" fillId="6" borderId="104" xfId="0" applyNumberFormat="1" applyFont="1" applyFill="1" applyBorder="1" applyAlignment="1">
      <alignment horizontal="center" vertical="top"/>
    </xf>
    <xf numFmtId="166" fontId="2" fillId="6" borderId="106" xfId="0" applyNumberFormat="1" applyFont="1" applyFill="1" applyBorder="1" applyAlignment="1">
      <alignment horizontal="center" vertical="top"/>
    </xf>
    <xf numFmtId="3" fontId="2" fillId="6" borderId="104" xfId="0" applyNumberFormat="1" applyFont="1" applyFill="1" applyBorder="1" applyAlignment="1">
      <alignment horizontal="center" vertical="top"/>
    </xf>
    <xf numFmtId="166" fontId="3" fillId="6" borderId="107" xfId="0" applyNumberFormat="1" applyFont="1" applyFill="1" applyBorder="1" applyAlignment="1">
      <alignment horizontal="center" vertical="top"/>
    </xf>
    <xf numFmtId="166" fontId="3" fillId="6" borderId="113" xfId="0" applyNumberFormat="1" applyFont="1" applyFill="1" applyBorder="1" applyAlignment="1">
      <alignment horizontal="center" vertical="top"/>
    </xf>
    <xf numFmtId="166" fontId="2" fillId="6" borderId="39" xfId="0" applyNumberFormat="1" applyFont="1" applyFill="1" applyBorder="1" applyAlignment="1">
      <alignment horizontal="center" vertical="top"/>
    </xf>
    <xf numFmtId="166" fontId="2" fillId="6" borderId="113" xfId="0" applyNumberFormat="1" applyFont="1" applyFill="1" applyBorder="1" applyAlignment="1">
      <alignment horizontal="center" vertical="top"/>
    </xf>
    <xf numFmtId="3" fontId="2" fillId="6" borderId="77" xfId="0" applyNumberFormat="1" applyFont="1" applyFill="1" applyBorder="1" applyAlignment="1">
      <alignment horizontal="center" vertical="top"/>
    </xf>
    <xf numFmtId="0" fontId="2" fillId="6" borderId="93" xfId="0" applyNumberFormat="1" applyFont="1" applyFill="1" applyBorder="1" applyAlignment="1">
      <alignment horizontal="center" vertical="top"/>
    </xf>
    <xf numFmtId="0" fontId="2" fillId="6" borderId="68" xfId="0" applyNumberFormat="1" applyFont="1" applyFill="1" applyBorder="1" applyAlignment="1">
      <alignment horizontal="center" vertical="top"/>
    </xf>
    <xf numFmtId="0" fontId="2" fillId="6" borderId="101" xfId="0" applyNumberFormat="1" applyFont="1" applyFill="1" applyBorder="1" applyAlignment="1">
      <alignment horizontal="center" vertical="top"/>
    </xf>
    <xf numFmtId="0" fontId="2" fillId="6" borderId="67" xfId="0" applyNumberFormat="1" applyFont="1" applyFill="1" applyBorder="1" applyAlignment="1">
      <alignment horizontal="center" vertical="top"/>
    </xf>
    <xf numFmtId="0" fontId="2" fillId="6" borderId="47" xfId="0" applyNumberFormat="1" applyFont="1" applyFill="1" applyBorder="1" applyAlignment="1">
      <alignment horizontal="center" vertical="top"/>
    </xf>
    <xf numFmtId="0" fontId="2" fillId="6" borderId="103"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4" fillId="6" borderId="37" xfId="0" applyNumberFormat="1" applyFont="1" applyFill="1" applyBorder="1" applyAlignment="1">
      <alignment horizontal="center" vertical="top" wrapText="1"/>
    </xf>
    <xf numFmtId="49" fontId="2" fillId="6" borderId="39" xfId="0" applyNumberFormat="1" applyFont="1" applyFill="1" applyBorder="1" applyAlignment="1">
      <alignment horizontal="center" vertical="top"/>
    </xf>
    <xf numFmtId="49" fontId="2" fillId="6" borderId="106" xfId="0" applyNumberFormat="1" applyFont="1" applyFill="1" applyBorder="1" applyAlignment="1">
      <alignment horizontal="center" vertical="top"/>
    </xf>
    <xf numFmtId="49" fontId="2" fillId="6" borderId="75" xfId="0" applyNumberFormat="1" applyFont="1" applyFill="1" applyBorder="1" applyAlignment="1">
      <alignment horizontal="center" vertical="top"/>
    </xf>
    <xf numFmtId="166" fontId="19" fillId="6" borderId="39" xfId="0" applyNumberFormat="1" applyFont="1" applyFill="1" applyBorder="1" applyAlignment="1">
      <alignment horizontal="center" vertical="top"/>
    </xf>
    <xf numFmtId="0" fontId="2" fillId="6" borderId="43" xfId="0" applyNumberFormat="1" applyFont="1" applyFill="1" applyBorder="1" applyAlignment="1">
      <alignment horizontal="center" vertical="top"/>
    </xf>
    <xf numFmtId="0" fontId="2" fillId="0" borderId="104" xfId="0" applyFont="1" applyBorder="1" applyAlignment="1">
      <alignment horizontal="center" vertical="top"/>
    </xf>
    <xf numFmtId="0" fontId="2" fillId="0" borderId="104" xfId="0" applyFont="1" applyBorder="1" applyAlignment="1">
      <alignment vertical="top"/>
    </xf>
    <xf numFmtId="165" fontId="2" fillId="6" borderId="58" xfId="0" applyNumberFormat="1" applyFont="1" applyFill="1" applyBorder="1" applyAlignment="1">
      <alignment horizontal="center" vertical="center"/>
    </xf>
    <xf numFmtId="0" fontId="2" fillId="6" borderId="104" xfId="0" applyFont="1" applyFill="1" applyBorder="1" applyAlignment="1">
      <alignment horizontal="left" vertical="top" wrapText="1"/>
    </xf>
    <xf numFmtId="0" fontId="2" fillId="6" borderId="102" xfId="0" applyFont="1" applyFill="1" applyBorder="1" applyAlignment="1">
      <alignment horizontal="center" vertical="top"/>
    </xf>
    <xf numFmtId="0" fontId="2" fillId="6" borderId="39" xfId="0" applyFont="1" applyFill="1" applyBorder="1" applyAlignment="1">
      <alignment horizontal="center" vertical="top"/>
    </xf>
    <xf numFmtId="3" fontId="5" fillId="6" borderId="71" xfId="0" applyNumberFormat="1" applyFont="1" applyFill="1" applyBorder="1" applyAlignment="1">
      <alignment horizontal="center" vertical="top" wrapText="1"/>
    </xf>
    <xf numFmtId="0" fontId="2" fillId="6" borderId="12" xfId="0" applyFont="1" applyFill="1" applyBorder="1" applyAlignment="1">
      <alignment horizontal="center" vertical="center"/>
    </xf>
    <xf numFmtId="165" fontId="2" fillId="6" borderId="0" xfId="0" applyNumberFormat="1" applyFont="1" applyFill="1" applyBorder="1" applyAlignment="1">
      <alignment horizontal="center" vertical="center"/>
    </xf>
    <xf numFmtId="0" fontId="6" fillId="6" borderId="20" xfId="0" applyFont="1" applyFill="1" applyBorder="1" applyAlignment="1">
      <alignment vertical="top"/>
    </xf>
    <xf numFmtId="3" fontId="5" fillId="6" borderId="16" xfId="0" applyNumberFormat="1" applyFont="1" applyFill="1" applyBorder="1" applyAlignment="1">
      <alignment horizontal="center" vertical="top" wrapText="1"/>
    </xf>
    <xf numFmtId="3" fontId="5" fillId="6" borderId="73" xfId="0" applyNumberFormat="1" applyFont="1" applyFill="1" applyBorder="1" applyAlignment="1">
      <alignment horizontal="center" vertical="top" wrapText="1"/>
    </xf>
    <xf numFmtId="0" fontId="2" fillId="6" borderId="104" xfId="0" applyFont="1" applyFill="1" applyBorder="1" applyAlignment="1">
      <alignment horizontal="center" vertical="center"/>
    </xf>
    <xf numFmtId="165" fontId="2" fillId="6" borderId="84" xfId="0" applyNumberFormat="1" applyFont="1" applyFill="1" applyBorder="1" applyAlignment="1">
      <alignment horizontal="center" vertical="center"/>
    </xf>
    <xf numFmtId="0" fontId="2" fillId="6" borderId="35" xfId="0" applyFont="1" applyFill="1" applyBorder="1" applyAlignment="1">
      <alignment vertical="center"/>
    </xf>
    <xf numFmtId="0" fontId="2" fillId="6" borderId="104" xfId="0" applyFont="1" applyFill="1" applyBorder="1" applyAlignment="1">
      <alignment vertical="center"/>
    </xf>
    <xf numFmtId="0" fontId="2" fillId="6" borderId="95" xfId="0" applyNumberFormat="1" applyFont="1" applyFill="1" applyBorder="1" applyAlignment="1">
      <alignment horizontal="center" vertical="top"/>
    </xf>
    <xf numFmtId="0" fontId="19" fillId="0" borderId="93" xfId="0" applyFont="1" applyFill="1" applyBorder="1" applyAlignment="1">
      <alignment horizontal="center" vertical="top"/>
    </xf>
    <xf numFmtId="0" fontId="19" fillId="0" borderId="68" xfId="0" applyFont="1" applyFill="1" applyBorder="1" applyAlignment="1">
      <alignment horizontal="center" vertical="top"/>
    </xf>
    <xf numFmtId="0" fontId="19" fillId="0" borderId="70" xfId="0" applyFont="1" applyFill="1" applyBorder="1" applyAlignment="1">
      <alignment horizontal="center" vertical="top"/>
    </xf>
    <xf numFmtId="49" fontId="2" fillId="6" borderId="77" xfId="0" applyNumberFormat="1" applyFont="1" applyFill="1" applyBorder="1" applyAlignment="1">
      <alignment horizontal="center" vertical="top"/>
    </xf>
    <xf numFmtId="0" fontId="2" fillId="6" borderId="57" xfId="0" applyNumberFormat="1" applyFont="1" applyFill="1" applyBorder="1" applyAlignment="1">
      <alignment horizontal="center" vertical="top"/>
    </xf>
    <xf numFmtId="166" fontId="2" fillId="6" borderId="16" xfId="0" applyNumberFormat="1" applyFont="1" applyFill="1" applyBorder="1" applyAlignment="1">
      <alignment horizontal="center" vertical="top"/>
    </xf>
    <xf numFmtId="166" fontId="2" fillId="6" borderId="36" xfId="0" applyNumberFormat="1" applyFont="1" applyFill="1" applyBorder="1" applyAlignment="1">
      <alignment horizontal="center" vertical="top"/>
    </xf>
    <xf numFmtId="165" fontId="2" fillId="6" borderId="4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2" fillId="6" borderId="57" xfId="0" applyNumberFormat="1" applyFont="1" applyFill="1" applyBorder="1" applyAlignment="1">
      <alignment horizontal="center" vertical="center"/>
    </xf>
    <xf numFmtId="165" fontId="2" fillId="6" borderId="9" xfId="0" applyNumberFormat="1" applyFont="1" applyFill="1" applyBorder="1" applyAlignment="1">
      <alignment horizontal="center" vertical="center"/>
    </xf>
    <xf numFmtId="166" fontId="2" fillId="6" borderId="3" xfId="0" applyNumberFormat="1" applyFont="1" applyFill="1" applyBorder="1" applyAlignment="1">
      <alignment horizontal="center" vertical="top"/>
    </xf>
    <xf numFmtId="166" fontId="2" fillId="6" borderId="99" xfId="0" applyNumberFormat="1" applyFont="1" applyFill="1" applyBorder="1" applyAlignment="1">
      <alignment horizontal="center" vertical="top"/>
    </xf>
    <xf numFmtId="166" fontId="2" fillId="6" borderId="115" xfId="0" applyNumberFormat="1" applyFont="1" applyFill="1" applyBorder="1" applyAlignment="1">
      <alignment horizontal="center" vertical="top"/>
    </xf>
    <xf numFmtId="3" fontId="2" fillId="6" borderId="87" xfId="0" applyNumberFormat="1" applyFont="1" applyFill="1" applyBorder="1" applyAlignment="1">
      <alignment vertical="top"/>
    </xf>
    <xf numFmtId="3" fontId="2" fillId="6" borderId="99" xfId="0" applyNumberFormat="1" applyFont="1" applyFill="1" applyBorder="1" applyAlignment="1">
      <alignment horizontal="center" vertical="top"/>
    </xf>
    <xf numFmtId="3" fontId="2" fillId="6" borderId="115" xfId="0" applyNumberFormat="1" applyFont="1" applyFill="1" applyBorder="1" applyAlignment="1">
      <alignment horizontal="center" vertical="top"/>
    </xf>
    <xf numFmtId="166" fontId="2" fillId="6" borderId="11" xfId="0" applyNumberFormat="1" applyFont="1" applyFill="1" applyBorder="1" applyAlignment="1">
      <alignment horizontal="center" vertical="top"/>
    </xf>
    <xf numFmtId="3" fontId="2" fillId="6" borderId="116" xfId="0" applyNumberFormat="1" applyFont="1" applyFill="1" applyBorder="1" applyAlignment="1">
      <alignment horizontal="center" vertical="top"/>
    </xf>
    <xf numFmtId="0" fontId="2" fillId="0" borderId="113" xfId="0" applyFont="1" applyBorder="1" applyAlignment="1">
      <alignment horizontal="center" vertical="top"/>
    </xf>
    <xf numFmtId="166" fontId="2" fillId="0" borderId="46" xfId="0" applyNumberFormat="1" applyFont="1" applyFill="1" applyBorder="1" applyAlignment="1">
      <alignment horizontal="center" vertical="top"/>
    </xf>
    <xf numFmtId="166" fontId="2" fillId="0" borderId="38" xfId="0" applyNumberFormat="1" applyFont="1" applyFill="1" applyBorder="1" applyAlignment="1">
      <alignment horizontal="center" vertical="top"/>
    </xf>
    <xf numFmtId="166" fontId="2" fillId="6" borderId="114" xfId="0" applyNumberFormat="1" applyFont="1" applyFill="1" applyBorder="1" applyAlignment="1">
      <alignment horizontal="center" vertical="top"/>
    </xf>
    <xf numFmtId="0" fontId="2" fillId="0" borderId="117" xfId="0" applyFont="1" applyBorder="1" applyAlignment="1">
      <alignment vertical="top"/>
    </xf>
    <xf numFmtId="0" fontId="2" fillId="0" borderId="39" xfId="0" applyFont="1" applyBorder="1" applyAlignment="1">
      <alignment vertical="top"/>
    </xf>
    <xf numFmtId="0" fontId="2" fillId="0" borderId="84" xfId="0" applyFont="1" applyBorder="1" applyAlignment="1">
      <alignment vertical="top"/>
    </xf>
    <xf numFmtId="0" fontId="2" fillId="0" borderId="77" xfId="0" applyFont="1" applyBorder="1" applyAlignment="1">
      <alignment vertical="top"/>
    </xf>
    <xf numFmtId="0" fontId="2" fillId="0" borderId="106" xfId="0" applyFont="1" applyBorder="1" applyAlignment="1">
      <alignment vertical="top"/>
    </xf>
    <xf numFmtId="0" fontId="2" fillId="6" borderId="77" xfId="1" applyNumberFormat="1" applyFont="1" applyFill="1" applyBorder="1" applyAlignment="1">
      <alignment horizontal="center" vertical="top" wrapText="1"/>
    </xf>
    <xf numFmtId="3" fontId="2" fillId="6" borderId="44" xfId="0" applyNumberFormat="1" applyFont="1" applyFill="1" applyBorder="1" applyAlignment="1">
      <alignment vertical="top"/>
    </xf>
    <xf numFmtId="3" fontId="2" fillId="6" borderId="72" xfId="0" applyNumberFormat="1" applyFont="1" applyFill="1" applyBorder="1" applyAlignment="1">
      <alignment vertical="top"/>
    </xf>
    <xf numFmtId="165" fontId="2" fillId="10" borderId="67" xfId="0" applyNumberFormat="1" applyFont="1" applyFill="1" applyBorder="1" applyAlignment="1">
      <alignment horizontal="center" vertical="center"/>
    </xf>
    <xf numFmtId="165" fontId="2" fillId="10" borderId="107" xfId="0" applyNumberFormat="1" applyFont="1" applyFill="1" applyBorder="1" applyAlignment="1">
      <alignment horizontal="center" vertical="center"/>
    </xf>
    <xf numFmtId="165" fontId="2" fillId="10" borderId="113" xfId="0" applyNumberFormat="1" applyFont="1" applyFill="1" applyBorder="1" applyAlignment="1">
      <alignment horizontal="center" vertical="center"/>
    </xf>
    <xf numFmtId="0" fontId="4" fillId="6" borderId="38" xfId="0" applyFont="1" applyFill="1" applyBorder="1" applyAlignment="1">
      <alignment horizontal="center" vertical="top" wrapText="1"/>
    </xf>
    <xf numFmtId="3" fontId="2" fillId="6" borderId="71" xfId="0" applyNumberFormat="1" applyFont="1" applyFill="1" applyBorder="1" applyAlignment="1">
      <alignment horizontal="center" vertical="top"/>
    </xf>
    <xf numFmtId="166" fontId="2" fillId="0" borderId="57" xfId="0" applyNumberFormat="1" applyFont="1" applyFill="1" applyBorder="1" applyAlignment="1">
      <alignment horizontal="center" vertical="top"/>
    </xf>
    <xf numFmtId="0" fontId="4" fillId="6" borderId="0" xfId="0" applyFont="1" applyFill="1" applyBorder="1" applyAlignment="1">
      <alignment horizontal="center" vertical="top"/>
    </xf>
    <xf numFmtId="0" fontId="4" fillId="6" borderId="16" xfId="0" applyFont="1" applyFill="1" applyBorder="1" applyAlignment="1">
      <alignment horizontal="center" vertical="top"/>
    </xf>
    <xf numFmtId="49" fontId="4" fillId="6" borderId="9" xfId="0" applyNumberFormat="1" applyFont="1" applyFill="1" applyBorder="1" applyAlignment="1">
      <alignment vertical="top"/>
    </xf>
    <xf numFmtId="0" fontId="2" fillId="10" borderId="35" xfId="0" applyFont="1" applyFill="1" applyBorder="1" applyAlignment="1">
      <alignment horizontal="center" vertical="top"/>
    </xf>
    <xf numFmtId="0" fontId="2" fillId="10" borderId="32" xfId="0" applyFont="1" applyFill="1" applyBorder="1" applyAlignment="1">
      <alignment horizontal="center" vertical="top"/>
    </xf>
    <xf numFmtId="0" fontId="2" fillId="10" borderId="48" xfId="0" applyFont="1" applyFill="1" applyBorder="1" applyAlignment="1">
      <alignment horizontal="center" vertical="top"/>
    </xf>
    <xf numFmtId="0" fontId="2" fillId="10" borderId="69" xfId="0" applyFont="1" applyFill="1" applyBorder="1" applyAlignment="1">
      <alignment horizontal="center" vertical="top"/>
    </xf>
    <xf numFmtId="0" fontId="2" fillId="10" borderId="16" xfId="0" applyFont="1" applyFill="1" applyBorder="1" applyAlignment="1">
      <alignment horizontal="center" vertical="top"/>
    </xf>
    <xf numFmtId="3" fontId="15" fillId="6" borderId="35" xfId="0" applyNumberFormat="1" applyFont="1" applyFill="1" applyBorder="1" applyAlignment="1">
      <alignment horizontal="center" vertical="top"/>
    </xf>
    <xf numFmtId="0" fontId="21" fillId="0" borderId="77" xfId="0" applyFont="1" applyBorder="1" applyAlignment="1">
      <alignment vertical="top"/>
    </xf>
    <xf numFmtId="3" fontId="3" fillId="6" borderId="104" xfId="0" applyNumberFormat="1" applyFont="1" applyFill="1" applyBorder="1" applyAlignment="1">
      <alignment horizontal="center" vertical="top"/>
    </xf>
    <xf numFmtId="3" fontId="3" fillId="6" borderId="39" xfId="0" applyNumberFormat="1" applyFont="1" applyFill="1" applyBorder="1" applyAlignment="1">
      <alignment horizontal="center" vertical="top"/>
    </xf>
    <xf numFmtId="3" fontId="3" fillId="6" borderId="106" xfId="0" applyNumberFormat="1" applyFont="1" applyFill="1" applyBorder="1" applyAlignment="1">
      <alignment horizontal="center" vertical="top"/>
    </xf>
    <xf numFmtId="0" fontId="2" fillId="6" borderId="43" xfId="0" applyFont="1" applyFill="1" applyBorder="1" applyAlignment="1">
      <alignment vertical="top"/>
    </xf>
    <xf numFmtId="49" fontId="4" fillId="6" borderId="48" xfId="0" applyNumberFormat="1" applyFont="1" applyFill="1" applyBorder="1" applyAlignment="1">
      <alignment vertical="top"/>
    </xf>
    <xf numFmtId="0" fontId="2" fillId="10" borderId="77" xfId="0" applyFont="1" applyFill="1" applyBorder="1" applyAlignment="1">
      <alignment horizontal="center" vertical="top"/>
    </xf>
    <xf numFmtId="0" fontId="2" fillId="10" borderId="9" xfId="0" applyFont="1" applyFill="1" applyBorder="1" applyAlignment="1">
      <alignment horizontal="center" vertical="top"/>
    </xf>
    <xf numFmtId="0" fontId="2" fillId="10" borderId="8" xfId="0" applyFont="1" applyFill="1" applyBorder="1" applyAlignment="1">
      <alignment horizontal="center" vertical="top"/>
    </xf>
    <xf numFmtId="0" fontId="2" fillId="6" borderId="35" xfId="0" applyFont="1" applyFill="1" applyBorder="1" applyAlignment="1">
      <alignment vertical="top"/>
    </xf>
    <xf numFmtId="0" fontId="2" fillId="10" borderId="40" xfId="0" applyFont="1" applyFill="1" applyBorder="1" applyAlignment="1">
      <alignment horizontal="center" vertical="top"/>
    </xf>
    <xf numFmtId="0" fontId="2" fillId="10" borderId="98" xfId="0" applyFont="1" applyFill="1" applyBorder="1" applyAlignment="1">
      <alignment horizontal="center" vertical="top"/>
    </xf>
    <xf numFmtId="0" fontId="2" fillId="10" borderId="114" xfId="0" applyFont="1" applyFill="1" applyBorder="1" applyAlignment="1">
      <alignment horizontal="center" vertical="top"/>
    </xf>
    <xf numFmtId="0" fontId="2" fillId="6" borderId="69" xfId="0" applyFont="1" applyFill="1" applyBorder="1" applyAlignment="1">
      <alignment horizontal="center" vertical="center"/>
    </xf>
    <xf numFmtId="0" fontId="2" fillId="6" borderId="8" xfId="0" applyFont="1" applyFill="1" applyBorder="1" applyAlignment="1">
      <alignment horizontal="center" vertical="center"/>
    </xf>
    <xf numFmtId="0" fontId="2" fillId="0" borderId="77" xfId="0" applyFont="1" applyBorder="1" applyAlignment="1">
      <alignment vertical="center"/>
    </xf>
    <xf numFmtId="3" fontId="4" fillId="6" borderId="30" xfId="0" applyNumberFormat="1" applyFont="1" applyFill="1" applyBorder="1" applyAlignment="1">
      <alignment horizontal="center" vertical="top" wrapText="1"/>
    </xf>
    <xf numFmtId="3" fontId="4" fillId="0" borderId="37" xfId="0" applyNumberFormat="1" applyFont="1" applyFill="1" applyBorder="1" applyAlignment="1">
      <alignment horizontal="center" vertical="top" wrapText="1"/>
    </xf>
    <xf numFmtId="49" fontId="4" fillId="6" borderId="71"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6" borderId="48" xfId="0" applyNumberFormat="1" applyFont="1" applyFill="1" applyBorder="1" applyAlignment="1">
      <alignment horizontal="center" vertical="center" wrapText="1"/>
    </xf>
    <xf numFmtId="3" fontId="4" fillId="6" borderId="71" xfId="0" applyNumberFormat="1" applyFont="1" applyFill="1" applyBorder="1" applyAlignment="1">
      <alignment horizontal="center" vertical="top" wrapText="1"/>
    </xf>
    <xf numFmtId="3" fontId="2" fillId="6" borderId="30" xfId="0" applyNumberFormat="1" applyFont="1" applyFill="1" applyBorder="1" applyAlignment="1">
      <alignment vertical="top" textRotation="90" wrapText="1"/>
    </xf>
    <xf numFmtId="3" fontId="2" fillId="6" borderId="10" xfId="0" applyNumberFormat="1" applyFont="1" applyFill="1" applyBorder="1" applyAlignment="1">
      <alignment vertical="top" textRotation="90" wrapText="1"/>
    </xf>
    <xf numFmtId="3" fontId="4" fillId="6" borderId="0" xfId="0" applyNumberFormat="1" applyFont="1" applyFill="1" applyBorder="1" applyAlignment="1">
      <alignment vertical="top" wrapText="1"/>
    </xf>
    <xf numFmtId="3" fontId="4" fillId="6" borderId="36" xfId="0" applyNumberFormat="1" applyFont="1" applyFill="1" applyBorder="1" applyAlignment="1">
      <alignment horizontal="center" vertical="top" wrapText="1"/>
    </xf>
    <xf numFmtId="3" fontId="2" fillId="6" borderId="49" xfId="0" applyNumberFormat="1" applyFont="1" applyFill="1" applyBorder="1" applyAlignment="1">
      <alignment horizontal="center" vertical="top" wrapText="1"/>
    </xf>
    <xf numFmtId="3" fontId="4" fillId="6" borderId="72" xfId="0" applyNumberFormat="1" applyFont="1" applyFill="1" applyBorder="1" applyAlignment="1">
      <alignment horizontal="center" vertical="top" wrapText="1"/>
    </xf>
    <xf numFmtId="166" fontId="4" fillId="6" borderId="89" xfId="0" applyNumberFormat="1" applyFont="1" applyFill="1" applyBorder="1" applyAlignment="1">
      <alignment horizontal="center" vertical="center" textRotation="90" wrapText="1"/>
    </xf>
    <xf numFmtId="3" fontId="2" fillId="6" borderId="26" xfId="0" applyNumberFormat="1" applyFont="1" applyFill="1" applyBorder="1" applyAlignment="1">
      <alignment vertical="top" wrapText="1"/>
    </xf>
    <xf numFmtId="3" fontId="2" fillId="0" borderId="89" xfId="0" applyNumberFormat="1" applyFont="1" applyFill="1" applyBorder="1" applyAlignment="1">
      <alignment vertical="top" wrapText="1"/>
    </xf>
    <xf numFmtId="3" fontId="4" fillId="0" borderId="3" xfId="0" applyNumberFormat="1" applyFont="1" applyFill="1" applyBorder="1" applyAlignment="1">
      <alignment horizontal="center" vertical="top" wrapText="1"/>
    </xf>
    <xf numFmtId="3" fontId="4" fillId="0" borderId="27" xfId="0" applyNumberFormat="1" applyFont="1" applyFill="1" applyBorder="1" applyAlignment="1">
      <alignment horizontal="center" vertical="center" textRotation="90"/>
    </xf>
    <xf numFmtId="3" fontId="4" fillId="6" borderId="16" xfId="0" applyNumberFormat="1" applyFont="1" applyFill="1" applyBorder="1" applyAlignment="1">
      <alignment horizontal="center" vertical="center"/>
    </xf>
    <xf numFmtId="3" fontId="4" fillId="6" borderId="30" xfId="0" applyNumberFormat="1" applyFont="1" applyFill="1" applyBorder="1" applyAlignment="1">
      <alignment horizontal="center" vertical="top"/>
    </xf>
    <xf numFmtId="3" fontId="4" fillId="6" borderId="71" xfId="0" applyNumberFormat="1" applyFont="1" applyFill="1" applyBorder="1" applyAlignment="1">
      <alignment horizontal="center" vertical="center" textRotation="90"/>
    </xf>
    <xf numFmtId="3" fontId="4" fillId="6" borderId="36" xfId="0" applyNumberFormat="1" applyFont="1" applyFill="1" applyBorder="1" applyAlignment="1">
      <alignment horizontal="center" vertical="center"/>
    </xf>
    <xf numFmtId="166" fontId="4" fillId="6" borderId="26" xfId="0" applyNumberFormat="1" applyFont="1" applyFill="1" applyBorder="1" applyAlignment="1">
      <alignment horizontal="center" vertical="center" textRotation="90" wrapText="1"/>
    </xf>
    <xf numFmtId="3" fontId="2" fillId="0" borderId="89" xfId="0" applyNumberFormat="1" applyFont="1" applyFill="1" applyBorder="1" applyAlignment="1">
      <alignment vertical="top"/>
    </xf>
    <xf numFmtId="3" fontId="2" fillId="6" borderId="10" xfId="0" applyNumberFormat="1" applyFont="1" applyFill="1" applyBorder="1" applyAlignment="1">
      <alignment vertical="top" wrapText="1"/>
    </xf>
    <xf numFmtId="3" fontId="2" fillId="0" borderId="72" xfId="0" applyNumberFormat="1" applyFont="1" applyFill="1" applyBorder="1" applyAlignment="1">
      <alignment vertical="top" wrapText="1"/>
    </xf>
    <xf numFmtId="3" fontId="2" fillId="6" borderId="71" xfId="0" applyNumberFormat="1" applyFont="1" applyFill="1" applyBorder="1" applyAlignment="1">
      <alignment horizontal="center" vertical="top" wrapText="1"/>
    </xf>
    <xf numFmtId="3" fontId="2" fillId="0" borderId="20" xfId="0" applyNumberFormat="1" applyFont="1" applyFill="1" applyBorder="1" applyAlignment="1">
      <alignment horizontal="center" vertical="top" wrapText="1"/>
    </xf>
    <xf numFmtId="3" fontId="4" fillId="6" borderId="3" xfId="0" applyNumberFormat="1" applyFont="1" applyFill="1" applyBorder="1" applyAlignment="1">
      <alignment horizontal="center" vertical="top" wrapText="1"/>
    </xf>
    <xf numFmtId="3" fontId="2" fillId="6" borderId="46" xfId="0" applyNumberFormat="1" applyFont="1" applyFill="1" applyBorder="1" applyAlignment="1">
      <alignment horizontal="center" vertical="top"/>
    </xf>
    <xf numFmtId="165" fontId="2" fillId="0" borderId="9" xfId="0" applyNumberFormat="1" applyFont="1" applyBorder="1" applyAlignment="1">
      <alignment horizontal="center" vertical="top"/>
    </xf>
    <xf numFmtId="165" fontId="2" fillId="0" borderId="67" xfId="0" applyNumberFormat="1" applyFont="1" applyBorder="1" applyAlignment="1">
      <alignment horizontal="center" vertical="top"/>
    </xf>
    <xf numFmtId="3" fontId="2" fillId="6" borderId="114" xfId="0" applyNumberFormat="1" applyFont="1" applyFill="1" applyBorder="1" applyAlignment="1">
      <alignment horizontal="center" vertical="top"/>
    </xf>
    <xf numFmtId="166" fontId="2" fillId="6" borderId="30" xfId="0" applyNumberFormat="1" applyFont="1" applyFill="1" applyBorder="1" applyAlignment="1">
      <alignment horizontal="center" vertical="top"/>
    </xf>
    <xf numFmtId="166" fontId="2" fillId="0" borderId="43" xfId="0" applyNumberFormat="1" applyFont="1" applyFill="1" applyBorder="1" applyAlignment="1">
      <alignment horizontal="center" vertical="top"/>
    </xf>
    <xf numFmtId="166" fontId="2" fillId="0" borderId="77" xfId="0" applyNumberFormat="1" applyFont="1" applyFill="1" applyBorder="1" applyAlignment="1">
      <alignment horizontal="center" vertical="top"/>
    </xf>
    <xf numFmtId="166" fontId="2" fillId="0" borderId="85" xfId="0" applyNumberFormat="1" applyFont="1" applyFill="1" applyBorder="1" applyAlignment="1">
      <alignment horizontal="center" vertical="top"/>
    </xf>
    <xf numFmtId="166" fontId="2" fillId="0" borderId="95" xfId="0" applyNumberFormat="1" applyFont="1" applyFill="1" applyBorder="1" applyAlignment="1">
      <alignment horizontal="center" vertical="top"/>
    </xf>
    <xf numFmtId="166" fontId="2" fillId="0" borderId="115" xfId="0" applyNumberFormat="1" applyFont="1" applyFill="1" applyBorder="1" applyAlignment="1">
      <alignment horizontal="center" vertical="top"/>
    </xf>
    <xf numFmtId="3" fontId="2" fillId="6" borderId="56" xfId="0" applyNumberFormat="1" applyFont="1" applyFill="1" applyBorder="1" applyAlignment="1">
      <alignment vertical="top" wrapText="1"/>
    </xf>
    <xf numFmtId="0" fontId="4" fillId="10" borderId="48" xfId="0" applyFont="1" applyFill="1" applyBorder="1" applyAlignment="1">
      <alignment horizontal="center" vertical="top"/>
    </xf>
    <xf numFmtId="166" fontId="21" fillId="0" borderId="39" xfId="0" applyNumberFormat="1" applyFont="1" applyFill="1" applyBorder="1" applyAlignment="1">
      <alignment horizontal="center" vertical="center"/>
    </xf>
    <xf numFmtId="166" fontId="21" fillId="0" borderId="69" xfId="0" applyNumberFormat="1" applyFont="1" applyFill="1" applyBorder="1" applyAlignment="1">
      <alignment horizontal="center" vertical="center"/>
    </xf>
    <xf numFmtId="166" fontId="21" fillId="0" borderId="9" xfId="0" applyNumberFormat="1" applyFont="1" applyFill="1" applyBorder="1" applyAlignment="1">
      <alignment horizontal="center" vertical="center"/>
    </xf>
    <xf numFmtId="0" fontId="2" fillId="6" borderId="69" xfId="0" applyNumberFormat="1" applyFont="1" applyFill="1" applyBorder="1" applyAlignment="1">
      <alignment horizontal="center" vertical="top"/>
    </xf>
    <xf numFmtId="0" fontId="21" fillId="0" borderId="11" xfId="0" applyFont="1" applyBorder="1" applyAlignment="1">
      <alignment vertical="top" wrapText="1"/>
    </xf>
    <xf numFmtId="0" fontId="21" fillId="0" borderId="0" xfId="0" applyFont="1" applyBorder="1" applyAlignment="1">
      <alignment vertical="top" wrapText="1"/>
    </xf>
    <xf numFmtId="49" fontId="2" fillId="6" borderId="39" xfId="0" applyNumberFormat="1" applyFont="1" applyFill="1" applyBorder="1" applyAlignment="1">
      <alignment horizontal="center" vertical="top" wrapText="1"/>
    </xf>
    <xf numFmtId="49" fontId="2" fillId="6" borderId="106" xfId="0" applyNumberFormat="1" applyFont="1" applyFill="1" applyBorder="1" applyAlignment="1">
      <alignment horizontal="center" vertical="top" wrapText="1"/>
    </xf>
    <xf numFmtId="49" fontId="2" fillId="6" borderId="84" xfId="0" applyNumberFormat="1" applyFont="1" applyFill="1" applyBorder="1" applyAlignment="1">
      <alignment horizontal="center" vertical="top" wrapText="1"/>
    </xf>
    <xf numFmtId="166" fontId="2" fillId="6" borderId="97" xfId="0" applyNumberFormat="1" applyFont="1" applyFill="1" applyBorder="1" applyAlignment="1">
      <alignment horizontal="center" vertical="top"/>
    </xf>
    <xf numFmtId="0" fontId="3" fillId="6" borderId="103" xfId="0" applyNumberFormat="1" applyFont="1" applyFill="1" applyBorder="1" applyAlignment="1">
      <alignment horizontal="center" vertical="top" wrapText="1"/>
    </xf>
    <xf numFmtId="0" fontId="3" fillId="6" borderId="67" xfId="0" applyNumberFormat="1" applyFont="1" applyFill="1" applyBorder="1" applyAlignment="1">
      <alignment horizontal="center" vertical="top" wrapText="1"/>
    </xf>
    <xf numFmtId="0" fontId="2" fillId="6" borderId="107" xfId="0" applyFont="1" applyFill="1" applyBorder="1" applyAlignment="1">
      <alignment horizontal="center" vertical="top"/>
    </xf>
    <xf numFmtId="0" fontId="2" fillId="6" borderId="5" xfId="0" applyFont="1" applyFill="1" applyBorder="1" applyAlignment="1">
      <alignment horizontal="center" vertical="center"/>
    </xf>
    <xf numFmtId="165" fontId="2" fillId="6" borderId="77" xfId="0" applyNumberFormat="1" applyFont="1" applyFill="1" applyBorder="1" applyAlignment="1">
      <alignment horizontal="center" vertical="center"/>
    </xf>
    <xf numFmtId="0" fontId="4" fillId="6" borderId="16" xfId="0" applyFont="1" applyFill="1" applyBorder="1" applyAlignment="1">
      <alignment horizontal="center" vertical="top" wrapText="1"/>
    </xf>
    <xf numFmtId="0" fontId="4" fillId="6" borderId="30" xfId="0" applyFont="1" applyFill="1" applyBorder="1" applyAlignment="1">
      <alignment horizontal="center" vertical="top" wrapText="1"/>
    </xf>
    <xf numFmtId="49" fontId="4" fillId="6" borderId="30" xfId="0" applyNumberFormat="1" applyFont="1" applyFill="1" applyBorder="1" applyAlignment="1">
      <alignment horizontal="center" vertical="center" wrapText="1"/>
    </xf>
    <xf numFmtId="49" fontId="5" fillId="6" borderId="30" xfId="0" applyNumberFormat="1" applyFont="1" applyFill="1" applyBorder="1" applyAlignment="1">
      <alignment horizontal="center" vertical="center" wrapText="1"/>
    </xf>
    <xf numFmtId="0" fontId="2" fillId="0" borderId="43" xfId="0" applyFont="1" applyBorder="1" applyAlignment="1">
      <alignment horizontal="center" vertical="top" wrapText="1"/>
    </xf>
    <xf numFmtId="3" fontId="2" fillId="6" borderId="117"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3" fontId="2" fillId="6" borderId="37" xfId="0" applyNumberFormat="1" applyFont="1" applyFill="1" applyBorder="1" applyAlignment="1">
      <alignment horizontal="left" vertical="top" wrapText="1"/>
    </xf>
    <xf numFmtId="0" fontId="11" fillId="6" borderId="9" xfId="0" applyFont="1" applyFill="1" applyBorder="1" applyAlignment="1">
      <alignment horizontal="left" vertical="top" wrapText="1"/>
    </xf>
    <xf numFmtId="3" fontId="2" fillId="6" borderId="9" xfId="0" applyNumberFormat="1" applyFont="1" applyFill="1" applyBorder="1" applyAlignment="1">
      <alignment horizontal="left" vertical="top" wrapText="1"/>
    </xf>
    <xf numFmtId="49" fontId="4" fillId="6" borderId="37"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4" fillId="4" borderId="19" xfId="0" applyNumberFormat="1" applyFont="1" applyFill="1" applyBorder="1" applyAlignment="1">
      <alignment horizontal="center" vertical="top"/>
    </xf>
    <xf numFmtId="3" fontId="2" fillId="6" borderId="76"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center" wrapText="1"/>
    </xf>
    <xf numFmtId="49" fontId="4" fillId="9" borderId="9" xfId="0" applyNumberFormat="1" applyFont="1" applyFill="1" applyBorder="1" applyAlignment="1">
      <alignment horizontal="center" vertical="top"/>
    </xf>
    <xf numFmtId="3" fontId="2" fillId="6" borderId="5" xfId="0" applyNumberFormat="1" applyFont="1" applyFill="1" applyBorder="1" applyAlignment="1">
      <alignment horizontal="center" vertical="top" wrapText="1"/>
    </xf>
    <xf numFmtId="3" fontId="4" fillId="4" borderId="2" xfId="0" applyNumberFormat="1" applyFont="1" applyFill="1" applyBorder="1" applyAlignment="1">
      <alignment horizontal="center" vertical="top"/>
    </xf>
    <xf numFmtId="49" fontId="4" fillId="9" borderId="3" xfId="0" applyNumberFormat="1" applyFont="1" applyFill="1" applyBorder="1" applyAlignment="1">
      <alignment horizontal="center" vertical="top"/>
    </xf>
    <xf numFmtId="49" fontId="4" fillId="9" borderId="20"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 fillId="6" borderId="70"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3" fontId="2" fillId="6" borderId="43"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wrapText="1"/>
    </xf>
    <xf numFmtId="3" fontId="2" fillId="6" borderId="43" xfId="0" applyNumberFormat="1" applyFont="1" applyFill="1" applyBorder="1" applyAlignment="1">
      <alignment vertical="top" wrapText="1"/>
    </xf>
    <xf numFmtId="0" fontId="2" fillId="6" borderId="9" xfId="0" applyFont="1" applyFill="1" applyBorder="1" applyAlignment="1">
      <alignment vertical="top" wrapText="1"/>
    </xf>
    <xf numFmtId="3" fontId="2" fillId="6" borderId="43" xfId="0" applyNumberFormat="1" applyFont="1" applyFill="1" applyBorder="1" applyAlignment="1">
      <alignment horizontal="left" vertical="top" wrapText="1"/>
    </xf>
    <xf numFmtId="3" fontId="11" fillId="6" borderId="9" xfId="0" applyNumberFormat="1" applyFont="1" applyFill="1" applyBorder="1" applyAlignment="1">
      <alignment horizontal="left" vertical="top" wrapText="1"/>
    </xf>
    <xf numFmtId="3" fontId="4" fillId="6" borderId="38"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49" fontId="4" fillId="6" borderId="48" xfId="0" applyNumberFormat="1" applyFont="1" applyFill="1" applyBorder="1" applyAlignment="1">
      <alignment horizontal="center" vertical="top"/>
    </xf>
    <xf numFmtId="3" fontId="2" fillId="6" borderId="48" xfId="0" applyNumberFormat="1" applyFont="1" applyFill="1" applyBorder="1" applyAlignment="1">
      <alignment horizontal="left" vertical="top" wrapText="1"/>
    </xf>
    <xf numFmtId="0" fontId="2" fillId="6" borderId="43" xfId="0" applyFont="1" applyFill="1" applyBorder="1" applyAlignment="1">
      <alignment horizontal="center" vertical="top" wrapText="1"/>
    </xf>
    <xf numFmtId="0" fontId="2" fillId="6" borderId="8" xfId="0" applyFont="1" applyFill="1" applyBorder="1" applyAlignment="1">
      <alignment horizontal="center" vertical="top"/>
    </xf>
    <xf numFmtId="3" fontId="2" fillId="6" borderId="41" xfId="0" applyNumberFormat="1" applyFont="1" applyFill="1" applyBorder="1" applyAlignment="1">
      <alignment horizontal="left" vertical="top" wrapText="1"/>
    </xf>
    <xf numFmtId="3" fontId="2" fillId="6" borderId="9" xfId="0" applyNumberFormat="1" applyFont="1" applyFill="1" applyBorder="1" applyAlignment="1">
      <alignment vertical="top" wrapText="1"/>
    </xf>
    <xf numFmtId="0" fontId="11" fillId="0" borderId="9" xfId="0" applyFont="1" applyBorder="1" applyAlignment="1">
      <alignment vertical="top" wrapText="1"/>
    </xf>
    <xf numFmtId="0" fontId="2" fillId="6" borderId="43" xfId="0" applyFont="1" applyFill="1" applyBorder="1" applyAlignment="1">
      <alignment horizontal="left" vertical="top" wrapText="1"/>
    </xf>
    <xf numFmtId="0" fontId="2" fillId="6" borderId="41" xfId="0" applyFont="1" applyFill="1" applyBorder="1" applyAlignment="1">
      <alignment horizontal="left" vertical="top" wrapText="1"/>
    </xf>
    <xf numFmtId="3" fontId="2" fillId="6" borderId="12" xfId="1" applyNumberFormat="1" applyFont="1" applyFill="1" applyBorder="1" applyAlignment="1">
      <alignment horizontal="center" vertical="top" wrapText="1"/>
    </xf>
    <xf numFmtId="3" fontId="4" fillId="0" borderId="53" xfId="0" applyNumberFormat="1" applyFont="1" applyFill="1" applyBorder="1" applyAlignment="1">
      <alignment horizontal="center" vertical="top"/>
    </xf>
    <xf numFmtId="3" fontId="2" fillId="6" borderId="12" xfId="0" applyNumberFormat="1"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48" xfId="0" applyFont="1" applyFill="1" applyBorder="1" applyAlignment="1">
      <alignment horizontal="left" vertical="top" wrapText="1"/>
    </xf>
    <xf numFmtId="0" fontId="2" fillId="6" borderId="43" xfId="0" applyFont="1" applyFill="1" applyBorder="1" applyAlignment="1">
      <alignment horizontal="center" vertical="center"/>
    </xf>
    <xf numFmtId="49" fontId="4" fillId="5" borderId="20" xfId="0" applyNumberFormat="1" applyFont="1" applyFill="1" applyBorder="1" applyAlignment="1">
      <alignment horizontal="center" vertical="top"/>
    </xf>
    <xf numFmtId="3" fontId="2" fillId="6" borderId="45" xfId="0" applyNumberFormat="1" applyFont="1" applyFill="1" applyBorder="1" applyAlignment="1">
      <alignment horizontal="center" vertical="top" wrapText="1"/>
    </xf>
    <xf numFmtId="49" fontId="2" fillId="6" borderId="3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3" fontId="2" fillId="6" borderId="3" xfId="0" applyNumberFormat="1" applyFont="1" applyFill="1" applyBorder="1" applyAlignment="1">
      <alignment vertical="top" wrapText="1"/>
    </xf>
    <xf numFmtId="3" fontId="2" fillId="0" borderId="3" xfId="0" applyNumberFormat="1" applyFont="1" applyBorder="1" applyAlignment="1">
      <alignment horizontal="center" vertical="top"/>
    </xf>
    <xf numFmtId="3" fontId="2" fillId="0" borderId="35" xfId="0" applyNumberFormat="1" applyFont="1" applyFill="1" applyBorder="1" applyAlignment="1">
      <alignment horizontal="center" vertical="top" wrapText="1"/>
    </xf>
    <xf numFmtId="3" fontId="2" fillId="6" borderId="76" xfId="0" applyNumberFormat="1" applyFont="1" applyFill="1" applyBorder="1" applyAlignment="1">
      <alignment horizontal="left" vertical="top" wrapText="1"/>
    </xf>
    <xf numFmtId="3" fontId="2" fillId="6" borderId="35" xfId="0" applyNumberFormat="1" applyFont="1" applyFill="1" applyBorder="1" applyAlignment="1">
      <alignment vertical="top" wrapText="1"/>
    </xf>
    <xf numFmtId="0" fontId="2" fillId="0" borderId="74" xfId="0" applyFont="1" applyBorder="1" applyAlignment="1">
      <alignment horizontal="center" vertical="center" textRotation="90"/>
    </xf>
    <xf numFmtId="165" fontId="2" fillId="0" borderId="0" xfId="0" applyNumberFormat="1" applyFont="1" applyBorder="1" applyAlignment="1">
      <alignment horizontal="center" vertical="top"/>
    </xf>
    <xf numFmtId="0" fontId="3" fillId="6" borderId="50" xfId="0" applyNumberFormat="1" applyFont="1" applyFill="1" applyBorder="1" applyAlignment="1">
      <alignment horizontal="center" vertical="top" wrapText="1"/>
    </xf>
    <xf numFmtId="49" fontId="3" fillId="6" borderId="50" xfId="0" applyNumberFormat="1" applyFont="1" applyFill="1" applyBorder="1" applyAlignment="1">
      <alignment horizontal="center" vertical="top" wrapText="1"/>
    </xf>
    <xf numFmtId="49" fontId="3" fillId="6" borderId="75" xfId="0" applyNumberFormat="1" applyFont="1" applyFill="1" applyBorder="1" applyAlignment="1">
      <alignment horizontal="center" vertical="top" wrapText="1"/>
    </xf>
    <xf numFmtId="0" fontId="2" fillId="6" borderId="85" xfId="0" applyNumberFormat="1" applyFont="1" applyFill="1" applyBorder="1" applyAlignment="1">
      <alignment horizontal="center" vertical="top" wrapText="1"/>
    </xf>
    <xf numFmtId="3" fontId="22" fillId="6" borderId="56" xfId="0" applyNumberFormat="1" applyFont="1" applyFill="1" applyBorder="1" applyAlignment="1">
      <alignment horizontal="left" vertical="top" wrapText="1"/>
    </xf>
    <xf numFmtId="3" fontId="22" fillId="6" borderId="88" xfId="0" applyNumberFormat="1" applyFont="1" applyFill="1" applyBorder="1" applyAlignment="1">
      <alignment horizontal="center" vertical="top"/>
    </xf>
    <xf numFmtId="3" fontId="2" fillId="6" borderId="77" xfId="0" applyNumberFormat="1" applyFont="1" applyFill="1" applyBorder="1" applyAlignment="1">
      <alignment vertical="top" wrapText="1"/>
    </xf>
    <xf numFmtId="0" fontId="2" fillId="6" borderId="43" xfId="0" applyFont="1" applyFill="1" applyBorder="1" applyAlignment="1">
      <alignment horizontal="left" vertical="top" wrapText="1"/>
    </xf>
    <xf numFmtId="0" fontId="2" fillId="6" borderId="16" xfId="0" applyFont="1" applyFill="1" applyBorder="1" applyAlignment="1">
      <alignment horizontal="center" vertical="top"/>
    </xf>
    <xf numFmtId="0" fontId="2" fillId="10" borderId="35" xfId="0" applyFont="1" applyFill="1" applyBorder="1" applyAlignment="1">
      <alignment vertical="top" wrapText="1"/>
    </xf>
    <xf numFmtId="0" fontId="2" fillId="10" borderId="71" xfId="0" applyFont="1" applyFill="1" applyBorder="1" applyAlignment="1">
      <alignment horizontal="center" vertical="top"/>
    </xf>
    <xf numFmtId="3" fontId="2" fillId="6" borderId="24" xfId="0" applyNumberFormat="1" applyFont="1" applyFill="1" applyBorder="1" applyAlignment="1">
      <alignment horizontal="center" vertical="center" wrapText="1"/>
    </xf>
    <xf numFmtId="0" fontId="2" fillId="6" borderId="20" xfId="0" applyFont="1" applyFill="1" applyBorder="1" applyAlignment="1">
      <alignment horizontal="left" vertical="top" wrapText="1"/>
    </xf>
    <xf numFmtId="3" fontId="2" fillId="6" borderId="70"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0" fontId="2" fillId="6" borderId="41" xfId="0" applyFont="1" applyFill="1" applyBorder="1" applyAlignment="1">
      <alignment horizontal="center" vertical="top"/>
    </xf>
    <xf numFmtId="0" fontId="2" fillId="6" borderId="98" xfId="0" applyFont="1" applyFill="1" applyBorder="1" applyAlignment="1">
      <alignment horizontal="center" vertical="top"/>
    </xf>
    <xf numFmtId="3" fontId="2" fillId="0" borderId="12" xfId="0" applyNumberFormat="1" applyFont="1" applyBorder="1" applyAlignment="1">
      <alignment horizontal="center" vertical="top"/>
    </xf>
    <xf numFmtId="3" fontId="2" fillId="0" borderId="104" xfId="0" applyNumberFormat="1" applyFont="1" applyBorder="1" applyAlignment="1">
      <alignment horizontal="center" vertical="top"/>
    </xf>
    <xf numFmtId="3" fontId="2" fillId="6" borderId="13"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2" fillId="6" borderId="43" xfId="0" applyNumberFormat="1" applyFont="1" applyFill="1" applyBorder="1" applyAlignment="1">
      <alignment horizontal="left" vertical="top" wrapText="1"/>
    </xf>
    <xf numFmtId="3" fontId="2" fillId="6" borderId="43"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3" fontId="2" fillId="6" borderId="12" xfId="1" applyNumberFormat="1" applyFont="1" applyFill="1" applyBorder="1" applyAlignment="1">
      <alignment horizontal="center" vertical="top" wrapText="1"/>
    </xf>
    <xf numFmtId="166" fontId="2" fillId="0" borderId="13" xfId="0" applyNumberFormat="1" applyFont="1" applyFill="1" applyBorder="1" applyAlignment="1">
      <alignment horizontal="center" vertical="top"/>
    </xf>
    <xf numFmtId="0" fontId="2" fillId="10" borderId="93" xfId="0" applyFont="1" applyFill="1" applyBorder="1" applyAlignment="1">
      <alignment horizontal="center" vertical="top"/>
    </xf>
    <xf numFmtId="0" fontId="2" fillId="10" borderId="68" xfId="0" applyFont="1" applyFill="1" applyBorder="1" applyAlignment="1">
      <alignment horizontal="center" vertical="top"/>
    </xf>
    <xf numFmtId="0" fontId="2" fillId="10" borderId="70" xfId="0" applyFont="1" applyFill="1" applyBorder="1" applyAlignment="1">
      <alignment horizontal="center" vertical="top"/>
    </xf>
    <xf numFmtId="49" fontId="4" fillId="6" borderId="57" xfId="0" applyNumberFormat="1" applyFont="1" applyFill="1" applyBorder="1" applyAlignment="1">
      <alignment horizontal="center" vertical="top"/>
    </xf>
    <xf numFmtId="166" fontId="3" fillId="6" borderId="13" xfId="0" applyNumberFormat="1" applyFont="1" applyFill="1" applyBorder="1" applyAlignment="1">
      <alignment horizontal="center" vertical="top"/>
    </xf>
    <xf numFmtId="166" fontId="3" fillId="6" borderId="16" xfId="0" applyNumberFormat="1" applyFont="1" applyFill="1" applyBorder="1" applyAlignment="1">
      <alignment horizontal="center" vertical="top"/>
    </xf>
    <xf numFmtId="3" fontId="2" fillId="6" borderId="41" xfId="0" applyNumberFormat="1" applyFont="1" applyFill="1" applyBorder="1" applyAlignment="1">
      <alignment horizontal="left" vertical="top" wrapText="1"/>
    </xf>
    <xf numFmtId="3" fontId="2" fillId="6" borderId="41" xfId="0" applyNumberFormat="1" applyFont="1" applyFill="1" applyBorder="1" applyAlignment="1">
      <alignment horizontal="center" vertical="top"/>
    </xf>
    <xf numFmtId="166" fontId="19" fillId="6" borderId="32" xfId="0" applyNumberFormat="1" applyFont="1" applyFill="1" applyBorder="1" applyAlignment="1">
      <alignment horizontal="center" vertical="top"/>
    </xf>
    <xf numFmtId="0" fontId="3" fillId="6" borderId="68" xfId="0" applyNumberFormat="1" applyFont="1" applyFill="1" applyBorder="1" applyAlignment="1">
      <alignment horizontal="center" vertical="top" wrapText="1"/>
    </xf>
    <xf numFmtId="0" fontId="3" fillId="6" borderId="107" xfId="0" applyNumberFormat="1" applyFont="1" applyFill="1" applyBorder="1" applyAlignment="1">
      <alignment horizontal="center" vertical="top" wrapText="1"/>
    </xf>
    <xf numFmtId="0" fontId="3" fillId="6" borderId="111" xfId="0" applyNumberFormat="1" applyFont="1" applyFill="1" applyBorder="1" applyAlignment="1">
      <alignment horizontal="center" vertical="top" wrapText="1"/>
    </xf>
    <xf numFmtId="3" fontId="2" fillId="6" borderId="37" xfId="0" applyNumberFormat="1" applyFont="1" applyFill="1" applyBorder="1" applyAlignment="1">
      <alignment horizontal="left" vertical="top" wrapText="1"/>
    </xf>
    <xf numFmtId="0" fontId="2" fillId="6" borderId="45" xfId="0" applyFont="1" applyFill="1" applyBorder="1" applyAlignment="1">
      <alignment horizontal="center" vertical="top"/>
    </xf>
    <xf numFmtId="0" fontId="2" fillId="0" borderId="93" xfId="0"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0" fontId="2" fillId="0" borderId="81" xfId="0" applyFont="1" applyFill="1" applyBorder="1" applyAlignment="1">
      <alignment horizontal="center" vertical="top"/>
    </xf>
    <xf numFmtId="0" fontId="2" fillId="6" borderId="44" xfId="0" applyFont="1" applyFill="1" applyBorder="1" applyAlignment="1">
      <alignment horizontal="center" vertical="top"/>
    </xf>
    <xf numFmtId="166" fontId="2" fillId="6" borderId="118" xfId="0" applyNumberFormat="1" applyFont="1" applyFill="1" applyBorder="1" applyAlignment="1">
      <alignment horizontal="center" vertical="top"/>
    </xf>
    <xf numFmtId="166" fontId="2" fillId="6" borderId="10" xfId="0" applyNumberFormat="1" applyFont="1" applyFill="1" applyBorder="1" applyAlignment="1">
      <alignment horizontal="center" vertical="top"/>
    </xf>
    <xf numFmtId="166" fontId="2" fillId="6" borderId="117" xfId="0" applyNumberFormat="1" applyFont="1" applyFill="1" applyBorder="1" applyAlignment="1">
      <alignment horizontal="center" vertical="top"/>
    </xf>
    <xf numFmtId="166" fontId="2" fillId="6" borderId="109" xfId="0" applyNumberFormat="1" applyFont="1" applyFill="1" applyBorder="1" applyAlignment="1">
      <alignment horizontal="center" vertical="top"/>
    </xf>
    <xf numFmtId="0" fontId="2" fillId="6" borderId="72" xfId="0" applyFont="1" applyFill="1" applyBorder="1" applyAlignment="1">
      <alignment horizontal="center" vertical="top"/>
    </xf>
    <xf numFmtId="0" fontId="2" fillId="0" borderId="9" xfId="0" applyFont="1" applyFill="1" applyBorder="1" applyAlignment="1">
      <alignment vertical="top"/>
    </xf>
    <xf numFmtId="0" fontId="2" fillId="0" borderId="30" xfId="0" applyFont="1" applyFill="1" applyBorder="1" applyAlignment="1">
      <alignment vertical="top"/>
    </xf>
    <xf numFmtId="0" fontId="2" fillId="6" borderId="119" xfId="0" applyFont="1" applyFill="1" applyBorder="1" applyAlignment="1">
      <alignment horizontal="left" vertical="top" wrapText="1"/>
    </xf>
    <xf numFmtId="0" fontId="2" fillId="6" borderId="120" xfId="0" applyFont="1" applyFill="1" applyBorder="1" applyAlignment="1">
      <alignment horizontal="left" vertical="top" wrapText="1"/>
    </xf>
    <xf numFmtId="0" fontId="2" fillId="0" borderId="121" xfId="0" applyFont="1" applyBorder="1" applyAlignment="1">
      <alignment vertical="center" wrapText="1"/>
    </xf>
    <xf numFmtId="3" fontId="2" fillId="6" borderId="28" xfId="0" applyNumberFormat="1" applyFont="1" applyFill="1" applyBorder="1" applyAlignment="1">
      <alignment horizontal="left" vertical="top" wrapText="1"/>
    </xf>
    <xf numFmtId="0" fontId="2" fillId="6" borderId="42" xfId="0" applyFont="1" applyFill="1" applyBorder="1" applyAlignment="1">
      <alignment horizontal="left" vertical="top" wrapText="1"/>
    </xf>
    <xf numFmtId="3" fontId="2" fillId="6" borderId="11" xfId="0" applyNumberFormat="1" applyFont="1" applyFill="1" applyBorder="1" applyAlignment="1">
      <alignment horizontal="left" vertical="top" wrapText="1"/>
    </xf>
    <xf numFmtId="0" fontId="2" fillId="6" borderId="116" xfId="0" applyFont="1" applyFill="1" applyBorder="1" applyAlignment="1">
      <alignment horizontal="center" vertical="top"/>
    </xf>
    <xf numFmtId="0" fontId="2" fillId="6" borderId="15" xfId="0" applyFont="1" applyFill="1" applyBorder="1" applyAlignment="1">
      <alignment horizontal="center" vertical="top"/>
    </xf>
    <xf numFmtId="0" fontId="2" fillId="0" borderId="76" xfId="0" applyFont="1" applyFill="1" applyBorder="1" applyAlignment="1">
      <alignment horizontal="center" vertical="top"/>
    </xf>
    <xf numFmtId="0" fontId="2" fillId="0" borderId="103" xfId="0" applyFont="1" applyFill="1" applyBorder="1" applyAlignment="1">
      <alignment horizontal="center" vertical="top"/>
    </xf>
    <xf numFmtId="0" fontId="2" fillId="0" borderId="41" xfId="0" applyFont="1" applyFill="1" applyBorder="1" applyAlignment="1">
      <alignment horizontal="center" vertical="top"/>
    </xf>
    <xf numFmtId="0" fontId="2" fillId="0" borderId="77" xfId="0" applyFont="1" applyFill="1" applyBorder="1" applyAlignment="1">
      <alignment horizontal="center" vertical="top"/>
    </xf>
    <xf numFmtId="0" fontId="2" fillId="6" borderId="40" xfId="0" applyFont="1" applyFill="1" applyBorder="1" applyAlignment="1">
      <alignment horizontal="center" vertical="top"/>
    </xf>
    <xf numFmtId="0" fontId="2" fillId="6" borderId="108" xfId="0" applyFont="1" applyFill="1" applyBorder="1" applyAlignment="1">
      <alignment horizontal="center" vertical="top"/>
    </xf>
    <xf numFmtId="0" fontId="2" fillId="6" borderId="46" xfId="0" applyFont="1" applyFill="1" applyBorder="1" applyAlignment="1">
      <alignment horizontal="center" vertical="top"/>
    </xf>
    <xf numFmtId="0" fontId="2" fillId="6" borderId="24" xfId="0" applyFont="1" applyFill="1" applyBorder="1" applyAlignment="1">
      <alignment vertical="top"/>
    </xf>
    <xf numFmtId="0" fontId="2" fillId="6" borderId="57" xfId="0" applyFont="1" applyFill="1" applyBorder="1" applyAlignment="1">
      <alignment vertical="top"/>
    </xf>
    <xf numFmtId="0" fontId="4" fillId="6" borderId="26" xfId="0" applyFont="1" applyFill="1" applyBorder="1" applyAlignment="1">
      <alignment horizontal="center" vertical="top" wrapText="1"/>
    </xf>
    <xf numFmtId="3" fontId="2" fillId="6" borderId="13"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114"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3" fontId="2" fillId="6" borderId="37" xfId="0" applyNumberFormat="1" applyFont="1" applyFill="1" applyBorder="1" applyAlignment="1">
      <alignment horizontal="left" vertical="top" wrapText="1"/>
    </xf>
    <xf numFmtId="0" fontId="11" fillId="6" borderId="9" xfId="0" applyFont="1" applyFill="1" applyBorder="1" applyAlignment="1">
      <alignment horizontal="left" vertical="top" wrapText="1"/>
    </xf>
    <xf numFmtId="3" fontId="2" fillId="6" borderId="12"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wrapText="1"/>
    </xf>
    <xf numFmtId="3" fontId="2" fillId="6" borderId="43" xfId="0" applyNumberFormat="1" applyFont="1" applyFill="1" applyBorder="1" applyAlignment="1">
      <alignment horizontal="left" vertical="top" wrapText="1"/>
    </xf>
    <xf numFmtId="3" fontId="2" fillId="6" borderId="41" xfId="0" applyNumberFormat="1" applyFont="1" applyFill="1" applyBorder="1" applyAlignment="1">
      <alignment horizontal="left" vertical="top" wrapText="1"/>
    </xf>
    <xf numFmtId="3" fontId="2" fillId="6" borderId="43" xfId="0" applyNumberFormat="1" applyFont="1" applyFill="1" applyBorder="1" applyAlignment="1">
      <alignment horizontal="center" vertical="top"/>
    </xf>
    <xf numFmtId="3" fontId="4" fillId="4" borderId="19"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3" fontId="4" fillId="4" borderId="2" xfId="0" applyNumberFormat="1" applyFont="1" applyFill="1" applyBorder="1" applyAlignment="1">
      <alignment horizontal="center" vertical="top"/>
    </xf>
    <xf numFmtId="49" fontId="4" fillId="9" borderId="3" xfId="0" applyNumberFormat="1" applyFont="1" applyFill="1" applyBorder="1" applyAlignment="1">
      <alignment horizontal="center" vertical="top"/>
    </xf>
    <xf numFmtId="49" fontId="4" fillId="9" borderId="20" xfId="0" applyNumberFormat="1" applyFont="1" applyFill="1" applyBorder="1" applyAlignment="1">
      <alignment horizontal="center" vertical="top"/>
    </xf>
    <xf numFmtId="3" fontId="2" fillId="6" borderId="48" xfId="0" applyNumberFormat="1" applyFont="1" applyFill="1" applyBorder="1" applyAlignment="1">
      <alignment horizontal="left" vertical="top" wrapText="1"/>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 fillId="6" borderId="70"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0" fontId="16" fillId="0" borderId="0" xfId="0" applyFont="1" applyAlignment="1">
      <alignment horizontal="center" vertical="top"/>
    </xf>
    <xf numFmtId="3" fontId="4" fillId="0" borderId="53" xfId="0" applyNumberFormat="1" applyFont="1" applyFill="1" applyBorder="1" applyAlignment="1">
      <alignment horizontal="center" vertical="top" wrapText="1"/>
    </xf>
    <xf numFmtId="3" fontId="2" fillId="6" borderId="43" xfId="0" applyNumberFormat="1" applyFont="1" applyFill="1" applyBorder="1" applyAlignment="1">
      <alignment vertical="top" wrapText="1"/>
    </xf>
    <xf numFmtId="0" fontId="2" fillId="6" borderId="37" xfId="0" applyFont="1" applyFill="1" applyBorder="1" applyAlignment="1">
      <alignment vertical="top" wrapText="1"/>
    </xf>
    <xf numFmtId="0" fontId="2" fillId="6" borderId="9" xfId="0" applyFont="1" applyFill="1" applyBorder="1" applyAlignment="1">
      <alignment vertical="top" wrapText="1"/>
    </xf>
    <xf numFmtId="3" fontId="11" fillId="6" borderId="9" xfId="0" applyNumberFormat="1" applyFont="1" applyFill="1" applyBorder="1" applyAlignment="1">
      <alignment horizontal="left" vertical="top" wrapText="1"/>
    </xf>
    <xf numFmtId="3" fontId="4" fillId="6" borderId="38"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3" fontId="2" fillId="6" borderId="37" xfId="0" applyNumberFormat="1" applyFont="1" applyFill="1" applyBorder="1" applyAlignment="1">
      <alignment vertical="top" wrapText="1"/>
    </xf>
    <xf numFmtId="3" fontId="2" fillId="6" borderId="9" xfId="0" applyNumberFormat="1" applyFont="1" applyFill="1" applyBorder="1" applyAlignment="1">
      <alignment vertical="top" wrapText="1"/>
    </xf>
    <xf numFmtId="3" fontId="2" fillId="6" borderId="76" xfId="0" applyNumberFormat="1" applyFont="1" applyFill="1" applyBorder="1" applyAlignment="1">
      <alignment horizontal="left" vertical="top" wrapText="1"/>
    </xf>
    <xf numFmtId="0" fontId="2" fillId="6" borderId="43" xfId="0" applyFont="1" applyFill="1" applyBorder="1" applyAlignment="1">
      <alignment horizontal="left" vertical="top" wrapText="1"/>
    </xf>
    <xf numFmtId="0" fontId="2" fillId="6" borderId="41" xfId="0" applyFont="1" applyFill="1" applyBorder="1" applyAlignment="1">
      <alignment horizontal="left" vertical="top" wrapText="1"/>
    </xf>
    <xf numFmtId="3" fontId="4" fillId="0" borderId="53" xfId="0" applyNumberFormat="1" applyFont="1" applyFill="1" applyBorder="1" applyAlignment="1">
      <alignment horizontal="center" vertical="top"/>
    </xf>
    <xf numFmtId="3" fontId="2" fillId="6" borderId="12" xfId="0" applyNumberFormat="1" applyFont="1" applyFill="1" applyBorder="1" applyAlignment="1">
      <alignment horizontal="left" vertical="top" wrapText="1"/>
    </xf>
    <xf numFmtId="3" fontId="4" fillId="6" borderId="30" xfId="0" applyNumberFormat="1" applyFont="1" applyFill="1" applyBorder="1" applyAlignment="1">
      <alignment horizontal="center" vertical="top" wrapText="1"/>
    </xf>
    <xf numFmtId="0" fontId="2" fillId="6" borderId="9" xfId="0" applyFont="1" applyFill="1" applyBorder="1" applyAlignment="1">
      <alignment horizontal="left" vertical="top" wrapText="1"/>
    </xf>
    <xf numFmtId="0" fontId="2" fillId="0" borderId="81" xfId="0" applyFont="1" applyFill="1" applyBorder="1" applyAlignment="1">
      <alignment horizontal="center" vertical="top"/>
    </xf>
    <xf numFmtId="0" fontId="2" fillId="0" borderId="93" xfId="0" applyFont="1" applyFill="1" applyBorder="1" applyAlignment="1">
      <alignment horizontal="center" vertical="top"/>
    </xf>
    <xf numFmtId="49" fontId="4" fillId="5" borderId="20" xfId="0" applyNumberFormat="1" applyFont="1" applyFill="1" applyBorder="1" applyAlignment="1">
      <alignment horizontal="center" vertical="top"/>
    </xf>
    <xf numFmtId="3" fontId="2" fillId="6" borderId="3" xfId="0" applyNumberFormat="1" applyFont="1" applyFill="1" applyBorder="1" applyAlignment="1">
      <alignment vertical="top" wrapText="1"/>
    </xf>
    <xf numFmtId="3" fontId="2" fillId="0" borderId="3" xfId="0" applyNumberFormat="1" applyFont="1" applyBorder="1" applyAlignment="1">
      <alignment horizontal="center" vertical="top"/>
    </xf>
    <xf numFmtId="3" fontId="2" fillId="6" borderId="35" xfId="0" applyNumberFormat="1" applyFont="1" applyFill="1" applyBorder="1" applyAlignment="1">
      <alignment vertical="top" wrapText="1"/>
    </xf>
    <xf numFmtId="0" fontId="2" fillId="6" borderId="120" xfId="0" applyFont="1" applyFill="1" applyBorder="1" applyAlignment="1">
      <alignment horizontal="left" vertical="top" wrapText="1"/>
    </xf>
    <xf numFmtId="49" fontId="4" fillId="4" borderId="11" xfId="0" applyNumberFormat="1" applyFont="1" applyFill="1" applyBorder="1" applyAlignment="1">
      <alignment vertical="top"/>
    </xf>
    <xf numFmtId="0" fontId="4" fillId="6" borderId="9" xfId="0" applyFont="1" applyFill="1" applyBorder="1" applyAlignment="1">
      <alignment horizontal="left" vertical="top" wrapText="1"/>
    </xf>
    <xf numFmtId="0" fontId="4" fillId="6" borderId="0" xfId="0" applyFont="1" applyFill="1" applyBorder="1" applyAlignment="1">
      <alignment horizontal="left" vertical="top" wrapText="1"/>
    </xf>
    <xf numFmtId="165" fontId="2" fillId="6" borderId="69" xfId="0" applyNumberFormat="1" applyFont="1" applyFill="1" applyBorder="1" applyAlignment="1">
      <alignment horizontal="center" vertical="center" textRotation="90"/>
    </xf>
    <xf numFmtId="165" fontId="2" fillId="6" borderId="57" xfId="0" applyNumberFormat="1" applyFont="1" applyFill="1" applyBorder="1" applyAlignment="1">
      <alignment horizontal="center" vertical="center" textRotation="90"/>
    </xf>
    <xf numFmtId="165" fontId="2" fillId="6" borderId="9" xfId="0" applyNumberFormat="1" applyFont="1" applyFill="1" applyBorder="1" applyAlignment="1">
      <alignment horizontal="center" vertical="center" textRotation="90"/>
    </xf>
    <xf numFmtId="0" fontId="4" fillId="6" borderId="30" xfId="0" applyFont="1" applyFill="1" applyBorder="1" applyAlignment="1">
      <alignment horizontal="left" vertical="top" wrapText="1"/>
    </xf>
    <xf numFmtId="165" fontId="2" fillId="6" borderId="8" xfId="0" applyNumberFormat="1" applyFont="1" applyFill="1" applyBorder="1" applyAlignment="1">
      <alignment horizontal="center" vertical="center" textRotation="90"/>
    </xf>
    <xf numFmtId="165" fontId="2" fillId="6" borderId="30" xfId="0" applyNumberFormat="1" applyFont="1" applyFill="1" applyBorder="1" applyAlignment="1">
      <alignment horizontal="center" vertical="center" textRotation="90"/>
    </xf>
    <xf numFmtId="0" fontId="2" fillId="6" borderId="85" xfId="0" applyNumberFormat="1" applyFont="1" applyFill="1" applyBorder="1" applyAlignment="1">
      <alignment horizontal="center" vertical="top"/>
    </xf>
    <xf numFmtId="49" fontId="2" fillId="6" borderId="95" xfId="0" applyNumberFormat="1" applyFont="1" applyFill="1" applyBorder="1" applyAlignment="1">
      <alignment horizontal="center" vertical="top"/>
    </xf>
    <xf numFmtId="0" fontId="21" fillId="0" borderId="77" xfId="0" applyFont="1" applyBorder="1" applyAlignment="1">
      <alignment vertical="top" wrapText="1"/>
    </xf>
    <xf numFmtId="0" fontId="2" fillId="6" borderId="76" xfId="0" applyFont="1" applyFill="1" applyBorder="1" applyAlignment="1">
      <alignment horizontal="left" vertical="top" wrapText="1"/>
    </xf>
    <xf numFmtId="0" fontId="2" fillId="6" borderId="72" xfId="0" applyNumberFormat="1" applyFont="1" applyFill="1" applyBorder="1" applyAlignment="1">
      <alignment horizontal="center" vertical="top"/>
    </xf>
    <xf numFmtId="0" fontId="2" fillId="0" borderId="32" xfId="0" applyFont="1" applyBorder="1" applyAlignment="1">
      <alignment vertical="top"/>
    </xf>
    <xf numFmtId="0" fontId="21" fillId="6" borderId="43" xfId="0" applyFont="1" applyFill="1" applyBorder="1" applyAlignment="1">
      <alignment vertical="top"/>
    </xf>
    <xf numFmtId="0" fontId="2" fillId="6" borderId="0" xfId="0" applyFont="1" applyFill="1" applyAlignment="1">
      <alignment vertical="top"/>
    </xf>
    <xf numFmtId="3" fontId="2" fillId="6" borderId="5" xfId="0" applyNumberFormat="1" applyFont="1" applyFill="1" applyBorder="1" applyAlignment="1">
      <alignment horizontal="center" vertical="top"/>
    </xf>
    <xf numFmtId="3" fontId="2" fillId="0" borderId="16" xfId="0" applyNumberFormat="1" applyFont="1" applyFill="1" applyBorder="1" applyAlignment="1">
      <alignment vertical="top" wrapText="1"/>
    </xf>
    <xf numFmtId="166" fontId="4" fillId="9" borderId="38" xfId="0" applyNumberFormat="1" applyFont="1" applyFill="1" applyBorder="1" applyAlignment="1">
      <alignment horizontal="center" vertical="center"/>
    </xf>
    <xf numFmtId="166" fontId="2" fillId="6" borderId="2" xfId="0" applyNumberFormat="1" applyFont="1" applyFill="1" applyBorder="1" applyAlignment="1">
      <alignment horizontal="center" vertical="top"/>
    </xf>
    <xf numFmtId="166" fontId="4" fillId="9" borderId="25" xfId="0" applyNumberFormat="1" applyFont="1" applyFill="1" applyBorder="1" applyAlignment="1">
      <alignment horizontal="center" vertical="center"/>
    </xf>
    <xf numFmtId="166" fontId="4" fillId="9" borderId="36" xfId="0" applyNumberFormat="1" applyFont="1" applyFill="1" applyBorder="1" applyAlignment="1">
      <alignment horizontal="center" vertical="center"/>
    </xf>
    <xf numFmtId="166" fontId="2" fillId="6" borderId="53" xfId="0" applyNumberFormat="1" applyFont="1" applyFill="1" applyBorder="1" applyAlignment="1">
      <alignment horizontal="center" vertical="top"/>
    </xf>
    <xf numFmtId="3" fontId="2" fillId="6" borderId="53" xfId="0" applyNumberFormat="1" applyFont="1" applyFill="1" applyBorder="1" applyAlignment="1">
      <alignment horizontal="center" vertical="top"/>
    </xf>
    <xf numFmtId="0" fontId="2" fillId="0" borderId="99" xfId="0" applyFont="1" applyFill="1" applyBorder="1" applyAlignment="1">
      <alignment horizontal="center" vertical="top"/>
    </xf>
    <xf numFmtId="0" fontId="6" fillId="0" borderId="32" xfId="0" applyFont="1" applyBorder="1" applyAlignment="1">
      <alignment vertical="top"/>
    </xf>
    <xf numFmtId="3" fontId="2" fillId="6" borderId="11" xfId="0" applyNumberFormat="1" applyFont="1" applyFill="1" applyBorder="1" applyAlignment="1">
      <alignment horizontal="center" vertical="top" wrapText="1"/>
    </xf>
    <xf numFmtId="0" fontId="2" fillId="6" borderId="2" xfId="0" applyFont="1" applyFill="1" applyBorder="1" applyAlignment="1">
      <alignment horizontal="center" vertical="top"/>
    </xf>
    <xf numFmtId="0" fontId="2" fillId="6" borderId="68" xfId="0" applyFont="1" applyFill="1" applyBorder="1" applyAlignment="1">
      <alignment horizontal="center" vertical="top"/>
    </xf>
    <xf numFmtId="0" fontId="2" fillId="6" borderId="111" xfId="0" applyFont="1" applyFill="1" applyBorder="1" applyAlignment="1">
      <alignment horizontal="center" vertical="top"/>
    </xf>
    <xf numFmtId="0" fontId="2" fillId="8" borderId="0" xfId="0" applyFont="1" applyFill="1" applyAlignment="1">
      <alignment vertical="top"/>
    </xf>
    <xf numFmtId="0" fontId="11" fillId="0" borderId="0" xfId="0" applyFont="1" applyFill="1"/>
    <xf numFmtId="0" fontId="23" fillId="0" borderId="0" xfId="0" applyFont="1" applyFill="1" applyAlignment="1">
      <alignment horizontal="left" wrapText="1"/>
    </xf>
    <xf numFmtId="0" fontId="23" fillId="0" borderId="0" xfId="0" applyFont="1" applyFill="1" applyAlignment="1">
      <alignment horizontal="right" wrapText="1"/>
    </xf>
    <xf numFmtId="3" fontId="24" fillId="6" borderId="43" xfId="0" applyNumberFormat="1" applyFont="1" applyFill="1" applyBorder="1" applyAlignment="1">
      <alignment horizontal="center" vertical="top"/>
    </xf>
    <xf numFmtId="166" fontId="24" fillId="0" borderId="13" xfId="0" applyNumberFormat="1" applyFont="1" applyFill="1" applyBorder="1" applyAlignment="1">
      <alignment horizontal="center" vertical="center"/>
    </xf>
    <xf numFmtId="166" fontId="24" fillId="0" borderId="9" xfId="0" applyNumberFormat="1" applyFont="1" applyFill="1" applyBorder="1" applyAlignment="1">
      <alignment horizontal="center" vertical="center"/>
    </xf>
    <xf numFmtId="166" fontId="24" fillId="0" borderId="69" xfId="0" applyNumberFormat="1" applyFont="1" applyFill="1" applyBorder="1" applyAlignment="1">
      <alignment horizontal="center" vertical="center"/>
    </xf>
    <xf numFmtId="3" fontId="24" fillId="6" borderId="12" xfId="0" applyNumberFormat="1" applyFont="1" applyFill="1" applyBorder="1" applyAlignment="1">
      <alignment horizontal="center" vertical="top"/>
    </xf>
    <xf numFmtId="165" fontId="24" fillId="10" borderId="8" xfId="0" applyNumberFormat="1" applyFont="1" applyFill="1" applyBorder="1" applyAlignment="1">
      <alignment horizontal="center" vertical="center"/>
    </xf>
    <xf numFmtId="165" fontId="24" fillId="10" borderId="9" xfId="0" applyNumberFormat="1" applyFont="1" applyFill="1" applyBorder="1" applyAlignment="1">
      <alignment horizontal="center" vertical="center"/>
    </xf>
    <xf numFmtId="165" fontId="24" fillId="10" borderId="30" xfId="0" applyNumberFormat="1" applyFont="1" applyFill="1" applyBorder="1" applyAlignment="1">
      <alignment horizontal="center" vertical="center"/>
    </xf>
    <xf numFmtId="166" fontId="24" fillId="6" borderId="8" xfId="0" applyNumberFormat="1" applyFont="1" applyFill="1" applyBorder="1" applyAlignment="1">
      <alignment horizontal="center" vertical="top"/>
    </xf>
    <xf numFmtId="166" fontId="24" fillId="6" borderId="9" xfId="0" applyNumberFormat="1" applyFont="1" applyFill="1" applyBorder="1" applyAlignment="1">
      <alignment horizontal="center" vertical="top"/>
    </xf>
    <xf numFmtId="166" fontId="24" fillId="6" borderId="30" xfId="0" applyNumberFormat="1" applyFont="1" applyFill="1" applyBorder="1" applyAlignment="1">
      <alignment horizontal="center" vertical="top"/>
    </xf>
    <xf numFmtId="3" fontId="24" fillId="6" borderId="35" xfId="0" applyNumberFormat="1" applyFont="1" applyFill="1" applyBorder="1" applyAlignment="1">
      <alignment horizontal="center" vertical="top"/>
    </xf>
    <xf numFmtId="166" fontId="24" fillId="6" borderId="32" xfId="0" applyNumberFormat="1" applyFont="1" applyFill="1" applyBorder="1" applyAlignment="1">
      <alignment horizontal="center" vertical="top"/>
    </xf>
    <xf numFmtId="166" fontId="24" fillId="6" borderId="48" xfId="0" applyNumberFormat="1" applyFont="1" applyFill="1" applyBorder="1" applyAlignment="1">
      <alignment horizontal="center" vertical="top"/>
    </xf>
    <xf numFmtId="166" fontId="24" fillId="6" borderId="71" xfId="0" applyNumberFormat="1" applyFont="1" applyFill="1" applyBorder="1" applyAlignment="1">
      <alignment horizontal="center" vertical="top"/>
    </xf>
    <xf numFmtId="166" fontId="24" fillId="6" borderId="13" xfId="0" applyNumberFormat="1" applyFont="1" applyFill="1" applyBorder="1" applyAlignment="1">
      <alignment horizontal="center" vertical="top"/>
    </xf>
    <xf numFmtId="166" fontId="24" fillId="6" borderId="37" xfId="0" applyNumberFormat="1" applyFont="1" applyFill="1" applyBorder="1" applyAlignment="1">
      <alignment horizontal="center" vertical="top"/>
    </xf>
    <xf numFmtId="166" fontId="24" fillId="6" borderId="38" xfId="0" applyNumberFormat="1" applyFont="1" applyFill="1" applyBorder="1" applyAlignment="1">
      <alignment horizontal="center" vertical="top"/>
    </xf>
    <xf numFmtId="0" fontId="24" fillId="6" borderId="43" xfId="0" applyFont="1" applyFill="1" applyBorder="1" applyAlignment="1">
      <alignment horizontal="center" vertical="top"/>
    </xf>
    <xf numFmtId="166" fontId="24" fillId="6" borderId="16" xfId="0" applyNumberFormat="1" applyFont="1" applyFill="1" applyBorder="1" applyAlignment="1">
      <alignment horizontal="center" vertical="top"/>
    </xf>
    <xf numFmtId="0" fontId="24" fillId="6" borderId="12" xfId="0" applyFont="1" applyFill="1" applyBorder="1" applyAlignment="1">
      <alignment horizontal="center" vertical="top"/>
    </xf>
    <xf numFmtId="166" fontId="24" fillId="6" borderId="69" xfId="0" applyNumberFormat="1" applyFont="1" applyFill="1" applyBorder="1" applyAlignment="1">
      <alignment horizontal="center" vertical="top"/>
    </xf>
    <xf numFmtId="166" fontId="24" fillId="6" borderId="46" xfId="0" applyNumberFormat="1" applyFont="1" applyFill="1" applyBorder="1" applyAlignment="1">
      <alignment horizontal="center" vertical="top"/>
    </xf>
    <xf numFmtId="166" fontId="24" fillId="0" borderId="8" xfId="0" applyNumberFormat="1" applyFont="1" applyFill="1" applyBorder="1" applyAlignment="1">
      <alignment horizontal="center" vertical="top"/>
    </xf>
    <xf numFmtId="0" fontId="24" fillId="6" borderId="57" xfId="0" applyFont="1" applyFill="1" applyBorder="1" applyAlignment="1">
      <alignment horizontal="center" vertical="top"/>
    </xf>
    <xf numFmtId="0" fontId="24" fillId="6" borderId="0" xfId="0" applyFont="1" applyFill="1" applyBorder="1" applyAlignment="1">
      <alignment horizontal="center" vertical="top"/>
    </xf>
    <xf numFmtId="0" fontId="24" fillId="6" borderId="30" xfId="0" applyFont="1" applyFill="1" applyBorder="1" applyAlignment="1">
      <alignment horizontal="center" vertical="top"/>
    </xf>
    <xf numFmtId="166" fontId="24" fillId="6" borderId="57" xfId="0" applyNumberFormat="1" applyFont="1" applyFill="1" applyBorder="1" applyAlignment="1">
      <alignment horizontal="center" vertical="top"/>
    </xf>
    <xf numFmtId="3" fontId="24" fillId="6" borderId="43" xfId="0" applyNumberFormat="1" applyFont="1" applyFill="1" applyBorder="1" applyAlignment="1">
      <alignment horizontal="center" vertical="top" wrapText="1"/>
    </xf>
    <xf numFmtId="166" fontId="24" fillId="6" borderId="58" xfId="0" applyNumberFormat="1" applyFont="1" applyFill="1" applyBorder="1" applyAlignment="1">
      <alignment horizontal="center" vertical="top"/>
    </xf>
    <xf numFmtId="3" fontId="24" fillId="6" borderId="35" xfId="0" applyNumberFormat="1" applyFont="1" applyFill="1" applyBorder="1" applyAlignment="1">
      <alignment horizontal="center" vertical="top" wrapText="1"/>
    </xf>
    <xf numFmtId="166" fontId="24" fillId="6" borderId="33" xfId="0" applyNumberFormat="1" applyFont="1" applyFill="1" applyBorder="1" applyAlignment="1">
      <alignment horizontal="center" vertical="top"/>
    </xf>
    <xf numFmtId="166" fontId="24" fillId="0" borderId="46" xfId="0" applyNumberFormat="1" applyFont="1" applyFill="1" applyBorder="1" applyAlignment="1">
      <alignment horizontal="center" vertical="top"/>
    </xf>
    <xf numFmtId="166" fontId="24" fillId="0" borderId="38" xfId="0" applyNumberFormat="1" applyFont="1" applyFill="1" applyBorder="1" applyAlignment="1">
      <alignment horizontal="center" vertical="top"/>
    </xf>
    <xf numFmtId="0" fontId="24" fillId="6" borderId="12" xfId="0" applyFont="1" applyFill="1" applyBorder="1" applyAlignment="1">
      <alignment horizontal="center" vertical="top" wrapText="1"/>
    </xf>
    <xf numFmtId="3" fontId="25" fillId="6" borderId="12" xfId="0" applyNumberFormat="1" applyFont="1" applyFill="1" applyBorder="1" applyAlignment="1">
      <alignment horizontal="center" vertical="top" wrapText="1"/>
    </xf>
    <xf numFmtId="166" fontId="25" fillId="6" borderId="57" xfId="0" applyNumberFormat="1" applyFont="1" applyFill="1" applyBorder="1" applyAlignment="1">
      <alignment horizontal="center" vertical="top"/>
    </xf>
    <xf numFmtId="3" fontId="25" fillId="6" borderId="35" xfId="0" applyNumberFormat="1" applyFont="1" applyFill="1" applyBorder="1" applyAlignment="1">
      <alignment horizontal="center" vertical="top" wrapText="1"/>
    </xf>
    <xf numFmtId="0" fontId="24" fillId="6" borderId="38" xfId="0" applyFont="1" applyFill="1" applyBorder="1" applyAlignment="1">
      <alignment horizontal="center" vertical="top"/>
    </xf>
    <xf numFmtId="0" fontId="24" fillId="6" borderId="36" xfId="0" applyFont="1" applyFill="1" applyBorder="1" applyAlignment="1">
      <alignment horizontal="center" vertical="top"/>
    </xf>
    <xf numFmtId="166" fontId="24" fillId="6" borderId="33" xfId="0" applyNumberFormat="1" applyFont="1" applyFill="1" applyBorder="1" applyAlignment="1">
      <alignment horizontal="center" vertical="top" wrapText="1"/>
    </xf>
    <xf numFmtId="166" fontId="24" fillId="6" borderId="48" xfId="0" applyNumberFormat="1" applyFont="1" applyFill="1" applyBorder="1" applyAlignment="1">
      <alignment horizontal="center" vertical="top" wrapText="1"/>
    </xf>
    <xf numFmtId="166" fontId="2" fillId="6" borderId="91" xfId="0" applyNumberFormat="1" applyFont="1" applyFill="1" applyBorder="1" applyAlignment="1">
      <alignment horizontal="center" vertical="top"/>
    </xf>
    <xf numFmtId="3" fontId="2" fillId="6" borderId="30" xfId="0" applyNumberFormat="1" applyFont="1" applyFill="1" applyBorder="1" applyAlignment="1">
      <alignment horizontal="center" vertical="top"/>
    </xf>
    <xf numFmtId="3" fontId="24" fillId="6" borderId="76" xfId="0" applyNumberFormat="1" applyFont="1" applyFill="1" applyBorder="1" applyAlignment="1">
      <alignment horizontal="center" vertical="top"/>
    </xf>
    <xf numFmtId="166" fontId="24" fillId="6" borderId="111" xfId="0" applyNumberFormat="1" applyFont="1" applyFill="1" applyBorder="1" applyAlignment="1">
      <alignment horizontal="center" vertical="top"/>
    </xf>
    <xf numFmtId="166" fontId="24" fillId="6" borderId="68" xfId="0" applyNumberFormat="1" applyFont="1" applyFill="1" applyBorder="1" applyAlignment="1">
      <alignment horizontal="center" vertical="top"/>
    </xf>
    <xf numFmtId="166" fontId="24" fillId="6" borderId="70" xfId="0" applyNumberFormat="1" applyFont="1" applyFill="1" applyBorder="1" applyAlignment="1">
      <alignment horizontal="center" vertical="top"/>
    </xf>
    <xf numFmtId="0" fontId="24" fillId="6" borderId="35" xfId="0" applyFont="1" applyFill="1" applyBorder="1" applyAlignment="1">
      <alignment horizontal="center" vertical="top"/>
    </xf>
    <xf numFmtId="0" fontId="24" fillId="0" borderId="77" xfId="0" applyFont="1" applyBorder="1" applyAlignment="1">
      <alignment horizontal="center" vertical="top"/>
    </xf>
    <xf numFmtId="3" fontId="24" fillId="6" borderId="104" xfId="0" applyNumberFormat="1" applyFont="1" applyFill="1" applyBorder="1" applyAlignment="1">
      <alignment horizontal="center" vertical="top"/>
    </xf>
    <xf numFmtId="166" fontId="24" fillId="6" borderId="39" xfId="0" applyNumberFormat="1" applyFont="1" applyFill="1" applyBorder="1" applyAlignment="1">
      <alignment horizontal="center" vertical="top"/>
    </xf>
    <xf numFmtId="166" fontId="24" fillId="6" borderId="95" xfId="0" applyNumberFormat="1" applyFont="1" applyFill="1" applyBorder="1" applyAlignment="1">
      <alignment horizontal="center" vertical="top"/>
    </xf>
    <xf numFmtId="166" fontId="24" fillId="6" borderId="75" xfId="0" applyNumberFormat="1" applyFont="1" applyFill="1" applyBorder="1" applyAlignment="1">
      <alignment horizontal="center" vertical="top"/>
    </xf>
    <xf numFmtId="166" fontId="25" fillId="6" borderId="13" xfId="0" applyNumberFormat="1" applyFont="1" applyFill="1" applyBorder="1" applyAlignment="1">
      <alignment horizontal="center" vertical="top"/>
    </xf>
    <xf numFmtId="166" fontId="25" fillId="6" borderId="37" xfId="0" applyNumberFormat="1" applyFont="1" applyFill="1" applyBorder="1" applyAlignment="1">
      <alignment horizontal="center" vertical="top"/>
    </xf>
    <xf numFmtId="166" fontId="25" fillId="6" borderId="16" xfId="0" applyNumberFormat="1" applyFont="1" applyFill="1" applyBorder="1" applyAlignment="1">
      <alignment horizontal="center" vertical="top"/>
    </xf>
    <xf numFmtId="166" fontId="25" fillId="6" borderId="33" xfId="0" applyNumberFormat="1" applyFont="1" applyFill="1" applyBorder="1" applyAlignment="1">
      <alignment horizontal="center" vertical="top"/>
    </xf>
    <xf numFmtId="165" fontId="24" fillId="0" borderId="67" xfId="0" applyNumberFormat="1" applyFont="1" applyBorder="1" applyAlignment="1">
      <alignment horizontal="center" vertical="top"/>
    </xf>
    <xf numFmtId="165" fontId="24" fillId="0" borderId="9" xfId="0" applyNumberFormat="1" applyFont="1" applyBorder="1" applyAlignment="1">
      <alignment horizontal="center" vertical="top"/>
    </xf>
    <xf numFmtId="165" fontId="24" fillId="0" borderId="0" xfId="0" applyNumberFormat="1" applyFont="1" applyBorder="1" applyAlignment="1">
      <alignment horizontal="center" vertical="top"/>
    </xf>
    <xf numFmtId="166" fontId="24" fillId="6" borderId="85" xfId="0" applyNumberFormat="1" applyFont="1" applyFill="1" applyBorder="1" applyAlignment="1">
      <alignment horizontal="center" vertical="top"/>
    </xf>
    <xf numFmtId="0" fontId="24" fillId="6" borderId="103" xfId="0" applyFont="1" applyFill="1" applyBorder="1" applyAlignment="1">
      <alignment horizontal="center" vertical="top"/>
    </xf>
    <xf numFmtId="166" fontId="24" fillId="6" borderId="40" xfId="0" applyNumberFormat="1" applyFont="1" applyFill="1" applyBorder="1" applyAlignment="1">
      <alignment horizontal="center" vertical="top"/>
    </xf>
    <xf numFmtId="166" fontId="24" fillId="6" borderId="84" xfId="0" applyNumberFormat="1" applyFont="1" applyFill="1" applyBorder="1" applyAlignment="1">
      <alignment horizontal="center" vertical="top"/>
    </xf>
    <xf numFmtId="166" fontId="25" fillId="6" borderId="43" xfId="0" applyNumberFormat="1" applyFont="1" applyFill="1" applyBorder="1" applyAlignment="1">
      <alignment horizontal="center" vertical="top"/>
    </xf>
    <xf numFmtId="166" fontId="25" fillId="6" borderId="46" xfId="0" applyNumberFormat="1" applyFont="1" applyFill="1" applyBorder="1" applyAlignment="1">
      <alignment horizontal="center" vertical="top"/>
    </xf>
    <xf numFmtId="166" fontId="25" fillId="6" borderId="71" xfId="0" applyNumberFormat="1" applyFont="1" applyFill="1" applyBorder="1" applyAlignment="1">
      <alignment horizontal="center" vertical="top"/>
    </xf>
    <xf numFmtId="166" fontId="2" fillId="6" borderId="78" xfId="0" applyNumberFormat="1" applyFont="1" applyFill="1" applyBorder="1" applyAlignment="1">
      <alignment horizontal="center" vertical="top"/>
    </xf>
    <xf numFmtId="166" fontId="24" fillId="0" borderId="13" xfId="0" applyNumberFormat="1" applyFont="1" applyFill="1" applyBorder="1" applyAlignment="1">
      <alignment horizontal="center" vertical="top"/>
    </xf>
    <xf numFmtId="166" fontId="3" fillId="6" borderId="83" xfId="0" applyNumberFormat="1" applyFont="1" applyFill="1" applyBorder="1" applyAlignment="1">
      <alignment horizontal="center" vertical="top"/>
    </xf>
    <xf numFmtId="0" fontId="24" fillId="0" borderId="0" xfId="0" applyFont="1" applyAlignment="1">
      <alignment vertical="top"/>
    </xf>
    <xf numFmtId="165" fontId="24" fillId="0" borderId="0" xfId="0" applyNumberFormat="1" applyFont="1" applyAlignment="1">
      <alignment vertical="top"/>
    </xf>
    <xf numFmtId="166" fontId="24" fillId="0" borderId="0" xfId="0" applyNumberFormat="1" applyFont="1" applyAlignment="1">
      <alignment vertical="top"/>
    </xf>
    <xf numFmtId="0" fontId="24" fillId="0" borderId="0" xfId="0" applyFont="1" applyBorder="1" applyAlignment="1">
      <alignment vertical="top"/>
    </xf>
    <xf numFmtId="166" fontId="24" fillId="0" borderId="0" xfId="0" applyNumberFormat="1" applyFont="1" applyBorder="1" applyAlignment="1">
      <alignment vertical="top"/>
    </xf>
    <xf numFmtId="166" fontId="2" fillId="9" borderId="28"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top"/>
    </xf>
    <xf numFmtId="166" fontId="2" fillId="0" borderId="0" xfId="0" applyNumberFormat="1" applyFont="1" applyAlignment="1">
      <alignment horizontal="center" vertical="top"/>
    </xf>
    <xf numFmtId="0" fontId="24" fillId="0" borderId="43" xfId="0" applyFont="1" applyBorder="1" applyAlignment="1">
      <alignment horizontal="center" vertical="top"/>
    </xf>
    <xf numFmtId="166" fontId="24" fillId="6" borderId="106" xfId="0" applyNumberFormat="1" applyFont="1" applyFill="1" applyBorder="1" applyAlignment="1">
      <alignment horizontal="center" vertical="top"/>
    </xf>
    <xf numFmtId="0" fontId="24" fillId="6" borderId="43" xfId="0" applyFont="1" applyFill="1" applyBorder="1" applyAlignment="1">
      <alignment horizontal="center" vertical="center"/>
    </xf>
    <xf numFmtId="165" fontId="24" fillId="6" borderId="13" xfId="0" applyNumberFormat="1" applyFont="1" applyFill="1" applyBorder="1" applyAlignment="1">
      <alignment horizontal="center" vertical="center"/>
    </xf>
    <xf numFmtId="165" fontId="24" fillId="6" borderId="37" xfId="0" applyNumberFormat="1" applyFont="1" applyFill="1" applyBorder="1" applyAlignment="1">
      <alignment horizontal="center" vertical="center"/>
    </xf>
    <xf numFmtId="165" fontId="24" fillId="6" borderId="16" xfId="0" applyNumberFormat="1" applyFont="1" applyFill="1" applyBorder="1" applyAlignment="1">
      <alignment horizontal="center" vertical="center"/>
    </xf>
    <xf numFmtId="0" fontId="24" fillId="6" borderId="12" xfId="0" applyFont="1" applyFill="1" applyBorder="1" applyAlignment="1">
      <alignment horizontal="center" vertical="center"/>
    </xf>
    <xf numFmtId="165" fontId="24" fillId="6" borderId="32" xfId="0" applyNumberFormat="1" applyFont="1" applyFill="1" applyBorder="1" applyAlignment="1">
      <alignment horizontal="center" vertical="center"/>
    </xf>
    <xf numFmtId="165" fontId="24" fillId="6" borderId="48" xfId="0" applyNumberFormat="1" applyFont="1" applyFill="1" applyBorder="1" applyAlignment="1">
      <alignment horizontal="center" vertical="center"/>
    </xf>
    <xf numFmtId="165" fontId="24" fillId="6" borderId="71" xfId="0" applyNumberFormat="1" applyFont="1" applyFill="1" applyBorder="1" applyAlignment="1">
      <alignment horizontal="center" vertical="center"/>
    </xf>
    <xf numFmtId="165" fontId="24" fillId="6" borderId="46" xfId="0" applyNumberFormat="1" applyFont="1" applyFill="1" applyBorder="1" applyAlignment="1">
      <alignment horizontal="center" vertical="center"/>
    </xf>
    <xf numFmtId="165" fontId="24" fillId="6" borderId="58" xfId="0" applyNumberFormat="1" applyFont="1" applyFill="1" applyBorder="1" applyAlignment="1">
      <alignment horizontal="center" vertical="center"/>
    </xf>
    <xf numFmtId="165" fontId="24" fillId="6" borderId="0" xfId="0" applyNumberFormat="1" applyFont="1" applyFill="1" applyBorder="1" applyAlignment="1">
      <alignment horizontal="center" vertical="center"/>
    </xf>
    <xf numFmtId="3" fontId="2" fillId="6" borderId="41" xfId="0" applyNumberFormat="1" applyFont="1" applyFill="1" applyBorder="1" applyAlignment="1">
      <alignment horizontal="left" vertical="top" wrapText="1"/>
    </xf>
    <xf numFmtId="3" fontId="2" fillId="6" borderId="41"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3" fontId="2" fillId="6" borderId="43" xfId="0" applyNumberFormat="1" applyFont="1" applyFill="1" applyBorder="1" applyAlignment="1">
      <alignment vertical="top" wrapText="1"/>
    </xf>
    <xf numFmtId="3" fontId="2" fillId="6" borderId="12"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xf>
    <xf numFmtId="3" fontId="7" fillId="6" borderId="13" xfId="0" applyNumberFormat="1" applyFont="1" applyFill="1" applyBorder="1" applyAlignment="1">
      <alignment horizontal="center" vertical="top"/>
    </xf>
    <xf numFmtId="3" fontId="7" fillId="6" borderId="37" xfId="0" applyNumberFormat="1" applyFont="1" applyFill="1" applyBorder="1" applyAlignment="1">
      <alignment horizontal="center" vertical="top"/>
    </xf>
    <xf numFmtId="3" fontId="7" fillId="6" borderId="58" xfId="0" applyNumberFormat="1" applyFont="1" applyFill="1" applyBorder="1" applyAlignment="1">
      <alignment horizontal="center" vertical="top"/>
    </xf>
    <xf numFmtId="0" fontId="19" fillId="0" borderId="8" xfId="0" applyFont="1" applyFill="1" applyBorder="1" applyAlignment="1">
      <alignment horizontal="center" vertical="top"/>
    </xf>
    <xf numFmtId="0" fontId="19" fillId="0" borderId="9" xfId="0" applyFont="1" applyFill="1" applyBorder="1" applyAlignment="1">
      <alignment horizontal="center" vertical="top"/>
    </xf>
    <xf numFmtId="0" fontId="19" fillId="0" borderId="30" xfId="0"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0" fontId="2" fillId="6" borderId="9" xfId="0" applyFont="1" applyFill="1" applyBorder="1" applyAlignment="1">
      <alignment horizontal="left" vertical="top" wrapText="1"/>
    </xf>
    <xf numFmtId="49" fontId="4" fillId="9" borderId="10"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2" fillId="6" borderId="114"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3" fontId="2" fillId="6" borderId="43"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wrapText="1"/>
    </xf>
    <xf numFmtId="0" fontId="2" fillId="6" borderId="57" xfId="0" applyFont="1" applyFill="1" applyBorder="1" applyAlignment="1">
      <alignment horizontal="center" vertical="top"/>
    </xf>
    <xf numFmtId="3" fontId="4" fillId="5" borderId="1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3" fontId="2" fillId="6" borderId="84" xfId="0" applyNumberFormat="1" applyFont="1" applyFill="1" applyBorder="1" applyAlignment="1">
      <alignment horizontal="center" vertical="top"/>
    </xf>
    <xf numFmtId="3" fontId="24" fillId="6" borderId="12" xfId="0" applyNumberFormat="1" applyFont="1" applyFill="1" applyBorder="1" applyAlignment="1">
      <alignment horizontal="center" vertical="top" wrapText="1"/>
    </xf>
    <xf numFmtId="3" fontId="26" fillId="6" borderId="30" xfId="0" applyNumberFormat="1" applyFont="1" applyFill="1" applyBorder="1" applyAlignment="1">
      <alignment horizontal="center" vertical="top" wrapText="1"/>
    </xf>
    <xf numFmtId="0" fontId="2" fillId="0" borderId="25" xfId="0" applyFont="1" applyFill="1" applyBorder="1" applyAlignment="1">
      <alignment vertical="top"/>
    </xf>
    <xf numFmtId="0" fontId="2" fillId="6" borderId="71" xfId="0" applyFont="1" applyFill="1" applyBorder="1" applyAlignment="1">
      <alignment horizontal="center" vertical="top"/>
    </xf>
    <xf numFmtId="0" fontId="2" fillId="6" borderId="29" xfId="0" applyFont="1" applyFill="1" applyBorder="1" applyAlignment="1">
      <alignment horizontal="center" vertical="top"/>
    </xf>
    <xf numFmtId="166" fontId="2" fillId="6" borderId="72" xfId="0" applyNumberFormat="1" applyFont="1" applyFill="1" applyBorder="1" applyAlignment="1">
      <alignment horizontal="center" vertical="top"/>
    </xf>
    <xf numFmtId="0" fontId="4" fillId="6" borderId="71" xfId="0" applyFont="1" applyFill="1" applyBorder="1" applyAlignment="1">
      <alignment horizontal="center" vertical="top" wrapText="1"/>
    </xf>
    <xf numFmtId="0" fontId="2" fillId="0" borderId="89" xfId="0" applyFont="1" applyBorder="1" applyAlignment="1">
      <alignment vertical="top"/>
    </xf>
    <xf numFmtId="3" fontId="2" fillId="6" borderId="113"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0" fontId="2" fillId="6" borderId="9" xfId="0" applyFont="1" applyFill="1" applyBorder="1" applyAlignment="1">
      <alignment horizontal="left" vertical="top" wrapText="1"/>
    </xf>
    <xf numFmtId="3" fontId="2" fillId="6" borderId="12" xfId="0" applyNumberFormat="1" applyFont="1" applyFill="1" applyBorder="1" applyAlignment="1">
      <alignment horizontal="center" vertical="top" wrapText="1"/>
    </xf>
    <xf numFmtId="0" fontId="2" fillId="6" borderId="75" xfId="0" applyFont="1" applyFill="1" applyBorder="1" applyAlignment="1">
      <alignment horizontal="center" vertical="top"/>
    </xf>
    <xf numFmtId="0" fontId="2" fillId="0" borderId="71" xfId="0" applyFont="1" applyBorder="1" applyAlignment="1">
      <alignment vertical="top"/>
    </xf>
    <xf numFmtId="3" fontId="2" fillId="6" borderId="43" xfId="0" applyNumberFormat="1" applyFont="1" applyFill="1" applyBorder="1" applyAlignment="1">
      <alignment horizontal="left" vertical="top" wrapText="1"/>
    </xf>
    <xf numFmtId="3" fontId="2" fillId="6" borderId="43" xfId="0" applyNumberFormat="1" applyFont="1" applyFill="1" applyBorder="1" applyAlignment="1">
      <alignment vertical="top" wrapText="1"/>
    </xf>
    <xf numFmtId="3" fontId="2" fillId="6" borderId="67" xfId="0" applyNumberFormat="1" applyFont="1" applyFill="1" applyBorder="1" applyAlignment="1">
      <alignment vertical="top" wrapText="1"/>
    </xf>
    <xf numFmtId="0" fontId="2" fillId="6" borderId="104" xfId="0" applyFont="1" applyFill="1" applyBorder="1" applyAlignment="1">
      <alignment vertical="top" wrapText="1"/>
    </xf>
    <xf numFmtId="3" fontId="2" fillId="6" borderId="77" xfId="0" applyNumberFormat="1" applyFont="1" applyFill="1" applyBorder="1" applyAlignment="1">
      <alignment vertical="top"/>
    </xf>
    <xf numFmtId="0" fontId="2" fillId="6" borderId="45" xfId="0" applyFont="1" applyFill="1" applyBorder="1" applyAlignment="1">
      <alignment horizontal="left" vertical="top" wrapText="1"/>
    </xf>
    <xf numFmtId="0" fontId="2" fillId="6" borderId="44" xfId="0" applyFont="1" applyFill="1" applyBorder="1" applyAlignment="1">
      <alignment horizontal="left" vertical="top" wrapText="1"/>
    </xf>
    <xf numFmtId="3" fontId="2" fillId="6" borderId="48" xfId="0" applyNumberFormat="1" applyFont="1" applyFill="1" applyBorder="1" applyAlignment="1">
      <alignment horizontal="center" vertical="top"/>
    </xf>
    <xf numFmtId="3" fontId="2" fillId="6" borderId="35" xfId="0" applyNumberFormat="1" applyFont="1" applyFill="1" applyBorder="1" applyAlignment="1">
      <alignment horizontal="left" vertical="top" wrapText="1"/>
    </xf>
    <xf numFmtId="3" fontId="2" fillId="6" borderId="32" xfId="0" applyNumberFormat="1" applyFont="1" applyFill="1" applyBorder="1" applyAlignment="1">
      <alignment horizontal="center" vertical="top"/>
    </xf>
    <xf numFmtId="0" fontId="23" fillId="0" borderId="0" xfId="0" applyFont="1" applyAlignment="1">
      <alignment horizontal="left" vertical="top" wrapText="1"/>
    </xf>
    <xf numFmtId="3" fontId="20" fillId="0" borderId="0" xfId="0" applyNumberFormat="1" applyFont="1" applyAlignment="1">
      <alignment horizontal="center" vertical="top"/>
    </xf>
    <xf numFmtId="0" fontId="18" fillId="0" borderId="0" xfId="0" applyFont="1" applyAlignment="1">
      <alignment horizontal="center" vertical="top" wrapText="1"/>
    </xf>
    <xf numFmtId="0" fontId="16" fillId="0" borderId="0" xfId="0" applyFont="1" applyAlignment="1">
      <alignment horizontal="center" vertical="top"/>
    </xf>
    <xf numFmtId="0" fontId="2" fillId="0" borderId="1" xfId="0" applyFont="1" applyBorder="1" applyAlignment="1">
      <alignment horizontal="right"/>
    </xf>
    <xf numFmtId="3" fontId="2" fillId="0" borderId="2" xfId="0" applyNumberFormat="1" applyFont="1" applyBorder="1" applyAlignment="1">
      <alignment horizontal="center" vertical="center" textRotation="90" shrinkToFit="1"/>
    </xf>
    <xf numFmtId="3" fontId="2" fillId="0" borderId="8" xfId="0" applyNumberFormat="1" applyFont="1" applyBorder="1" applyAlignment="1">
      <alignment horizontal="center" vertical="center" textRotation="90" shrinkToFit="1"/>
    </xf>
    <xf numFmtId="3" fontId="2" fillId="0" borderId="19" xfId="0" applyNumberFormat="1" applyFont="1" applyBorder="1" applyAlignment="1">
      <alignment horizontal="center" vertical="center" textRotation="90" shrinkToFit="1"/>
    </xf>
    <xf numFmtId="3" fontId="2" fillId="0" borderId="3"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20" xfId="0" applyNumberFormat="1" applyFont="1" applyBorder="1" applyAlignment="1">
      <alignment horizontal="center" vertical="center" textRotation="90" shrinkToFit="1"/>
    </xf>
    <xf numFmtId="49" fontId="2" fillId="0" borderId="3" xfId="0" applyNumberFormat="1" applyFont="1" applyBorder="1" applyAlignment="1">
      <alignment horizontal="center" vertical="center" textRotation="90" shrinkToFit="1"/>
    </xf>
    <xf numFmtId="49" fontId="2" fillId="0" borderId="9" xfId="0" applyNumberFormat="1" applyFont="1" applyBorder="1" applyAlignment="1">
      <alignment horizontal="center" vertical="center" textRotation="90" shrinkToFit="1"/>
    </xf>
    <xf numFmtId="49" fontId="2" fillId="0" borderId="20" xfId="0" applyNumberFormat="1" applyFont="1" applyBorder="1" applyAlignment="1">
      <alignment horizontal="center" vertical="center" textRotation="90" shrinkToFit="1"/>
    </xf>
    <xf numFmtId="3" fontId="2" fillId="0" borderId="4" xfId="0" applyNumberFormat="1" applyFont="1" applyBorder="1" applyAlignment="1">
      <alignment horizontal="center" vertical="center" shrinkToFit="1"/>
    </xf>
    <xf numFmtId="3" fontId="2" fillId="0" borderId="10" xfId="0" applyNumberFormat="1" applyFont="1" applyBorder="1" applyAlignment="1">
      <alignment horizontal="center" vertical="center" shrinkToFit="1"/>
    </xf>
    <xf numFmtId="3" fontId="2" fillId="0" borderId="21" xfId="0" applyNumberFormat="1" applyFont="1" applyBorder="1" applyAlignment="1">
      <alignment horizontal="center" vertical="center" shrinkToFit="1"/>
    </xf>
    <xf numFmtId="0" fontId="2" fillId="0" borderId="59" xfId="0" applyFont="1" applyBorder="1" applyAlignment="1">
      <alignment horizontal="center" vertical="center" textRotation="90" wrapText="1"/>
    </xf>
    <xf numFmtId="0" fontId="2" fillId="0" borderId="57" xfId="0" applyFont="1" applyBorder="1" applyAlignment="1">
      <alignment horizontal="center" vertical="center" textRotation="90" wrapText="1"/>
    </xf>
    <xf numFmtId="0" fontId="2" fillId="0" borderId="51" xfId="0" applyFont="1" applyBorder="1" applyAlignment="1">
      <alignment horizontal="center" vertical="center" textRotation="90" wrapText="1"/>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3" fontId="2" fillId="0" borderId="31"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34" xfId="0" applyNumberFormat="1" applyFont="1" applyBorder="1" applyAlignment="1">
      <alignment horizontal="center" vertical="center"/>
    </xf>
    <xf numFmtId="49" fontId="2" fillId="6" borderId="37" xfId="0" applyNumberFormat="1" applyFont="1" applyFill="1" applyBorder="1" applyAlignment="1">
      <alignment horizontal="center" vertical="top" wrapText="1"/>
    </xf>
    <xf numFmtId="49" fontId="2" fillId="6" borderId="98" xfId="0" applyNumberFormat="1" applyFont="1" applyFill="1" applyBorder="1" applyAlignment="1">
      <alignment horizontal="center" vertical="top" wrapText="1"/>
    </xf>
    <xf numFmtId="49" fontId="2" fillId="6" borderId="58" xfId="0" applyNumberFormat="1" applyFont="1" applyFill="1" applyBorder="1" applyAlignment="1">
      <alignment horizontal="center" vertical="top" wrapText="1"/>
    </xf>
    <xf numFmtId="0" fontId="11" fillId="6" borderId="97" xfId="0" applyFont="1" applyFill="1" applyBorder="1" applyAlignment="1">
      <alignment vertical="top" wrapText="1"/>
    </xf>
    <xf numFmtId="3" fontId="2" fillId="6" borderId="37" xfId="0" applyNumberFormat="1" applyFont="1" applyFill="1" applyBorder="1" applyAlignment="1">
      <alignment horizontal="left" vertical="top" wrapText="1"/>
    </xf>
    <xf numFmtId="3" fontId="2" fillId="6" borderId="9" xfId="0" applyNumberFormat="1" applyFont="1" applyFill="1" applyBorder="1" applyAlignment="1">
      <alignment horizontal="left" vertical="top" wrapText="1"/>
    </xf>
    <xf numFmtId="3" fontId="2" fillId="6" borderId="48" xfId="0" applyNumberFormat="1" applyFont="1" applyFill="1" applyBorder="1" applyAlignment="1">
      <alignment horizontal="left" vertical="top" wrapText="1"/>
    </xf>
    <xf numFmtId="49" fontId="4" fillId="2" borderId="90" xfId="0" applyNumberFormat="1" applyFont="1" applyFill="1" applyBorder="1" applyAlignment="1">
      <alignment horizontal="left" vertical="top" wrapText="1"/>
    </xf>
    <xf numFmtId="49" fontId="4" fillId="2" borderId="27" xfId="0" applyNumberFormat="1" applyFont="1" applyFill="1" applyBorder="1" applyAlignment="1">
      <alignment horizontal="left" vertical="top" wrapText="1"/>
    </xf>
    <xf numFmtId="49" fontId="4" fillId="2" borderId="91" xfId="0" applyNumberFormat="1" applyFont="1" applyFill="1" applyBorder="1" applyAlignment="1">
      <alignment horizontal="left" vertical="top" wrapText="1"/>
    </xf>
    <xf numFmtId="3" fontId="2" fillId="0" borderId="4"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21" xfId="0" applyNumberFormat="1" applyFont="1" applyBorder="1" applyAlignment="1">
      <alignment horizontal="center" vertical="center" textRotation="90" shrinkToFit="1"/>
    </xf>
    <xf numFmtId="3" fontId="2" fillId="0" borderId="5" xfId="0" applyNumberFormat="1" applyFont="1" applyBorder="1" applyAlignment="1">
      <alignment horizontal="center" vertical="center" textRotation="90" wrapText="1" shrinkToFit="1"/>
    </xf>
    <xf numFmtId="3" fontId="2" fillId="0" borderId="12" xfId="0" applyNumberFormat="1" applyFont="1" applyBorder="1" applyAlignment="1">
      <alignment horizontal="center" vertical="center" textRotation="90" wrapText="1" shrinkToFit="1"/>
    </xf>
    <xf numFmtId="3" fontId="2" fillId="0" borderId="24" xfId="0" applyNumberFormat="1" applyFont="1" applyBorder="1" applyAlignment="1">
      <alignment horizontal="center" vertical="center" textRotation="90" wrapText="1" shrinkToFi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3" fontId="2" fillId="6" borderId="70"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0" fontId="2" fillId="0" borderId="111" xfId="0" applyFont="1" applyBorder="1" applyAlignment="1">
      <alignment horizontal="center" vertical="top"/>
    </xf>
    <xf numFmtId="0" fontId="2" fillId="0" borderId="71" xfId="0" applyFont="1" applyBorder="1" applyAlignment="1">
      <alignment horizontal="center" vertical="top"/>
    </xf>
    <xf numFmtId="3" fontId="4" fillId="4" borderId="8"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0" fontId="11" fillId="0" borderId="9" xfId="0" applyFont="1" applyBorder="1" applyAlignment="1">
      <alignment horizontal="left" vertical="top" wrapText="1"/>
    </xf>
    <xf numFmtId="0" fontId="4" fillId="3" borderId="42" xfId="0" applyFont="1" applyFill="1" applyBorder="1" applyAlignment="1">
      <alignment horizontal="left" vertical="top" wrapText="1"/>
    </xf>
    <xf numFmtId="0" fontId="4" fillId="3" borderId="38" xfId="0" applyFont="1" applyFill="1" applyBorder="1" applyAlignment="1">
      <alignment horizontal="left" vertical="top" wrapText="1"/>
    </xf>
    <xf numFmtId="0" fontId="0" fillId="0" borderId="38" xfId="0" applyBorder="1" applyAlignment="1">
      <alignment horizontal="left" vertical="top" wrapText="1"/>
    </xf>
    <xf numFmtId="0" fontId="0" fillId="0" borderId="58" xfId="0" applyBorder="1" applyAlignment="1">
      <alignment horizontal="left" vertical="top" wrapText="1"/>
    </xf>
    <xf numFmtId="0" fontId="4" fillId="4" borderId="38"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17" xfId="0" applyFont="1" applyFill="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3" fontId="11" fillId="6" borderId="9" xfId="0" applyNumberFormat="1" applyFont="1" applyFill="1" applyBorder="1" applyAlignment="1">
      <alignment horizontal="left" vertical="top" wrapText="1"/>
    </xf>
    <xf numFmtId="3" fontId="4" fillId="6" borderId="38"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3" fontId="2" fillId="6" borderId="43" xfId="0" applyNumberFormat="1" applyFont="1" applyFill="1" applyBorder="1" applyAlignment="1">
      <alignment horizontal="left" vertical="top" wrapText="1"/>
    </xf>
    <xf numFmtId="3" fontId="2" fillId="6" borderId="12" xfId="0" applyNumberFormat="1" applyFont="1" applyFill="1" applyBorder="1" applyAlignment="1">
      <alignment horizontal="left" vertical="top" wrapText="1"/>
    </xf>
    <xf numFmtId="3" fontId="2" fillId="6" borderId="76" xfId="0" applyNumberFormat="1" applyFont="1" applyFill="1" applyBorder="1" applyAlignment="1">
      <alignment horizontal="left" vertical="top" wrapText="1"/>
    </xf>
    <xf numFmtId="3" fontId="2" fillId="6" borderId="35" xfId="0" applyNumberFormat="1" applyFont="1" applyFill="1" applyBorder="1" applyAlignment="1">
      <alignment horizontal="left" vertical="top" wrapText="1"/>
    </xf>
    <xf numFmtId="3" fontId="2" fillId="6" borderId="68"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0" fontId="11" fillId="6" borderId="9" xfId="0" applyFont="1" applyFill="1" applyBorder="1" applyAlignment="1">
      <alignment horizontal="left" vertical="top" wrapText="1"/>
    </xf>
    <xf numFmtId="0" fontId="11" fillId="6" borderId="48" xfId="0" applyFont="1" applyFill="1" applyBorder="1" applyAlignment="1">
      <alignment vertical="top" wrapText="1"/>
    </xf>
    <xf numFmtId="0" fontId="2" fillId="6" borderId="37" xfId="0" applyFont="1" applyFill="1" applyBorder="1" applyAlignment="1">
      <alignment vertical="top" wrapText="1"/>
    </xf>
    <xf numFmtId="0" fontId="2" fillId="6" borderId="9" xfId="0" applyFont="1" applyFill="1" applyBorder="1" applyAlignment="1">
      <alignment vertical="top" wrapText="1"/>
    </xf>
    <xf numFmtId="0" fontId="11" fillId="6" borderId="9" xfId="0" applyFont="1" applyFill="1" applyBorder="1" applyAlignment="1">
      <alignment vertical="top" wrapText="1"/>
    </xf>
    <xf numFmtId="0" fontId="11" fillId="6" borderId="41" xfId="0" applyFont="1" applyFill="1" applyBorder="1" applyAlignment="1">
      <alignment vertical="top" wrapText="1"/>
    </xf>
    <xf numFmtId="49" fontId="2" fillId="6" borderId="13" xfId="0" applyNumberFormat="1" applyFont="1" applyFill="1" applyBorder="1" applyAlignment="1">
      <alignment horizontal="center" vertical="top" wrapText="1"/>
    </xf>
    <xf numFmtId="49" fontId="2" fillId="6" borderId="40" xfId="0" applyNumberFormat="1" applyFont="1" applyFill="1" applyBorder="1" applyAlignment="1">
      <alignment horizontal="center" vertical="top" wrapText="1"/>
    </xf>
    <xf numFmtId="3" fontId="2" fillId="6" borderId="43" xfId="0" applyNumberFormat="1" applyFont="1" applyFill="1" applyBorder="1" applyAlignment="1">
      <alignment vertical="top" wrapText="1"/>
    </xf>
    <xf numFmtId="0" fontId="11" fillId="0" borderId="41" xfId="0" applyFont="1" applyBorder="1" applyAlignment="1">
      <alignment vertical="top" wrapText="1"/>
    </xf>
    <xf numFmtId="3" fontId="4" fillId="4" borderId="2" xfId="0" applyNumberFormat="1" applyFont="1" applyFill="1" applyBorder="1" applyAlignment="1">
      <alignment horizontal="center" vertical="top"/>
    </xf>
    <xf numFmtId="3" fontId="4" fillId="4" borderId="19" xfId="0" applyNumberFormat="1" applyFont="1" applyFill="1" applyBorder="1" applyAlignment="1">
      <alignment horizontal="center" vertical="top"/>
    </xf>
    <xf numFmtId="3" fontId="4" fillId="5" borderId="4" xfId="0" applyNumberFormat="1" applyFont="1" applyFill="1" applyBorder="1" applyAlignment="1">
      <alignment horizontal="center" vertical="top"/>
    </xf>
    <xf numFmtId="3" fontId="4" fillId="5" borderId="21" xfId="0" applyNumberFormat="1" applyFont="1" applyFill="1" applyBorder="1" applyAlignment="1">
      <alignment horizontal="center" vertical="top"/>
    </xf>
    <xf numFmtId="49" fontId="4" fillId="9" borderId="3" xfId="0" applyNumberFormat="1" applyFont="1" applyFill="1" applyBorder="1" applyAlignment="1">
      <alignment horizontal="center" vertical="top"/>
    </xf>
    <xf numFmtId="49" fontId="4" fillId="9" borderId="20" xfId="0" applyNumberFormat="1" applyFont="1" applyFill="1" applyBorder="1" applyAlignment="1">
      <alignment horizontal="center" vertical="top"/>
    </xf>
    <xf numFmtId="3" fontId="2" fillId="6" borderId="3" xfId="0" applyNumberFormat="1" applyFont="1" applyFill="1" applyBorder="1" applyAlignment="1">
      <alignment horizontal="left" vertical="top" wrapText="1"/>
    </xf>
    <xf numFmtId="3" fontId="2" fillId="6" borderId="20" xfId="0" applyNumberFormat="1" applyFont="1" applyFill="1" applyBorder="1" applyAlignment="1">
      <alignment horizontal="left" vertical="top" wrapText="1"/>
    </xf>
    <xf numFmtId="3" fontId="4" fillId="0" borderId="53" xfId="0" applyNumberFormat="1" applyFont="1" applyFill="1" applyBorder="1" applyAlignment="1">
      <alignment horizontal="center" vertical="top" wrapText="1"/>
    </xf>
    <xf numFmtId="3" fontId="4" fillId="0" borderId="26" xfId="0" applyNumberFormat="1" applyFont="1" applyFill="1" applyBorder="1" applyAlignment="1">
      <alignment horizontal="center" vertical="top" wrapText="1"/>
    </xf>
    <xf numFmtId="0" fontId="11" fillId="6" borderId="48" xfId="0" applyFont="1" applyFill="1" applyBorder="1" applyAlignment="1">
      <alignment horizontal="left" vertical="top" wrapText="1"/>
    </xf>
    <xf numFmtId="3" fontId="2" fillId="6" borderId="35" xfId="0" applyNumberFormat="1" applyFont="1" applyFill="1" applyBorder="1" applyAlignment="1">
      <alignment vertical="top" wrapText="1"/>
    </xf>
    <xf numFmtId="3" fontId="2" fillId="0" borderId="37" xfId="0" applyNumberFormat="1" applyFont="1" applyFill="1" applyBorder="1" applyAlignment="1">
      <alignment horizontal="left" vertical="top" wrapText="1"/>
    </xf>
    <xf numFmtId="3" fontId="2" fillId="0" borderId="48" xfId="0" applyNumberFormat="1" applyFont="1" applyFill="1" applyBorder="1" applyAlignment="1">
      <alignment horizontal="left" vertical="top" wrapText="1"/>
    </xf>
    <xf numFmtId="3" fontId="7" fillId="6" borderId="37" xfId="0" applyNumberFormat="1" applyFont="1" applyFill="1" applyBorder="1" applyAlignment="1">
      <alignment horizontal="left" vertical="top" wrapText="1"/>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0" fontId="11" fillId="0" borderId="35" xfId="0" applyFont="1" applyBorder="1" applyAlignment="1">
      <alignment horizontal="left" vertical="top" wrapText="1"/>
    </xf>
    <xf numFmtId="3" fontId="2" fillId="6" borderId="48" xfId="0" applyNumberFormat="1" applyFont="1" applyFill="1" applyBorder="1" applyAlignment="1">
      <alignment vertical="top" wrapText="1"/>
    </xf>
    <xf numFmtId="3" fontId="2" fillId="6" borderId="37" xfId="0" applyNumberFormat="1" applyFont="1" applyFill="1" applyBorder="1" applyAlignment="1">
      <alignment vertical="top" wrapText="1"/>
    </xf>
    <xf numFmtId="3" fontId="2" fillId="6" borderId="9" xfId="0" applyNumberFormat="1" applyFont="1" applyFill="1" applyBorder="1" applyAlignment="1">
      <alignment vertical="top" wrapText="1"/>
    </xf>
    <xf numFmtId="3" fontId="4" fillId="6" borderId="3" xfId="0" applyNumberFormat="1" applyFont="1" applyFill="1" applyBorder="1" applyAlignment="1">
      <alignment horizontal="left" vertical="top" wrapText="1"/>
    </xf>
    <xf numFmtId="3" fontId="4" fillId="6" borderId="9"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3" fontId="4" fillId="5" borderId="3" xfId="0" applyNumberFormat="1" applyFont="1" applyFill="1" applyBorder="1" applyAlignment="1">
      <alignment horizontal="center" vertical="top"/>
    </xf>
    <xf numFmtId="3" fontId="4" fillId="0" borderId="53" xfId="0" applyNumberFormat="1" applyFont="1" applyFill="1" applyBorder="1" applyAlignment="1">
      <alignment horizontal="center" vertical="top"/>
    </xf>
    <xf numFmtId="3" fontId="4" fillId="0" borderId="71" xfId="0" applyNumberFormat="1" applyFont="1" applyFill="1" applyBorder="1" applyAlignment="1">
      <alignment horizontal="center" vertical="top"/>
    </xf>
    <xf numFmtId="0" fontId="11" fillId="0" borderId="48" xfId="0" applyFont="1" applyBorder="1" applyAlignment="1">
      <alignment horizontal="left" vertical="top" wrapText="1"/>
    </xf>
    <xf numFmtId="3" fontId="2" fillId="6" borderId="44" xfId="0" applyNumberFormat="1" applyFont="1" applyFill="1" applyBorder="1" applyAlignment="1">
      <alignment horizontal="left" vertical="top" wrapText="1"/>
    </xf>
    <xf numFmtId="3" fontId="4" fillId="6" borderId="53" xfId="0" applyNumberFormat="1" applyFont="1" applyFill="1" applyBorder="1" applyAlignment="1">
      <alignment horizontal="center" vertical="top" wrapText="1"/>
    </xf>
    <xf numFmtId="3" fontId="4" fillId="6" borderId="30" xfId="0" applyNumberFormat="1" applyFont="1" applyFill="1" applyBorder="1" applyAlignment="1">
      <alignment horizontal="center" vertical="top" wrapText="1"/>
    </xf>
    <xf numFmtId="3" fontId="2" fillId="6" borderId="49" xfId="0" applyNumberFormat="1" applyFont="1" applyFill="1" applyBorder="1" applyAlignment="1">
      <alignment horizontal="left" vertical="top" wrapText="1"/>
    </xf>
    <xf numFmtId="3" fontId="2" fillId="6" borderId="14" xfId="0" applyNumberFormat="1" applyFont="1" applyFill="1" applyBorder="1" applyAlignment="1">
      <alignment horizontal="left" vertical="top" wrapText="1"/>
    </xf>
    <xf numFmtId="49" fontId="4" fillId="4" borderId="8" xfId="0" applyNumberFormat="1" applyFont="1" applyFill="1" applyBorder="1" applyAlignment="1">
      <alignment horizontal="center" vertical="top"/>
    </xf>
    <xf numFmtId="49" fontId="4" fillId="4" borderId="19" xfId="0" applyNumberFormat="1" applyFont="1" applyFill="1" applyBorder="1" applyAlignment="1">
      <alignment horizontal="center" vertical="top"/>
    </xf>
    <xf numFmtId="49" fontId="4" fillId="5" borderId="9" xfId="0" applyNumberFormat="1" applyFont="1" applyFill="1" applyBorder="1" applyAlignment="1">
      <alignment horizontal="center" vertical="top"/>
    </xf>
    <xf numFmtId="49" fontId="4" fillId="5" borderId="20" xfId="0" applyNumberFormat="1" applyFont="1" applyFill="1" applyBorder="1" applyAlignment="1">
      <alignment horizontal="center" vertical="top"/>
    </xf>
    <xf numFmtId="3" fontId="4" fillId="5" borderId="21" xfId="0" applyNumberFormat="1" applyFont="1" applyFill="1" applyBorder="1" applyAlignment="1">
      <alignment horizontal="right" vertical="top"/>
    </xf>
    <xf numFmtId="3" fontId="4" fillId="5" borderId="1" xfId="0" applyNumberFormat="1" applyFont="1" applyFill="1" applyBorder="1" applyAlignment="1">
      <alignment horizontal="right" vertical="top"/>
    </xf>
    <xf numFmtId="3" fontId="4" fillId="5" borderId="23" xfId="0" applyNumberFormat="1" applyFont="1" applyFill="1" applyBorder="1" applyAlignment="1">
      <alignment horizontal="right" vertical="top"/>
    </xf>
    <xf numFmtId="3" fontId="2" fillId="7" borderId="65" xfId="0" applyNumberFormat="1" applyFont="1" applyFill="1" applyBorder="1" applyAlignment="1">
      <alignment horizontal="center" vertical="top"/>
    </xf>
    <xf numFmtId="3" fontId="2" fillId="7" borderId="62" xfId="0" applyNumberFormat="1" applyFont="1" applyFill="1" applyBorder="1" applyAlignment="1">
      <alignment horizontal="center" vertical="top"/>
    </xf>
    <xf numFmtId="3" fontId="2" fillId="7" borderId="63" xfId="0" applyNumberFormat="1" applyFont="1" applyFill="1" applyBorder="1" applyAlignment="1">
      <alignment horizontal="center" vertical="top"/>
    </xf>
    <xf numFmtId="3" fontId="4" fillId="5" borderId="61" xfId="0" applyNumberFormat="1" applyFont="1" applyFill="1" applyBorder="1" applyAlignment="1">
      <alignment horizontal="left" vertical="top"/>
    </xf>
    <xf numFmtId="3" fontId="4" fillId="5" borderId="62" xfId="0" applyNumberFormat="1" applyFont="1" applyFill="1" applyBorder="1" applyAlignment="1">
      <alignment horizontal="left" vertical="top"/>
    </xf>
    <xf numFmtId="3" fontId="4" fillId="5" borderId="63" xfId="0" applyNumberFormat="1" applyFont="1" applyFill="1" applyBorder="1" applyAlignment="1">
      <alignment horizontal="left" vertical="top"/>
    </xf>
    <xf numFmtId="49" fontId="4" fillId="9" borderId="55" xfId="0" applyNumberFormat="1" applyFont="1" applyFill="1" applyBorder="1" applyAlignment="1">
      <alignment horizontal="center" vertical="top"/>
    </xf>
    <xf numFmtId="49" fontId="4" fillId="9" borderId="25" xfId="0" applyNumberFormat="1" applyFont="1" applyFill="1" applyBorder="1" applyAlignment="1">
      <alignment horizontal="center" vertical="top"/>
    </xf>
    <xf numFmtId="3" fontId="2" fillId="6" borderId="3" xfId="0" applyNumberFormat="1" applyFont="1" applyFill="1" applyBorder="1" applyAlignment="1">
      <alignment vertical="top" wrapText="1"/>
    </xf>
    <xf numFmtId="0" fontId="11" fillId="0" borderId="48" xfId="0" applyFont="1" applyBorder="1" applyAlignment="1">
      <alignment vertical="top" wrapText="1"/>
    </xf>
    <xf numFmtId="0" fontId="11" fillId="0" borderId="12" xfId="0" applyFont="1" applyBorder="1" applyAlignment="1">
      <alignment horizontal="left" vertical="top" wrapText="1"/>
    </xf>
    <xf numFmtId="0" fontId="2" fillId="6" borderId="37"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48" xfId="0" applyFont="1" applyFill="1" applyBorder="1" applyAlignment="1">
      <alignment horizontal="left" vertical="top" wrapText="1"/>
    </xf>
    <xf numFmtId="0" fontId="2" fillId="10" borderId="43" xfId="0" applyFont="1" applyFill="1" applyBorder="1" applyAlignment="1">
      <alignment horizontal="left" vertical="top" wrapText="1"/>
    </xf>
    <xf numFmtId="0" fontId="2" fillId="10" borderId="12" xfId="0" applyFont="1" applyFill="1" applyBorder="1" applyAlignment="1">
      <alignment horizontal="left" vertical="top" wrapText="1"/>
    </xf>
    <xf numFmtId="0" fontId="24" fillId="6" borderId="45" xfId="0" applyFont="1" applyFill="1" applyBorder="1" applyAlignment="1">
      <alignment horizontal="center" vertical="top"/>
    </xf>
    <xf numFmtId="0" fontId="2" fillId="6" borderId="76" xfId="0" applyFont="1" applyFill="1" applyBorder="1" applyAlignment="1">
      <alignment horizontal="left" vertical="top" wrapText="1"/>
    </xf>
    <xf numFmtId="0" fontId="2" fillId="6" borderId="35" xfId="0" applyFont="1" applyFill="1" applyBorder="1" applyAlignment="1">
      <alignment horizontal="left" vertical="top" wrapText="1"/>
    </xf>
    <xf numFmtId="3" fontId="4" fillId="3" borderId="65" xfId="0" applyNumberFormat="1" applyFont="1" applyFill="1" applyBorder="1" applyAlignment="1">
      <alignment horizontal="center" vertical="top"/>
    </xf>
    <xf numFmtId="3" fontId="4" fillId="3" borderId="62" xfId="0" applyNumberFormat="1" applyFont="1" applyFill="1" applyBorder="1" applyAlignment="1">
      <alignment horizontal="center" vertical="top"/>
    </xf>
    <xf numFmtId="3" fontId="4" fillId="3" borderId="63" xfId="0" applyNumberFormat="1" applyFont="1" applyFill="1" applyBorder="1" applyAlignment="1">
      <alignment horizontal="center" vertical="top"/>
    </xf>
    <xf numFmtId="49" fontId="4" fillId="9" borderId="44" xfId="0" applyNumberFormat="1" applyFont="1" applyFill="1" applyBorder="1" applyAlignment="1">
      <alignment horizontal="center" vertical="top"/>
    </xf>
    <xf numFmtId="3" fontId="4" fillId="5" borderId="61" xfId="0" applyNumberFormat="1" applyFont="1" applyFill="1" applyBorder="1" applyAlignment="1">
      <alignment horizontal="right" vertical="top"/>
    </xf>
    <xf numFmtId="3" fontId="4" fillId="5" borderId="62" xfId="0" applyNumberFormat="1" applyFont="1" applyFill="1" applyBorder="1" applyAlignment="1">
      <alignment horizontal="right" vertical="top"/>
    </xf>
    <xf numFmtId="3" fontId="4" fillId="5" borderId="63" xfId="0" applyNumberFormat="1" applyFont="1" applyFill="1" applyBorder="1" applyAlignment="1">
      <alignment horizontal="right" vertical="top"/>
    </xf>
    <xf numFmtId="3" fontId="2" fillId="7" borderId="65" xfId="0" applyNumberFormat="1" applyFont="1" applyFill="1" applyBorder="1" applyAlignment="1">
      <alignment horizontal="left" vertical="top"/>
    </xf>
    <xf numFmtId="0" fontId="0" fillId="0" borderId="62" xfId="0" applyBorder="1" applyAlignment="1">
      <alignment horizontal="left" vertical="top"/>
    </xf>
    <xf numFmtId="0" fontId="0" fillId="0" borderId="63" xfId="0" applyBorder="1" applyAlignment="1">
      <alignment horizontal="left" vertical="top"/>
    </xf>
    <xf numFmtId="3" fontId="4" fillId="5" borderId="21" xfId="0" applyNumberFormat="1" applyFont="1" applyFill="1" applyBorder="1" applyAlignment="1">
      <alignment horizontal="left" vertical="top"/>
    </xf>
    <xf numFmtId="3" fontId="4" fillId="5" borderId="1" xfId="0" applyNumberFormat="1" applyFont="1" applyFill="1" applyBorder="1" applyAlignment="1">
      <alignment horizontal="left" vertical="top"/>
    </xf>
    <xf numFmtId="0" fontId="0" fillId="0" borderId="1" xfId="0" applyBorder="1" applyAlignment="1">
      <alignment horizontal="left" vertical="top"/>
    </xf>
    <xf numFmtId="0" fontId="0" fillId="0" borderId="23" xfId="0" applyBorder="1" applyAlignment="1">
      <alignment horizontal="left" vertical="top"/>
    </xf>
    <xf numFmtId="3" fontId="4" fillId="3" borderId="29" xfId="0" applyNumberFormat="1" applyFont="1" applyFill="1" applyBorder="1" applyAlignment="1">
      <alignment horizontal="right" vertical="top" wrapText="1"/>
    </xf>
    <xf numFmtId="3" fontId="2" fillId="3" borderId="44" xfId="0" applyNumberFormat="1" applyFont="1" applyFill="1" applyBorder="1" applyAlignment="1">
      <alignment vertical="top" wrapText="1"/>
    </xf>
    <xf numFmtId="3" fontId="2" fillId="3" borderId="72" xfId="0" applyNumberFormat="1" applyFont="1" applyFill="1" applyBorder="1" applyAlignment="1">
      <alignment vertical="top" wrapText="1"/>
    </xf>
    <xf numFmtId="3" fontId="2" fillId="8" borderId="28" xfId="0" applyNumberFormat="1" applyFont="1" applyFill="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3" fontId="4" fillId="9" borderId="22" xfId="0" applyNumberFormat="1" applyFont="1" applyFill="1" applyBorder="1" applyAlignment="1">
      <alignment horizontal="right" vertical="top" wrapText="1"/>
    </xf>
    <xf numFmtId="3" fontId="4" fillId="9" borderId="1" xfId="0" applyNumberFormat="1" applyFont="1" applyFill="1" applyBorder="1" applyAlignment="1">
      <alignment horizontal="right" vertical="top" wrapText="1"/>
    </xf>
    <xf numFmtId="3" fontId="4" fillId="9" borderId="23" xfId="0" applyNumberFormat="1" applyFont="1" applyFill="1" applyBorder="1" applyAlignment="1">
      <alignment horizontal="right" vertical="top" wrapText="1"/>
    </xf>
    <xf numFmtId="3" fontId="2" fillId="6" borderId="90" xfId="0" applyNumberFormat="1" applyFont="1" applyFill="1" applyBorder="1" applyAlignment="1">
      <alignment horizontal="left" vertical="top" wrapText="1"/>
    </xf>
    <xf numFmtId="3" fontId="2" fillId="6" borderId="31" xfId="0" applyNumberFormat="1" applyFont="1" applyFill="1" applyBorder="1" applyAlignment="1">
      <alignment horizontal="left" vertical="top" wrapText="1"/>
    </xf>
    <xf numFmtId="3" fontId="2" fillId="0" borderId="27" xfId="0" applyNumberFormat="1" applyFont="1" applyFill="1" applyBorder="1" applyAlignment="1">
      <alignment horizontal="left" vertical="top" wrapText="1"/>
    </xf>
    <xf numFmtId="3" fontId="2" fillId="6" borderId="28" xfId="0" applyNumberFormat="1"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6" borderId="18" xfId="0" applyFont="1" applyFill="1" applyBorder="1" applyAlignment="1">
      <alignment horizontal="left" vertical="center" wrapText="1"/>
    </xf>
    <xf numFmtId="3" fontId="2" fillId="9" borderId="32" xfId="0" applyNumberFormat="1" applyFont="1" applyFill="1" applyBorder="1" applyAlignment="1">
      <alignment horizontal="left" vertical="center" wrapText="1"/>
    </xf>
    <xf numFmtId="3" fontId="2" fillId="9" borderId="48" xfId="0" applyNumberFormat="1" applyFont="1" applyFill="1" applyBorder="1" applyAlignment="1">
      <alignment vertical="center" wrapText="1"/>
    </xf>
    <xf numFmtId="3" fontId="2" fillId="9" borderId="49" xfId="0" applyNumberFormat="1" applyFont="1" applyFill="1" applyBorder="1" applyAlignment="1">
      <alignment vertical="center" wrapText="1"/>
    </xf>
    <xf numFmtId="3" fontId="2" fillId="0" borderId="32" xfId="0" applyNumberFormat="1" applyFont="1" applyBorder="1" applyAlignment="1">
      <alignment horizontal="left" vertical="center" wrapText="1"/>
    </xf>
    <xf numFmtId="3" fontId="2" fillId="0" borderId="48" xfId="0" applyNumberFormat="1" applyFont="1" applyBorder="1" applyAlignment="1">
      <alignment vertical="center" wrapText="1"/>
    </xf>
    <xf numFmtId="3" fontId="2" fillId="0" borderId="49" xfId="0" applyNumberFormat="1" applyFont="1" applyBorder="1" applyAlignment="1">
      <alignment vertical="center" wrapText="1"/>
    </xf>
    <xf numFmtId="3" fontId="2" fillId="6" borderId="17" xfId="0" applyNumberFormat="1" applyFont="1" applyFill="1" applyBorder="1" applyAlignment="1">
      <alignment horizontal="left" vertical="center" wrapText="1"/>
    </xf>
    <xf numFmtId="3" fontId="2" fillId="6" borderId="18" xfId="0" applyNumberFormat="1" applyFont="1" applyFill="1" applyBorder="1" applyAlignment="1">
      <alignment horizontal="left" vertical="center" wrapText="1"/>
    </xf>
    <xf numFmtId="3" fontId="2" fillId="0" borderId="28" xfId="0" applyNumberFormat="1" applyFont="1" applyBorder="1" applyAlignment="1">
      <alignment horizontal="left" vertical="center" wrapText="1"/>
    </xf>
    <xf numFmtId="3" fontId="2" fillId="0" borderId="17" xfId="0" applyNumberFormat="1" applyFont="1" applyBorder="1" applyAlignment="1">
      <alignment horizontal="left" vertical="center" wrapText="1"/>
    </xf>
    <xf numFmtId="3" fontId="2" fillId="0" borderId="18" xfId="0" applyNumberFormat="1" applyFont="1" applyBorder="1" applyAlignment="1">
      <alignment horizontal="left" vertical="center" wrapText="1"/>
    </xf>
    <xf numFmtId="3" fontId="2" fillId="0" borderId="29" xfId="0" applyNumberFormat="1" applyFont="1" applyBorder="1" applyAlignment="1">
      <alignment horizontal="left" vertical="center" wrapText="1"/>
    </xf>
    <xf numFmtId="3" fontId="2" fillId="0" borderId="44" xfId="0" applyNumberFormat="1" applyFont="1" applyBorder="1" applyAlignment="1">
      <alignment vertical="center" wrapText="1"/>
    </xf>
    <xf numFmtId="3" fontId="2" fillId="0" borderId="14" xfId="0" applyNumberFormat="1" applyFont="1" applyBorder="1" applyAlignment="1">
      <alignment vertical="center" wrapText="1"/>
    </xf>
    <xf numFmtId="49" fontId="2" fillId="0" borderId="0" xfId="0" applyNumberFormat="1" applyFont="1" applyFill="1" applyBorder="1" applyAlignment="1">
      <alignment horizontal="left" vertical="top" wrapText="1"/>
    </xf>
    <xf numFmtId="3" fontId="4" fillId="0" borderId="0" xfId="0" applyNumberFormat="1" applyFont="1" applyFill="1" applyBorder="1" applyAlignment="1">
      <alignment horizontal="center" vertical="top" wrapText="1"/>
    </xf>
    <xf numFmtId="3" fontId="4" fillId="0" borderId="65" xfId="0" applyNumberFormat="1" applyFont="1" applyBorder="1" applyAlignment="1">
      <alignment horizontal="center" vertical="center" wrapText="1"/>
    </xf>
    <xf numFmtId="3" fontId="4" fillId="0" borderId="62" xfId="0" applyNumberFormat="1" applyFont="1" applyBorder="1" applyAlignment="1">
      <alignment horizontal="center" vertical="center" wrapText="1"/>
    </xf>
    <xf numFmtId="3" fontId="4" fillId="0" borderId="63" xfId="0" applyNumberFormat="1" applyFont="1" applyBorder="1" applyAlignment="1">
      <alignment horizontal="center" vertical="center" wrapText="1"/>
    </xf>
    <xf numFmtId="3" fontId="4" fillId="3" borderId="2" xfId="0" applyNumberFormat="1" applyFont="1" applyFill="1" applyBorder="1" applyAlignment="1">
      <alignment horizontal="right" vertical="top" wrapText="1"/>
    </xf>
    <xf numFmtId="3" fontId="2" fillId="3" borderId="3" xfId="0" applyNumberFormat="1" applyFont="1" applyFill="1" applyBorder="1" applyAlignment="1">
      <alignment vertical="top" wrapText="1"/>
    </xf>
    <xf numFmtId="3" fontId="2" fillId="3" borderId="4" xfId="0" applyNumberFormat="1" applyFont="1" applyFill="1" applyBorder="1" applyAlignment="1">
      <alignment vertical="top" wrapText="1"/>
    </xf>
    <xf numFmtId="3" fontId="4" fillId="9" borderId="28" xfId="0" applyNumberFormat="1" applyFont="1" applyFill="1" applyBorder="1" applyAlignment="1">
      <alignment horizontal="right" vertical="top" wrapText="1"/>
    </xf>
    <xf numFmtId="3" fontId="4" fillId="9" borderId="17" xfId="0" applyNumberFormat="1" applyFont="1" applyFill="1" applyBorder="1" applyAlignment="1">
      <alignment horizontal="right" vertical="top" wrapText="1"/>
    </xf>
    <xf numFmtId="3" fontId="4" fillId="9" borderId="18" xfId="0" applyNumberFormat="1" applyFont="1" applyFill="1" applyBorder="1" applyAlignment="1">
      <alignment horizontal="right" vertical="top" wrapText="1"/>
    </xf>
    <xf numFmtId="3" fontId="4" fillId="5" borderId="6" xfId="0" applyNumberFormat="1" applyFont="1" applyFill="1" applyBorder="1" applyAlignment="1">
      <alignment horizontal="left" vertical="top"/>
    </xf>
    <xf numFmtId="0" fontId="0" fillId="0" borderId="78" xfId="0" applyBorder="1" applyAlignment="1">
      <alignment horizontal="left" vertical="top"/>
    </xf>
    <xf numFmtId="0" fontId="0" fillId="0" borderId="7" xfId="0" applyBorder="1" applyAlignment="1">
      <alignment horizontal="left" vertical="top"/>
    </xf>
    <xf numFmtId="3" fontId="4" fillId="4" borderId="61" xfId="0" applyNumberFormat="1" applyFont="1" applyFill="1" applyBorder="1" applyAlignment="1">
      <alignment horizontal="right" vertical="top"/>
    </xf>
    <xf numFmtId="3" fontId="4" fillId="4" borderId="62" xfId="0" applyNumberFormat="1" applyFont="1" applyFill="1" applyBorder="1" applyAlignment="1">
      <alignment horizontal="right" vertical="top"/>
    </xf>
    <xf numFmtId="3" fontId="4" fillId="4" borderId="63" xfId="0" applyNumberFormat="1" applyFont="1" applyFill="1" applyBorder="1" applyAlignment="1">
      <alignment horizontal="right" vertical="top"/>
    </xf>
    <xf numFmtId="3" fontId="4" fillId="4" borderId="22" xfId="0" applyNumberFormat="1" applyFont="1" applyFill="1" applyBorder="1" applyAlignment="1">
      <alignment horizontal="left" vertical="top"/>
    </xf>
    <xf numFmtId="3" fontId="4" fillId="3" borderId="61" xfId="0" applyNumberFormat="1" applyFont="1" applyFill="1" applyBorder="1" applyAlignment="1">
      <alignment horizontal="right" vertical="top"/>
    </xf>
    <xf numFmtId="3" fontId="4" fillId="3" borderId="62" xfId="0" applyNumberFormat="1" applyFont="1" applyFill="1" applyBorder="1" applyAlignment="1">
      <alignment horizontal="right" vertical="top"/>
    </xf>
    <xf numFmtId="3" fontId="4" fillId="3" borderId="63" xfId="0" applyNumberFormat="1" applyFont="1" applyFill="1" applyBorder="1" applyAlignment="1">
      <alignment horizontal="right" vertical="top"/>
    </xf>
    <xf numFmtId="49" fontId="2" fillId="0" borderId="43" xfId="0" applyNumberFormat="1" applyFont="1" applyBorder="1" applyAlignment="1">
      <alignment horizontal="center" vertical="top" wrapText="1"/>
    </xf>
    <xf numFmtId="49" fontId="2" fillId="0" borderId="35" xfId="0" applyNumberFormat="1" applyFont="1" applyBorder="1" applyAlignment="1">
      <alignment horizontal="center" vertical="top" wrapText="1"/>
    </xf>
    <xf numFmtId="49" fontId="4" fillId="6" borderId="37" xfId="0" applyNumberFormat="1" applyFont="1" applyFill="1" applyBorder="1" applyAlignment="1">
      <alignment horizontal="center" vertical="top"/>
    </xf>
    <xf numFmtId="49" fontId="4" fillId="6" borderId="48"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49" fontId="2" fillId="6" borderId="45" xfId="0" applyNumberFormat="1" applyFont="1" applyFill="1" applyBorder="1" applyAlignment="1">
      <alignment horizontal="center" vertical="top" wrapText="1"/>
    </xf>
    <xf numFmtId="0" fontId="11" fillId="6" borderId="43" xfId="0" applyFont="1" applyFill="1" applyBorder="1" applyAlignment="1">
      <alignment horizontal="center" vertical="top" wrapText="1"/>
    </xf>
    <xf numFmtId="0" fontId="2" fillId="6" borderId="45" xfId="0" applyFont="1" applyFill="1" applyBorder="1" applyAlignment="1">
      <alignment horizontal="center" vertical="top"/>
    </xf>
    <xf numFmtId="49" fontId="2" fillId="6" borderId="43"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41" xfId="0" applyNumberFormat="1" applyFont="1" applyFill="1" applyBorder="1" applyAlignment="1">
      <alignment horizontal="center" vertical="top" wrapText="1"/>
    </xf>
    <xf numFmtId="49" fontId="2" fillId="6" borderId="76" xfId="0" applyNumberFormat="1" applyFont="1" applyFill="1" applyBorder="1" applyAlignment="1">
      <alignment horizontal="center" vertical="top" wrapText="1"/>
    </xf>
    <xf numFmtId="49" fontId="2" fillId="6" borderId="35" xfId="0" applyNumberFormat="1" applyFont="1" applyFill="1" applyBorder="1" applyAlignment="1">
      <alignment horizontal="center" vertical="top" wrapText="1"/>
    </xf>
    <xf numFmtId="0" fontId="2" fillId="6" borderId="112" xfId="0" applyFont="1" applyFill="1" applyBorder="1" applyAlignment="1">
      <alignment horizontal="left" vertical="top" wrapText="1"/>
    </xf>
    <xf numFmtId="0" fontId="2" fillId="6" borderId="120" xfId="0" applyFont="1" applyFill="1" applyBorder="1" applyAlignment="1">
      <alignment horizontal="left" vertical="top" wrapText="1"/>
    </xf>
    <xf numFmtId="0" fontId="2" fillId="0" borderId="76" xfId="0" applyFont="1" applyFill="1" applyBorder="1" applyAlignment="1">
      <alignment horizontal="center" vertical="top"/>
    </xf>
    <xf numFmtId="0" fontId="2" fillId="0" borderId="12" xfId="0" applyFont="1" applyFill="1" applyBorder="1" applyAlignment="1">
      <alignment horizontal="center" vertical="top"/>
    </xf>
    <xf numFmtId="3" fontId="2" fillId="6" borderId="42" xfId="0" applyNumberFormat="1" applyFont="1" applyFill="1" applyBorder="1" applyAlignment="1">
      <alignment horizontal="center" vertical="top" wrapText="1"/>
    </xf>
    <xf numFmtId="0" fontId="11" fillId="6" borderId="31" xfId="0" applyFont="1" applyFill="1" applyBorder="1" applyAlignment="1">
      <alignment horizontal="center" wrapText="1"/>
    </xf>
    <xf numFmtId="3" fontId="2" fillId="0" borderId="53" xfId="0" applyNumberFormat="1" applyFont="1" applyFill="1" applyBorder="1" applyAlignment="1">
      <alignment horizontal="center" vertical="top" wrapText="1"/>
    </xf>
    <xf numFmtId="3" fontId="2" fillId="0" borderId="71" xfId="0" applyNumberFormat="1" applyFont="1" applyFill="1" applyBorder="1" applyAlignment="1">
      <alignment horizontal="center" vertical="top" wrapText="1"/>
    </xf>
    <xf numFmtId="3" fontId="2" fillId="6" borderId="5" xfId="0" applyNumberFormat="1" applyFont="1" applyFill="1" applyBorder="1" applyAlignment="1">
      <alignment horizontal="left" vertical="top" wrapText="1"/>
    </xf>
    <xf numFmtId="3" fontId="2" fillId="9" borderId="33" xfId="0" applyNumberFormat="1" applyFont="1" applyFill="1" applyBorder="1" applyAlignment="1">
      <alignment horizontal="left" vertical="center" wrapText="1"/>
    </xf>
    <xf numFmtId="3" fontId="4" fillId="3" borderId="15" xfId="0" applyNumberFormat="1" applyFont="1" applyFill="1" applyBorder="1" applyAlignment="1">
      <alignment horizontal="right" vertical="top" wrapText="1"/>
    </xf>
    <xf numFmtId="3" fontId="2" fillId="3" borderId="14" xfId="0" applyNumberFormat="1" applyFont="1" applyFill="1" applyBorder="1" applyAlignment="1">
      <alignment vertical="top" wrapText="1"/>
    </xf>
    <xf numFmtId="3" fontId="2" fillId="0" borderId="15" xfId="0" applyNumberFormat="1" applyFont="1" applyBorder="1" applyAlignment="1">
      <alignment horizontal="left" vertical="center" wrapText="1"/>
    </xf>
    <xf numFmtId="3" fontId="2" fillId="8" borderId="28" xfId="0" applyNumberFormat="1" applyFont="1" applyFill="1" applyBorder="1" applyAlignment="1">
      <alignment horizontal="left" vertical="center" wrapText="1"/>
    </xf>
    <xf numFmtId="3" fontId="2" fillId="8" borderId="17" xfId="0" applyNumberFormat="1" applyFont="1" applyFill="1" applyBorder="1" applyAlignment="1">
      <alignment horizontal="left" vertical="center" wrapText="1"/>
    </xf>
    <xf numFmtId="3" fontId="2" fillId="0" borderId="32" xfId="0" applyNumberFormat="1" applyFont="1" applyBorder="1" applyAlignment="1">
      <alignment horizontal="left" vertical="top" wrapText="1"/>
    </xf>
    <xf numFmtId="3" fontId="2" fillId="0" borderId="33" xfId="0" applyNumberFormat="1" applyFont="1" applyBorder="1" applyAlignment="1">
      <alignment horizontal="left" vertical="top" wrapText="1"/>
    </xf>
    <xf numFmtId="3" fontId="2" fillId="0" borderId="48" xfId="0" applyNumberFormat="1" applyFont="1" applyBorder="1" applyAlignment="1">
      <alignment vertical="top" wrapText="1"/>
    </xf>
    <xf numFmtId="3" fontId="2" fillId="0" borderId="49" xfId="0" applyNumberFormat="1" applyFont="1" applyBorder="1" applyAlignment="1">
      <alignment vertical="top" wrapText="1"/>
    </xf>
    <xf numFmtId="3" fontId="2" fillId="0" borderId="43" xfId="0" applyNumberFormat="1"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wrapText="1"/>
    </xf>
    <xf numFmtId="3" fontId="2" fillId="0" borderId="3" xfId="0" applyNumberFormat="1" applyFont="1" applyBorder="1" applyAlignment="1">
      <alignment horizontal="center" vertical="top"/>
    </xf>
    <xf numFmtId="3" fontId="2" fillId="0" borderId="48" xfId="0" applyNumberFormat="1" applyFont="1" applyBorder="1" applyAlignment="1">
      <alignment horizontal="center" vertical="top"/>
    </xf>
    <xf numFmtId="3" fontId="4" fillId="3" borderId="59" xfId="0" applyNumberFormat="1" applyFont="1" applyFill="1" applyBorder="1" applyAlignment="1">
      <alignment horizontal="right" vertical="top" wrapText="1"/>
    </xf>
    <xf numFmtId="3" fontId="2" fillId="0" borderId="33" xfId="0" applyNumberFormat="1" applyFont="1" applyBorder="1" applyAlignment="1">
      <alignment horizontal="left" vertical="center" wrapText="1"/>
    </xf>
    <xf numFmtId="3" fontId="4" fillId="5" borderId="78" xfId="0" applyNumberFormat="1" applyFont="1" applyFill="1" applyBorder="1" applyAlignment="1">
      <alignment horizontal="left" vertical="top"/>
    </xf>
    <xf numFmtId="3" fontId="4" fillId="4" borderId="1" xfId="0" applyNumberFormat="1" applyFont="1" applyFill="1" applyBorder="1" applyAlignment="1">
      <alignment horizontal="left" vertical="top"/>
    </xf>
    <xf numFmtId="3" fontId="2" fillId="6" borderId="5" xfId="0" applyNumberFormat="1" applyFont="1" applyFill="1" applyBorder="1" applyAlignment="1">
      <alignment horizontal="center" vertical="top" wrapText="1"/>
    </xf>
    <xf numFmtId="0" fontId="2" fillId="6" borderId="43" xfId="0" applyFont="1" applyFill="1" applyBorder="1" applyAlignment="1">
      <alignment horizontal="center" vertical="center"/>
    </xf>
    <xf numFmtId="0" fontId="2" fillId="6" borderId="35" xfId="0" applyFont="1" applyFill="1" applyBorder="1" applyAlignment="1">
      <alignment horizontal="center" vertical="center"/>
    </xf>
    <xf numFmtId="0" fontId="11" fillId="6" borderId="9" xfId="0" applyFont="1" applyFill="1" applyBorder="1" applyAlignment="1">
      <alignment wrapText="1"/>
    </xf>
    <xf numFmtId="3" fontId="2" fillId="6" borderId="45" xfId="0" applyNumberFormat="1" applyFont="1" applyFill="1" applyBorder="1" applyAlignment="1">
      <alignment horizontal="center" vertical="top" wrapText="1"/>
    </xf>
    <xf numFmtId="0" fontId="11" fillId="6" borderId="45" xfId="0" applyFont="1" applyFill="1" applyBorder="1" applyAlignment="1">
      <alignment horizontal="center" vertical="top" wrapText="1"/>
    </xf>
    <xf numFmtId="3" fontId="2" fillId="7" borderId="62" xfId="0" applyNumberFormat="1" applyFont="1" applyFill="1" applyBorder="1" applyAlignment="1">
      <alignment horizontal="left" vertical="top"/>
    </xf>
    <xf numFmtId="49" fontId="4" fillId="9" borderId="48"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0" fontId="11" fillId="0" borderId="12" xfId="0" applyFont="1" applyBorder="1" applyAlignment="1">
      <alignment horizontal="center" vertical="top" wrapText="1"/>
    </xf>
    <xf numFmtId="0" fontId="11" fillId="0" borderId="9" xfId="0" applyFont="1" applyBorder="1" applyAlignment="1">
      <alignment vertical="top" wrapText="1"/>
    </xf>
    <xf numFmtId="3" fontId="2" fillId="0" borderId="37" xfId="0" applyNumberFormat="1" applyFont="1" applyBorder="1" applyAlignment="1">
      <alignment horizontal="center" vertical="top"/>
    </xf>
    <xf numFmtId="0" fontId="2" fillId="0" borderId="81" xfId="0" applyFont="1" applyFill="1" applyBorder="1" applyAlignment="1">
      <alignment horizontal="center" vertical="top"/>
    </xf>
    <xf numFmtId="0" fontId="2" fillId="0" borderId="57" xfId="0" applyFont="1" applyFill="1" applyBorder="1" applyAlignment="1">
      <alignment horizontal="center" vertical="top"/>
    </xf>
    <xf numFmtId="0" fontId="2" fillId="0" borderId="93" xfId="0" applyFont="1" applyFill="1" applyBorder="1" applyAlignment="1">
      <alignment horizontal="center" vertical="top"/>
    </xf>
    <xf numFmtId="0" fontId="2" fillId="0" borderId="69" xfId="0" applyFont="1" applyFill="1" applyBorder="1" applyAlignment="1">
      <alignment horizontal="center" vertical="top"/>
    </xf>
    <xf numFmtId="3" fontId="2" fillId="6" borderId="43" xfId="1" applyNumberFormat="1" applyFont="1" applyFill="1" applyBorder="1" applyAlignment="1">
      <alignment horizontal="center" vertical="center" wrapText="1"/>
    </xf>
    <xf numFmtId="3" fontId="2" fillId="6" borderId="12" xfId="1" applyNumberFormat="1" applyFont="1" applyFill="1" applyBorder="1" applyAlignment="1">
      <alignment horizontal="center" vertical="center" wrapText="1"/>
    </xf>
    <xf numFmtId="0" fontId="2" fillId="6" borderId="43" xfId="1" applyNumberFormat="1" applyFont="1" applyFill="1" applyBorder="1" applyAlignment="1">
      <alignment horizontal="center" vertical="top" wrapText="1"/>
    </xf>
    <xf numFmtId="0" fontId="11" fillId="0" borderId="12" xfId="0" applyFont="1" applyBorder="1" applyAlignment="1">
      <alignment horizontal="center" vertical="top"/>
    </xf>
    <xf numFmtId="0" fontId="11" fillId="0" borderId="41" xfId="0" applyFont="1" applyBorder="1" applyAlignment="1">
      <alignment horizontal="center" vertical="top"/>
    </xf>
    <xf numFmtId="0" fontId="2" fillId="6" borderId="43" xfId="0" applyFont="1" applyFill="1" applyBorder="1" applyAlignment="1">
      <alignment horizontal="left" vertical="top" wrapText="1"/>
    </xf>
    <xf numFmtId="0" fontId="2" fillId="6" borderId="41" xfId="0" applyFont="1" applyFill="1" applyBorder="1" applyAlignment="1">
      <alignment horizontal="left" vertical="top" wrapText="1"/>
    </xf>
    <xf numFmtId="3" fontId="2" fillId="6" borderId="12" xfId="1" applyNumberFormat="1" applyFont="1" applyFill="1" applyBorder="1" applyAlignment="1">
      <alignment horizontal="center" vertical="top" wrapText="1"/>
    </xf>
    <xf numFmtId="0" fontId="2" fillId="6" borderId="81" xfId="0" applyFont="1" applyFill="1" applyBorder="1" applyAlignment="1">
      <alignment horizontal="center" vertical="top"/>
    </xf>
    <xf numFmtId="0" fontId="2" fillId="6" borderId="57" xfId="0" applyFont="1" applyFill="1" applyBorder="1" applyAlignment="1">
      <alignment horizontal="center" vertical="top"/>
    </xf>
    <xf numFmtId="3" fontId="8" fillId="6" borderId="44" xfId="0" applyNumberFormat="1" applyFont="1" applyFill="1" applyBorder="1" applyAlignment="1">
      <alignment vertical="top" wrapText="1"/>
    </xf>
    <xf numFmtId="3" fontId="2" fillId="6" borderId="41" xfId="0" applyNumberFormat="1" applyFont="1" applyFill="1" applyBorder="1" applyAlignment="1">
      <alignment horizontal="left" vertical="top" wrapText="1"/>
    </xf>
    <xf numFmtId="3" fontId="2" fillId="0" borderId="30" xfId="0" applyNumberFormat="1" applyFont="1" applyFill="1" applyBorder="1" applyAlignment="1">
      <alignment horizontal="center" vertical="top" wrapText="1"/>
    </xf>
    <xf numFmtId="0" fontId="16" fillId="0" borderId="0" xfId="0" applyFont="1" applyAlignment="1">
      <alignment horizontal="right" vertical="top"/>
    </xf>
    <xf numFmtId="3" fontId="4" fillId="6" borderId="3" xfId="0" applyNumberFormat="1" applyFont="1" applyFill="1" applyBorder="1" applyAlignment="1">
      <alignment horizontal="center" vertical="top"/>
    </xf>
    <xf numFmtId="3" fontId="4" fillId="6" borderId="20" xfId="0" applyNumberFormat="1" applyFont="1" applyFill="1" applyBorder="1" applyAlignment="1">
      <alignment horizontal="center" vertical="top"/>
    </xf>
    <xf numFmtId="3" fontId="2" fillId="6" borderId="24"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wrapText="1"/>
    </xf>
    <xf numFmtId="0" fontId="11" fillId="6" borderId="12" xfId="0" applyFont="1" applyFill="1" applyBorder="1" applyAlignment="1">
      <alignment horizontal="center" vertical="top" wrapText="1"/>
    </xf>
    <xf numFmtId="3" fontId="2" fillId="0" borderId="78" xfId="0" applyNumberFormat="1" applyFont="1" applyBorder="1" applyAlignment="1">
      <alignment horizontal="center" vertical="center"/>
    </xf>
    <xf numFmtId="3" fontId="2" fillId="0" borderId="7" xfId="0" applyNumberFormat="1" applyFont="1" applyBorder="1" applyAlignment="1">
      <alignment horizontal="center" vertical="center"/>
    </xf>
    <xf numFmtId="0" fontId="2" fillId="0" borderId="5" xfId="0" applyFont="1" applyBorder="1" applyAlignment="1">
      <alignment horizontal="center" vertical="center" textRotation="90"/>
    </xf>
    <xf numFmtId="0" fontId="2" fillId="0" borderId="24" xfId="0" applyFont="1" applyBorder="1" applyAlignment="1">
      <alignment horizontal="center" vertical="center" textRotation="90"/>
    </xf>
    <xf numFmtId="0" fontId="4" fillId="0" borderId="6" xfId="0" applyFont="1" applyBorder="1" applyAlignment="1">
      <alignment horizontal="center" vertical="center"/>
    </xf>
    <xf numFmtId="0" fontId="4" fillId="0" borderId="78" xfId="0" applyFont="1" applyBorder="1" applyAlignment="1">
      <alignment horizontal="center" vertical="center"/>
    </xf>
    <xf numFmtId="0" fontId="4" fillId="0" borderId="7" xfId="0" applyFont="1" applyBorder="1" applyAlignment="1">
      <alignment horizontal="center" vertical="center"/>
    </xf>
    <xf numFmtId="3" fontId="2" fillId="6" borderId="76" xfId="0" applyNumberFormat="1" applyFont="1" applyFill="1" applyBorder="1" applyAlignment="1">
      <alignment horizontal="center" vertical="top" wrapText="1"/>
    </xf>
    <xf numFmtId="0" fontId="0" fillId="0" borderId="35" xfId="0" applyBorder="1" applyAlignment="1">
      <alignment horizontal="center" vertical="top" wrapText="1"/>
    </xf>
    <xf numFmtId="0" fontId="2" fillId="0" borderId="42" xfId="0" applyFont="1" applyBorder="1" applyAlignment="1">
      <alignment horizontal="center" vertical="center" wrapText="1"/>
    </xf>
    <xf numFmtId="3" fontId="2" fillId="0" borderId="53" xfId="0" applyNumberFormat="1" applyFont="1" applyFill="1" applyBorder="1" applyAlignment="1">
      <alignment horizontal="center" vertical="center" wrapText="1" shrinkToFit="1"/>
    </xf>
    <xf numFmtId="3" fontId="2" fillId="0" borderId="30" xfId="0" applyNumberFormat="1" applyFont="1" applyFill="1" applyBorder="1" applyAlignment="1">
      <alignment horizontal="center" vertical="center" wrapText="1" shrinkToFit="1"/>
    </xf>
    <xf numFmtId="3" fontId="2" fillId="0" borderId="26" xfId="0" applyNumberFormat="1" applyFont="1" applyFill="1" applyBorder="1" applyAlignment="1">
      <alignment horizontal="center" vertical="center" wrapText="1" shrinkToFit="1"/>
    </xf>
    <xf numFmtId="0" fontId="2" fillId="0" borderId="5"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3" fontId="2" fillId="0" borderId="43"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0" fontId="2" fillId="6" borderId="43" xfId="0" applyFont="1" applyFill="1" applyBorder="1" applyAlignment="1">
      <alignment horizontal="center" vertical="top" wrapText="1"/>
    </xf>
    <xf numFmtId="0" fontId="2" fillId="6" borderId="35" xfId="0" applyFont="1" applyFill="1" applyBorder="1" applyAlignment="1">
      <alignment horizontal="center" vertical="top" wrapText="1"/>
    </xf>
    <xf numFmtId="3" fontId="2" fillId="6" borderId="13"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2" fillId="6" borderId="98"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114"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41" xfId="0" applyNumberFormat="1" applyFont="1" applyFill="1" applyBorder="1" applyAlignment="1">
      <alignment horizontal="center" vertical="top"/>
    </xf>
  </cellXfs>
  <cellStyles count="5">
    <cellStyle name="Įprastas" xfId="0" builtinId="0"/>
    <cellStyle name="Įprastas 2" xfId="4"/>
    <cellStyle name="Įprastas 4" xfId="3"/>
    <cellStyle name="Įprastas 5" xfId="2"/>
    <cellStyle name="Kablelis" xfId="1" builtinId="3"/>
  </cellStyles>
  <dxfs count="0"/>
  <tableStyles count="0" defaultTableStyle="TableStyleMedium2" defaultPivotStyle="PivotStyleLight16"/>
  <colors>
    <mruColors>
      <color rgb="FFFFE7FF"/>
      <color rgb="FFFFFFCC"/>
      <color rgb="FFFFCCFF"/>
      <color rgb="FFCCFFCC"/>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88"/>
  <sheetViews>
    <sheetView tabSelected="1" zoomScaleNormal="100" zoomScaleSheetLayoutView="90" workbookViewId="0">
      <selection activeCell="J152" sqref="J152"/>
    </sheetView>
  </sheetViews>
  <sheetFormatPr defaultColWidth="9.140625" defaultRowHeight="15" x14ac:dyDescent="0.25"/>
  <cols>
    <col min="1" max="1" width="3" style="44" customWidth="1"/>
    <col min="2" max="2" width="2.85546875" style="44" customWidth="1"/>
    <col min="3" max="3" width="3" style="112" customWidth="1"/>
    <col min="4" max="4" width="33.85546875" style="44" customWidth="1"/>
    <col min="5" max="5" width="4.42578125" style="44" customWidth="1"/>
    <col min="6" max="6" width="9.140625" style="44"/>
    <col min="7" max="9" width="9.140625" style="44" customWidth="1"/>
    <col min="10" max="10" width="36.5703125" style="44" customWidth="1"/>
    <col min="11" max="13" width="6.140625" style="44" customWidth="1"/>
    <col min="14" max="14" width="9.140625" style="44"/>
    <col min="15" max="18" width="0" style="44" hidden="1" customWidth="1"/>
    <col min="19" max="16384" width="9.140625" style="44"/>
  </cols>
  <sheetData>
    <row r="1" spans="1:18" s="3" customFormat="1" ht="30.75" customHeight="1" x14ac:dyDescent="0.25">
      <c r="A1" s="1"/>
      <c r="B1" s="1"/>
      <c r="C1" s="111"/>
      <c r="D1" s="1"/>
      <c r="E1" s="85"/>
      <c r="F1" s="2"/>
      <c r="G1" s="933"/>
      <c r="H1" s="933"/>
      <c r="I1" s="933"/>
      <c r="J1" s="1081" t="s">
        <v>269</v>
      </c>
      <c r="K1" s="1081"/>
      <c r="L1" s="1081"/>
      <c r="M1" s="1081"/>
    </row>
    <row r="2" spans="1:18" ht="14.25" customHeight="1" x14ac:dyDescent="0.25">
      <c r="G2" s="933"/>
      <c r="H2" s="933"/>
      <c r="I2" s="933"/>
      <c r="J2" s="934" t="s">
        <v>270</v>
      </c>
    </row>
    <row r="3" spans="1:18" ht="12" customHeight="1" x14ac:dyDescent="0.25">
      <c r="G3" s="933"/>
      <c r="H3" s="933"/>
      <c r="I3" s="933"/>
      <c r="J3" s="935"/>
    </row>
    <row r="4" spans="1:18" s="1" customFormat="1" ht="15" customHeight="1" x14ac:dyDescent="0.25">
      <c r="A4" s="1082" t="s">
        <v>268</v>
      </c>
      <c r="B4" s="1082"/>
      <c r="C4" s="1082"/>
      <c r="D4" s="1082"/>
      <c r="E4" s="1082"/>
      <c r="F4" s="1082"/>
      <c r="G4" s="1082"/>
      <c r="H4" s="1082"/>
      <c r="I4" s="1082"/>
      <c r="J4" s="1082"/>
      <c r="K4" s="1082"/>
      <c r="L4" s="1082"/>
      <c r="M4" s="1082"/>
    </row>
    <row r="5" spans="1:18" s="1" customFormat="1" ht="15" customHeight="1" x14ac:dyDescent="0.25">
      <c r="A5" s="1083" t="s">
        <v>171</v>
      </c>
      <c r="B5" s="1083"/>
      <c r="C5" s="1083"/>
      <c r="D5" s="1083"/>
      <c r="E5" s="1083"/>
      <c r="F5" s="1083"/>
      <c r="G5" s="1083"/>
      <c r="H5" s="1083"/>
      <c r="I5" s="1083"/>
      <c r="J5" s="1083"/>
      <c r="K5" s="1083"/>
      <c r="L5" s="1083"/>
      <c r="M5" s="1083"/>
    </row>
    <row r="6" spans="1:18" s="1" customFormat="1" ht="15" customHeight="1" x14ac:dyDescent="0.25">
      <c r="A6" s="1084" t="s">
        <v>80</v>
      </c>
      <c r="B6" s="1084"/>
      <c r="C6" s="1084"/>
      <c r="D6" s="1084"/>
      <c r="E6" s="1084"/>
      <c r="F6" s="1084"/>
      <c r="G6" s="1084"/>
      <c r="H6" s="1084"/>
      <c r="I6" s="1084"/>
      <c r="J6" s="1084"/>
      <c r="K6" s="1084"/>
      <c r="L6" s="1084"/>
      <c r="M6" s="1084"/>
    </row>
    <row r="7" spans="1:18" s="1" customFormat="1" ht="15" customHeight="1" x14ac:dyDescent="0.25">
      <c r="A7" s="877"/>
      <c r="B7" s="877"/>
      <c r="C7" s="877"/>
      <c r="D7" s="877"/>
      <c r="E7" s="877"/>
      <c r="F7" s="877"/>
      <c r="G7" s="877"/>
      <c r="H7" s="877"/>
      <c r="I7" s="877"/>
      <c r="J7" s="877"/>
      <c r="K7" s="877"/>
      <c r="L7" s="877"/>
      <c r="M7" s="877"/>
    </row>
    <row r="8" spans="1:18" s="1" customFormat="1" ht="15.95" customHeight="1" thickBot="1" x14ac:dyDescent="0.25">
      <c r="C8" s="111"/>
      <c r="E8" s="257"/>
      <c r="G8" s="3"/>
      <c r="H8" s="3"/>
      <c r="I8" s="258"/>
      <c r="L8" s="1085" t="s">
        <v>81</v>
      </c>
      <c r="M8" s="1085"/>
    </row>
    <row r="9" spans="1:18" s="26" customFormat="1" ht="17.100000000000001" customHeight="1" thickBot="1" x14ac:dyDescent="0.3">
      <c r="A9" s="1086" t="s">
        <v>0</v>
      </c>
      <c r="B9" s="1089" t="s">
        <v>1</v>
      </c>
      <c r="C9" s="1092" t="s">
        <v>2</v>
      </c>
      <c r="D9" s="1095" t="s">
        <v>4</v>
      </c>
      <c r="E9" s="1119" t="s">
        <v>194</v>
      </c>
      <c r="F9" s="1122" t="s">
        <v>5</v>
      </c>
      <c r="G9" s="1125" t="s">
        <v>197</v>
      </c>
      <c r="H9" s="1128" t="s">
        <v>244</v>
      </c>
      <c r="I9" s="1098" t="s">
        <v>198</v>
      </c>
      <c r="J9" s="1101" t="s">
        <v>181</v>
      </c>
      <c r="K9" s="1102"/>
      <c r="L9" s="1102"/>
      <c r="M9" s="1103"/>
      <c r="N9" s="352"/>
    </row>
    <row r="10" spans="1:18" s="26" customFormat="1" ht="18.75" customHeight="1" x14ac:dyDescent="0.25">
      <c r="A10" s="1087"/>
      <c r="B10" s="1090"/>
      <c r="C10" s="1093"/>
      <c r="D10" s="1096"/>
      <c r="E10" s="1120"/>
      <c r="F10" s="1123"/>
      <c r="G10" s="1126"/>
      <c r="H10" s="1129"/>
      <c r="I10" s="1099"/>
      <c r="J10" s="1104" t="s">
        <v>4</v>
      </c>
      <c r="K10" s="1106" t="s">
        <v>190</v>
      </c>
      <c r="L10" s="1107"/>
      <c r="M10" s="1108"/>
      <c r="N10" s="352"/>
    </row>
    <row r="11" spans="1:18" s="26" customFormat="1" ht="94.5" customHeight="1" thickBot="1" x14ac:dyDescent="0.3">
      <c r="A11" s="1088"/>
      <c r="B11" s="1091"/>
      <c r="C11" s="1094"/>
      <c r="D11" s="1097"/>
      <c r="E11" s="1121"/>
      <c r="F11" s="1124"/>
      <c r="G11" s="1127"/>
      <c r="H11" s="1130"/>
      <c r="I11" s="1100"/>
      <c r="J11" s="1105"/>
      <c r="K11" s="440" t="s">
        <v>202</v>
      </c>
      <c r="L11" s="777" t="s">
        <v>203</v>
      </c>
      <c r="M11" s="507" t="s">
        <v>204</v>
      </c>
    </row>
    <row r="12" spans="1:18" s="1" customFormat="1" ht="15" customHeight="1" x14ac:dyDescent="0.25">
      <c r="A12" s="1116" t="s">
        <v>172</v>
      </c>
      <c r="B12" s="1117"/>
      <c r="C12" s="1117"/>
      <c r="D12" s="1117"/>
      <c r="E12" s="1117"/>
      <c r="F12" s="1117"/>
      <c r="G12" s="1117"/>
      <c r="H12" s="1117"/>
      <c r="I12" s="1117"/>
      <c r="J12" s="1117"/>
      <c r="K12" s="1117"/>
      <c r="L12" s="1117"/>
      <c r="M12" s="1118"/>
    </row>
    <row r="13" spans="1:18" s="1" customFormat="1" ht="15" customHeight="1" x14ac:dyDescent="0.25">
      <c r="A13" s="1139" t="s">
        <v>6</v>
      </c>
      <c r="B13" s="1140"/>
      <c r="C13" s="1140"/>
      <c r="D13" s="1140"/>
      <c r="E13" s="1140"/>
      <c r="F13" s="1140"/>
      <c r="G13" s="1140"/>
      <c r="H13" s="1140"/>
      <c r="I13" s="1140"/>
      <c r="J13" s="1140"/>
      <c r="K13" s="1141"/>
      <c r="L13" s="1141"/>
      <c r="M13" s="1142"/>
    </row>
    <row r="14" spans="1:18" s="1" customFormat="1" ht="15" customHeight="1" x14ac:dyDescent="0.25">
      <c r="A14" s="503" t="s">
        <v>7</v>
      </c>
      <c r="B14" s="1143" t="s">
        <v>260</v>
      </c>
      <c r="C14" s="1143"/>
      <c r="D14" s="1143"/>
      <c r="E14" s="1143"/>
      <c r="F14" s="1143"/>
      <c r="G14" s="1143"/>
      <c r="H14" s="1143"/>
      <c r="I14" s="1143"/>
      <c r="J14" s="1143"/>
      <c r="K14" s="1141"/>
      <c r="L14" s="1141"/>
      <c r="M14" s="1142"/>
    </row>
    <row r="15" spans="1:18" s="1" customFormat="1" ht="15" customHeight="1" x14ac:dyDescent="0.25">
      <c r="A15" s="4" t="s">
        <v>7</v>
      </c>
      <c r="B15" s="5" t="s">
        <v>7</v>
      </c>
      <c r="C15" s="1144" t="s">
        <v>259</v>
      </c>
      <c r="D15" s="1145"/>
      <c r="E15" s="1145"/>
      <c r="F15" s="1145"/>
      <c r="G15" s="1145"/>
      <c r="H15" s="1145"/>
      <c r="I15" s="1145"/>
      <c r="J15" s="1145"/>
      <c r="K15" s="1146"/>
      <c r="L15" s="1146"/>
      <c r="M15" s="1147"/>
    </row>
    <row r="16" spans="1:18" s="3" customFormat="1" ht="15" customHeight="1" x14ac:dyDescent="0.25">
      <c r="A16" s="6" t="s">
        <v>7</v>
      </c>
      <c r="B16" s="7" t="s">
        <v>7</v>
      </c>
      <c r="C16" s="72" t="s">
        <v>7</v>
      </c>
      <c r="D16" s="902" t="s">
        <v>8</v>
      </c>
      <c r="E16" s="907"/>
      <c r="F16" s="864" t="s">
        <v>10</v>
      </c>
      <c r="G16" s="263">
        <f>10942.2+107.6+26.6</f>
        <v>11076.400000000001</v>
      </c>
      <c r="H16" s="128">
        <f>11232.1+535</f>
        <v>11767.1</v>
      </c>
      <c r="I16" s="602">
        <f>11145.6+471</f>
        <v>11616.6</v>
      </c>
      <c r="J16" s="367"/>
      <c r="K16" s="908"/>
      <c r="L16" s="906"/>
      <c r="M16" s="904"/>
      <c r="O16" s="1010" t="s">
        <v>10</v>
      </c>
      <c r="P16" s="1011">
        <f>+G23+G28+G33+G36+G39+G42+G45+G52+G54+G56+G58+G60+G61+G63</f>
        <v>10942.199999999999</v>
      </c>
      <c r="Q16" s="1011">
        <f>+H23+H28+H33+H36+H39+H42+H45+H52+H54+H56+H58+H60+H61+H63</f>
        <v>11232.100000000002</v>
      </c>
      <c r="R16" s="1011">
        <f>+I23+I28+I33+I36+I39+I42+I45+I52+I54+I56+I58+I60+I61+I63</f>
        <v>11145.600000000002</v>
      </c>
    </row>
    <row r="17" spans="1:18" s="3" customFormat="1" ht="15" customHeight="1" x14ac:dyDescent="0.25">
      <c r="A17" s="901"/>
      <c r="B17" s="7"/>
      <c r="C17" s="122"/>
      <c r="D17" s="902"/>
      <c r="E17" s="907"/>
      <c r="F17" s="39" t="s">
        <v>174</v>
      </c>
      <c r="G17" s="263">
        <v>657.8</v>
      </c>
      <c r="H17" s="127">
        <v>657.8</v>
      </c>
      <c r="I17" s="691">
        <v>657.8</v>
      </c>
      <c r="J17" s="367"/>
      <c r="K17" s="908"/>
      <c r="L17" s="906"/>
      <c r="M17" s="909"/>
      <c r="O17" s="1010" t="s">
        <v>174</v>
      </c>
      <c r="P17" s="1011">
        <f>+G24+G31</f>
        <v>657.80000000000007</v>
      </c>
      <c r="Q17" s="1011">
        <f t="shared" ref="Q17:R17" si="0">+H24+H31</f>
        <v>657.80000000000007</v>
      </c>
      <c r="R17" s="1011">
        <f t="shared" si="0"/>
        <v>657.80000000000007</v>
      </c>
    </row>
    <row r="18" spans="1:18" s="3" customFormat="1" ht="15" customHeight="1" x14ac:dyDescent="0.25">
      <c r="A18" s="901"/>
      <c r="B18" s="7"/>
      <c r="C18" s="122"/>
      <c r="D18" s="902"/>
      <c r="E18" s="903"/>
      <c r="F18" s="39" t="s">
        <v>27</v>
      </c>
      <c r="G18" s="263">
        <v>20</v>
      </c>
      <c r="H18" s="127">
        <v>20</v>
      </c>
      <c r="I18" s="260">
        <v>20</v>
      </c>
      <c r="J18" s="367"/>
      <c r="K18" s="905"/>
      <c r="L18" s="906"/>
      <c r="M18" s="904"/>
      <c r="O18" s="1010" t="s">
        <v>27</v>
      </c>
      <c r="P18" s="1011">
        <f>+G25</f>
        <v>20</v>
      </c>
      <c r="Q18" s="1011">
        <f t="shared" ref="Q18:R18" si="1">+H25</f>
        <v>20</v>
      </c>
      <c r="R18" s="1011">
        <f t="shared" si="1"/>
        <v>20</v>
      </c>
    </row>
    <row r="19" spans="1:18" s="3" customFormat="1" ht="15" customHeight="1" x14ac:dyDescent="0.25">
      <c r="A19" s="901"/>
      <c r="B19" s="7"/>
      <c r="C19" s="122"/>
      <c r="D19" s="902"/>
      <c r="E19" s="903"/>
      <c r="F19" s="39" t="s">
        <v>13</v>
      </c>
      <c r="G19" s="263">
        <v>150</v>
      </c>
      <c r="H19" s="127">
        <v>150</v>
      </c>
      <c r="I19" s="260">
        <v>150</v>
      </c>
      <c r="J19" s="367"/>
      <c r="K19" s="905"/>
      <c r="L19" s="906"/>
      <c r="M19" s="904"/>
      <c r="O19" s="1010" t="s">
        <v>13</v>
      </c>
      <c r="P19" s="1011">
        <f>+G30</f>
        <v>150</v>
      </c>
      <c r="Q19" s="1011">
        <f t="shared" ref="Q19:R19" si="2">+H30</f>
        <v>150</v>
      </c>
      <c r="R19" s="1011">
        <f t="shared" si="2"/>
        <v>150</v>
      </c>
    </row>
    <row r="20" spans="1:18" s="3" customFormat="1" ht="15" customHeight="1" x14ac:dyDescent="0.25">
      <c r="A20" s="901"/>
      <c r="B20" s="7"/>
      <c r="C20" s="122"/>
      <c r="D20" s="902"/>
      <c r="E20" s="903"/>
      <c r="F20" s="39" t="s">
        <v>11</v>
      </c>
      <c r="G20" s="263">
        <f>792.1+31.1+0.2+183.3+1.9</f>
        <v>1008.6</v>
      </c>
      <c r="H20" s="127">
        <v>792.1</v>
      </c>
      <c r="I20" s="260">
        <v>792.1</v>
      </c>
      <c r="J20" s="367"/>
      <c r="K20" s="905"/>
      <c r="L20" s="906"/>
      <c r="M20" s="904"/>
      <c r="O20" s="1010" t="s">
        <v>11</v>
      </c>
      <c r="P20" s="1011">
        <f>+G27</f>
        <v>792.1</v>
      </c>
      <c r="Q20" s="1011">
        <f t="shared" ref="Q20:R20" si="3">+H27</f>
        <v>792.1</v>
      </c>
      <c r="R20" s="1011">
        <f t="shared" si="3"/>
        <v>792.1</v>
      </c>
    </row>
    <row r="21" spans="1:18" s="3" customFormat="1" ht="15" customHeight="1" x14ac:dyDescent="0.25">
      <c r="A21" s="901"/>
      <c r="B21" s="7"/>
      <c r="C21" s="122"/>
      <c r="D21" s="902"/>
      <c r="E21" s="903"/>
      <c r="F21" s="39" t="s">
        <v>28</v>
      </c>
      <c r="G21" s="263">
        <v>10</v>
      </c>
      <c r="H21" s="127"/>
      <c r="I21" s="260"/>
      <c r="J21" s="367"/>
      <c r="K21" s="905"/>
      <c r="L21" s="906"/>
      <c r="M21" s="904"/>
      <c r="O21" s="1010" t="s">
        <v>28</v>
      </c>
      <c r="P21" s="1011">
        <f>+G26</f>
        <v>10</v>
      </c>
      <c r="Q21" s="1011">
        <f t="shared" ref="Q21:R21" si="4">+H26</f>
        <v>0</v>
      </c>
      <c r="R21" s="1011">
        <f t="shared" si="4"/>
        <v>0</v>
      </c>
    </row>
    <row r="22" spans="1:18" s="3" customFormat="1" ht="15" customHeight="1" x14ac:dyDescent="0.25">
      <c r="A22" s="901"/>
      <c r="B22" s="7"/>
      <c r="C22" s="122"/>
      <c r="D22" s="902"/>
      <c r="E22" s="903"/>
      <c r="F22" s="796" t="s">
        <v>83</v>
      </c>
      <c r="G22" s="263">
        <f>977.4-115.8</f>
        <v>861.6</v>
      </c>
      <c r="H22" s="129"/>
      <c r="I22" s="329"/>
      <c r="J22" s="367"/>
      <c r="K22" s="905"/>
      <c r="L22" s="906"/>
      <c r="M22" s="904"/>
      <c r="O22" s="1010" t="s">
        <v>83</v>
      </c>
      <c r="P22" s="1011">
        <f>+G29+G40+G41+G43+G53+G62</f>
        <v>977.4</v>
      </c>
      <c r="Q22" s="1011">
        <f>+H29+H40+H41+H43+H53+H62</f>
        <v>0</v>
      </c>
      <c r="R22" s="1011">
        <f>+I29+I40+I41+I43+I53+I62</f>
        <v>0</v>
      </c>
    </row>
    <row r="23" spans="1:18" s="3" customFormat="1" ht="15" customHeight="1" x14ac:dyDescent="0.25">
      <c r="A23" s="8"/>
      <c r="B23" s="9"/>
      <c r="C23" s="113"/>
      <c r="D23" s="1113" t="s">
        <v>9</v>
      </c>
      <c r="E23" s="1149" t="s">
        <v>216</v>
      </c>
      <c r="F23" s="936" t="s">
        <v>226</v>
      </c>
      <c r="G23" s="937">
        <v>9391.2000000000007</v>
      </c>
      <c r="H23" s="938">
        <v>9401.2000000000007</v>
      </c>
      <c r="I23" s="939">
        <v>9401.2000000000007</v>
      </c>
      <c r="J23" s="1151" t="s">
        <v>82</v>
      </c>
      <c r="K23" s="446">
        <v>444.5</v>
      </c>
      <c r="L23" s="446">
        <v>453.5</v>
      </c>
      <c r="M23" s="359">
        <v>448.5</v>
      </c>
      <c r="O23" s="1010"/>
      <c r="P23" s="1011">
        <f>+P16+P17+P18+P19+P20+P21+P22</f>
        <v>13549.499999999998</v>
      </c>
      <c r="Q23" s="1011">
        <f>+Q16+Q17+Q18+Q19+Q20+Q21+Q22</f>
        <v>12852.000000000002</v>
      </c>
      <c r="R23" s="1011">
        <f>+R16+R17+R18+R19+R20+R21+R22</f>
        <v>12765.500000000002</v>
      </c>
    </row>
    <row r="24" spans="1:18" s="3" customFormat="1" ht="15" customHeight="1" x14ac:dyDescent="0.25">
      <c r="A24" s="8"/>
      <c r="B24" s="9"/>
      <c r="C24" s="113"/>
      <c r="D24" s="1114"/>
      <c r="E24" s="1150"/>
      <c r="F24" s="940" t="s">
        <v>271</v>
      </c>
      <c r="G24" s="941">
        <v>581.6</v>
      </c>
      <c r="H24" s="942">
        <v>581.6</v>
      </c>
      <c r="I24" s="943">
        <v>581.6</v>
      </c>
      <c r="J24" s="1152"/>
      <c r="K24" s="442"/>
      <c r="L24" s="447"/>
      <c r="M24" s="155"/>
      <c r="O24" s="1010"/>
      <c r="P24" s="1011">
        <f>+P23-G69</f>
        <v>-234.90000000000327</v>
      </c>
      <c r="Q24" s="1011">
        <f>+Q23-H69</f>
        <v>-534.99999999999818</v>
      </c>
      <c r="R24" s="1011">
        <f>+R23-I69</f>
        <v>-470.99999999999818</v>
      </c>
    </row>
    <row r="25" spans="1:18" s="3" customFormat="1" ht="15" customHeight="1" x14ac:dyDescent="0.25">
      <c r="A25" s="10"/>
      <c r="B25" s="11"/>
      <c r="C25" s="72"/>
      <c r="D25" s="1148"/>
      <c r="E25" s="1150"/>
      <c r="F25" s="940" t="s">
        <v>272</v>
      </c>
      <c r="G25" s="944">
        <v>20</v>
      </c>
      <c r="H25" s="945">
        <v>20</v>
      </c>
      <c r="I25" s="946">
        <v>20</v>
      </c>
      <c r="J25" s="361" t="s">
        <v>33</v>
      </c>
      <c r="K25" s="873">
        <v>31</v>
      </c>
      <c r="L25" s="875">
        <v>31</v>
      </c>
      <c r="M25" s="616">
        <v>31</v>
      </c>
      <c r="N25" s="256"/>
    </row>
    <row r="26" spans="1:18" s="3" customFormat="1" ht="15" customHeight="1" x14ac:dyDescent="0.25">
      <c r="A26" s="10"/>
      <c r="B26" s="12"/>
      <c r="C26" s="114"/>
      <c r="D26" s="882"/>
      <c r="E26" s="884"/>
      <c r="F26" s="940" t="s">
        <v>273</v>
      </c>
      <c r="G26" s="944">
        <v>10</v>
      </c>
      <c r="H26" s="945"/>
      <c r="I26" s="946"/>
      <c r="J26" s="1153" t="s">
        <v>76</v>
      </c>
      <c r="K26" s="1155">
        <v>17</v>
      </c>
      <c r="L26" s="1131">
        <v>17</v>
      </c>
      <c r="M26" s="1133">
        <v>17</v>
      </c>
    </row>
    <row r="27" spans="1:18" s="3" customFormat="1" ht="15" customHeight="1" x14ac:dyDescent="0.25">
      <c r="A27" s="10"/>
      <c r="B27" s="12"/>
      <c r="C27" s="114"/>
      <c r="D27" s="882"/>
      <c r="E27" s="884"/>
      <c r="F27" s="947" t="s">
        <v>274</v>
      </c>
      <c r="G27" s="948">
        <v>792.1</v>
      </c>
      <c r="H27" s="949">
        <v>792.1</v>
      </c>
      <c r="I27" s="950">
        <v>792.1</v>
      </c>
      <c r="J27" s="1154"/>
      <c r="K27" s="1156"/>
      <c r="L27" s="1132"/>
      <c r="M27" s="1134"/>
    </row>
    <row r="28" spans="1:18" s="1" customFormat="1" ht="14.45" customHeight="1" x14ac:dyDescent="0.25">
      <c r="A28" s="1135"/>
      <c r="B28" s="1136"/>
      <c r="C28" s="1137"/>
      <c r="D28" s="1113" t="s">
        <v>111</v>
      </c>
      <c r="E28" s="574" t="s">
        <v>216</v>
      </c>
      <c r="F28" s="936" t="s">
        <v>226</v>
      </c>
      <c r="G28" s="951">
        <f>1072.4-50</f>
        <v>1022.4000000000001</v>
      </c>
      <c r="H28" s="952">
        <f>1018.6-50</f>
        <v>968.6</v>
      </c>
      <c r="I28" s="953">
        <f>932.1-50</f>
        <v>882.1</v>
      </c>
      <c r="J28" s="1072" t="s">
        <v>282</v>
      </c>
      <c r="K28" s="386">
        <v>3</v>
      </c>
      <c r="L28" s="1045">
        <v>3</v>
      </c>
      <c r="M28" s="1054">
        <v>3</v>
      </c>
    </row>
    <row r="29" spans="1:18" s="1" customFormat="1" ht="16.5" customHeight="1" x14ac:dyDescent="0.25">
      <c r="A29" s="1135"/>
      <c r="B29" s="1136"/>
      <c r="C29" s="1137"/>
      <c r="D29" s="1114"/>
      <c r="E29" s="244"/>
      <c r="F29" s="940" t="s">
        <v>275</v>
      </c>
      <c r="G29" s="944">
        <v>16.899999999999999</v>
      </c>
      <c r="H29" s="945"/>
      <c r="I29" s="946"/>
      <c r="J29" s="1073" t="s">
        <v>283</v>
      </c>
      <c r="K29" s="1048">
        <v>2</v>
      </c>
      <c r="L29" s="415">
        <v>2</v>
      </c>
      <c r="M29" s="1046">
        <v>2</v>
      </c>
    </row>
    <row r="30" spans="1:18" s="1" customFormat="1" ht="15" customHeight="1" x14ac:dyDescent="0.25">
      <c r="A30" s="1135"/>
      <c r="B30" s="1136"/>
      <c r="C30" s="1137"/>
      <c r="D30" s="1138"/>
      <c r="E30" s="84"/>
      <c r="F30" s="940" t="s">
        <v>276</v>
      </c>
      <c r="G30" s="944">
        <v>150</v>
      </c>
      <c r="H30" s="945">
        <v>150</v>
      </c>
      <c r="I30" s="946">
        <v>150</v>
      </c>
      <c r="J30" s="366" t="s">
        <v>74</v>
      </c>
      <c r="K30" s="410">
        <v>21</v>
      </c>
      <c r="L30" s="415">
        <v>21</v>
      </c>
      <c r="M30" s="356">
        <v>21</v>
      </c>
    </row>
    <row r="31" spans="1:18" s="1" customFormat="1" ht="15" customHeight="1" x14ac:dyDescent="0.25">
      <c r="A31" s="1135"/>
      <c r="B31" s="1136"/>
      <c r="C31" s="1137"/>
      <c r="D31" s="1138"/>
      <c r="E31" s="84"/>
      <c r="F31" s="940" t="s">
        <v>271</v>
      </c>
      <c r="G31" s="944">
        <v>76.2</v>
      </c>
      <c r="H31" s="945">
        <v>76.2</v>
      </c>
      <c r="I31" s="946">
        <v>76.2</v>
      </c>
      <c r="J31" s="863" t="s">
        <v>152</v>
      </c>
      <c r="K31" s="443">
        <v>53</v>
      </c>
      <c r="L31" s="448">
        <v>50</v>
      </c>
      <c r="M31" s="357">
        <v>50</v>
      </c>
    </row>
    <row r="32" spans="1:18" s="1" customFormat="1" ht="27.75" customHeight="1" x14ac:dyDescent="0.25">
      <c r="A32" s="1135"/>
      <c r="B32" s="1136"/>
      <c r="C32" s="1137"/>
      <c r="D32" s="1138"/>
      <c r="E32" s="84"/>
      <c r="F32" s="940"/>
      <c r="G32" s="948"/>
      <c r="H32" s="949"/>
      <c r="I32" s="950"/>
      <c r="J32" s="362" t="s">
        <v>248</v>
      </c>
      <c r="K32" s="444">
        <v>1062</v>
      </c>
      <c r="L32" s="449">
        <v>1062</v>
      </c>
      <c r="M32" s="358">
        <v>1062</v>
      </c>
    </row>
    <row r="33" spans="1:15" s="1" customFormat="1" ht="24" customHeight="1" x14ac:dyDescent="0.25">
      <c r="A33" s="13"/>
      <c r="B33" s="871"/>
      <c r="C33" s="857"/>
      <c r="D33" s="1160" t="s">
        <v>112</v>
      </c>
      <c r="E33" s="631" t="s">
        <v>216</v>
      </c>
      <c r="F33" s="954" t="s">
        <v>226</v>
      </c>
      <c r="G33" s="951">
        <v>81.3</v>
      </c>
      <c r="H33" s="952">
        <v>82.7</v>
      </c>
      <c r="I33" s="955">
        <v>102.7</v>
      </c>
      <c r="J33" s="1151" t="s">
        <v>117</v>
      </c>
      <c r="K33" s="1164" t="s">
        <v>105</v>
      </c>
      <c r="L33" s="1109" t="s">
        <v>105</v>
      </c>
      <c r="M33" s="1111" t="s">
        <v>105</v>
      </c>
    </row>
    <row r="34" spans="1:15" s="1" customFormat="1" ht="17.100000000000001" customHeight="1" x14ac:dyDescent="0.25">
      <c r="A34" s="13"/>
      <c r="B34" s="871"/>
      <c r="C34" s="857"/>
      <c r="D34" s="1161"/>
      <c r="E34" s="79"/>
      <c r="F34" s="956"/>
      <c r="G34" s="944"/>
      <c r="H34" s="945"/>
      <c r="I34" s="957"/>
      <c r="J34" s="1163"/>
      <c r="K34" s="1165"/>
      <c r="L34" s="1110"/>
      <c r="M34" s="1112"/>
    </row>
    <row r="35" spans="1:15" s="1" customFormat="1" ht="42" customHeight="1" x14ac:dyDescent="0.25">
      <c r="A35" s="13"/>
      <c r="B35" s="871"/>
      <c r="C35" s="857"/>
      <c r="D35" s="1162"/>
      <c r="E35" s="884"/>
      <c r="F35" s="940"/>
      <c r="G35" s="944"/>
      <c r="H35" s="945"/>
      <c r="I35" s="946"/>
      <c r="J35" s="887" t="s">
        <v>95</v>
      </c>
      <c r="K35" s="450" t="s">
        <v>122</v>
      </c>
      <c r="L35" s="453" t="s">
        <v>122</v>
      </c>
      <c r="M35" s="353" t="s">
        <v>122</v>
      </c>
    </row>
    <row r="36" spans="1:15" s="1" customFormat="1" ht="28.5" customHeight="1" x14ac:dyDescent="0.25">
      <c r="A36" s="13"/>
      <c r="B36" s="871"/>
      <c r="C36" s="857"/>
      <c r="D36" s="93" t="s">
        <v>124</v>
      </c>
      <c r="E36" s="80"/>
      <c r="F36" s="956" t="s">
        <v>226</v>
      </c>
      <c r="G36" s="944">
        <v>46.8</v>
      </c>
      <c r="H36" s="945">
        <v>7.5</v>
      </c>
      <c r="I36" s="946">
        <v>7.5</v>
      </c>
      <c r="J36" s="361" t="s">
        <v>125</v>
      </c>
      <c r="K36" s="568">
        <v>600</v>
      </c>
      <c r="L36" s="453"/>
      <c r="M36" s="353"/>
    </row>
    <row r="37" spans="1:15" s="1" customFormat="1" ht="27.95" customHeight="1" x14ac:dyDescent="0.25">
      <c r="A37" s="13"/>
      <c r="B37" s="871"/>
      <c r="C37" s="857"/>
      <c r="D37" s="881"/>
      <c r="E37" s="80"/>
      <c r="F37" s="956"/>
      <c r="G37" s="944"/>
      <c r="H37" s="945"/>
      <c r="I37" s="957"/>
      <c r="J37" s="362" t="s">
        <v>127</v>
      </c>
      <c r="K37" s="570">
        <v>1</v>
      </c>
      <c r="L37" s="571">
        <v>1</v>
      </c>
      <c r="M37" s="569">
        <v>1</v>
      </c>
    </row>
    <row r="38" spans="1:15" s="1" customFormat="1" ht="15.95" customHeight="1" x14ac:dyDescent="0.25">
      <c r="A38" s="13"/>
      <c r="B38" s="871"/>
      <c r="C38" s="857"/>
      <c r="D38" s="881"/>
      <c r="E38" s="80"/>
      <c r="F38" s="940"/>
      <c r="G38" s="944"/>
      <c r="H38" s="945"/>
      <c r="I38" s="957"/>
      <c r="J38" s="363" t="s">
        <v>149</v>
      </c>
      <c r="K38" s="570">
        <v>17</v>
      </c>
      <c r="L38" s="571">
        <v>17</v>
      </c>
      <c r="M38" s="569">
        <v>17</v>
      </c>
    </row>
    <row r="39" spans="1:15" s="1" customFormat="1" ht="15" customHeight="1" x14ac:dyDescent="0.25">
      <c r="A39" s="13"/>
      <c r="B39" s="871"/>
      <c r="C39" s="857"/>
      <c r="D39" s="1113" t="s">
        <v>146</v>
      </c>
      <c r="E39" s="169" t="s">
        <v>216</v>
      </c>
      <c r="F39" s="936" t="s">
        <v>226</v>
      </c>
      <c r="G39" s="951"/>
      <c r="H39" s="952">
        <v>300</v>
      </c>
      <c r="I39" s="955">
        <v>300</v>
      </c>
      <c r="J39" s="879" t="s">
        <v>147</v>
      </c>
      <c r="K39" s="850">
        <v>7</v>
      </c>
      <c r="L39" s="687">
        <v>7</v>
      </c>
      <c r="M39" s="109">
        <v>7</v>
      </c>
    </row>
    <row r="40" spans="1:15" s="1" customFormat="1" ht="15" customHeight="1" x14ac:dyDescent="0.25">
      <c r="A40" s="13"/>
      <c r="B40" s="871"/>
      <c r="C40" s="857"/>
      <c r="D40" s="1114"/>
      <c r="E40" s="665"/>
      <c r="F40" s="940" t="s">
        <v>275</v>
      </c>
      <c r="G40" s="944">
        <v>300</v>
      </c>
      <c r="H40" s="945"/>
      <c r="I40" s="946"/>
      <c r="J40" s="364"/>
      <c r="K40" s="451"/>
      <c r="L40" s="454"/>
      <c r="M40" s="247"/>
    </row>
    <row r="41" spans="1:15" s="1" customFormat="1" ht="21" customHeight="1" x14ac:dyDescent="0.25">
      <c r="A41" s="13"/>
      <c r="B41" s="871"/>
      <c r="C41" s="857"/>
      <c r="D41" s="1115"/>
      <c r="E41" s="666"/>
      <c r="F41" s="947" t="s">
        <v>275</v>
      </c>
      <c r="G41" s="948">
        <v>530.70000000000005</v>
      </c>
      <c r="H41" s="949"/>
      <c r="I41" s="950"/>
      <c r="J41" s="486" t="s">
        <v>147</v>
      </c>
      <c r="K41" s="910">
        <v>5</v>
      </c>
      <c r="L41" s="911"/>
      <c r="M41" s="577"/>
    </row>
    <row r="42" spans="1:15" s="1" customFormat="1" ht="26.45" customHeight="1" x14ac:dyDescent="0.25">
      <c r="A42" s="855"/>
      <c r="B42" s="871"/>
      <c r="C42" s="866"/>
      <c r="D42" s="1113" t="s">
        <v>158</v>
      </c>
      <c r="E42" s="574" t="s">
        <v>133</v>
      </c>
      <c r="F42" s="936" t="s">
        <v>226</v>
      </c>
      <c r="G42" s="951">
        <f>270-226+12-10</f>
        <v>46</v>
      </c>
      <c r="H42" s="958">
        <f>355-311</f>
        <v>44</v>
      </c>
      <c r="I42" s="955">
        <f>265-221</f>
        <v>44</v>
      </c>
      <c r="J42" s="461" t="s">
        <v>123</v>
      </c>
      <c r="K42" s="705" t="s">
        <v>243</v>
      </c>
      <c r="L42" s="706" t="s">
        <v>206</v>
      </c>
      <c r="M42" s="707" t="s">
        <v>206</v>
      </c>
      <c r="O42" s="3"/>
    </row>
    <row r="43" spans="1:15" s="1" customFormat="1" ht="26.45" customHeight="1" x14ac:dyDescent="0.25">
      <c r="A43" s="855"/>
      <c r="B43" s="856"/>
      <c r="C43" s="866"/>
      <c r="D43" s="1158"/>
      <c r="E43" s="892" t="s">
        <v>216</v>
      </c>
      <c r="F43" s="940" t="s">
        <v>275</v>
      </c>
      <c r="G43" s="959">
        <v>3.5</v>
      </c>
      <c r="H43" s="945"/>
      <c r="I43" s="946"/>
      <c r="J43" s="362" t="s">
        <v>212</v>
      </c>
      <c r="K43" s="815">
        <v>1</v>
      </c>
      <c r="L43" s="816">
        <v>1</v>
      </c>
      <c r="M43" s="817">
        <v>1</v>
      </c>
    </row>
    <row r="44" spans="1:15" s="1" customFormat="1" ht="39.950000000000003" customHeight="1" x14ac:dyDescent="0.25">
      <c r="A44" s="855"/>
      <c r="B44" s="856"/>
      <c r="C44" s="866"/>
      <c r="D44" s="859"/>
      <c r="E44" s="664" t="s">
        <v>218</v>
      </c>
      <c r="F44" s="947"/>
      <c r="G44" s="948"/>
      <c r="H44" s="949"/>
      <c r="I44" s="950"/>
      <c r="J44" s="899" t="s">
        <v>236</v>
      </c>
      <c r="K44" s="782">
        <v>130</v>
      </c>
      <c r="L44" s="780"/>
      <c r="M44" s="781"/>
    </row>
    <row r="45" spans="1:15" s="1" customFormat="1" ht="41.45" customHeight="1" x14ac:dyDescent="0.25">
      <c r="A45" s="1135"/>
      <c r="B45" s="1136"/>
      <c r="C45" s="1157"/>
      <c r="D45" s="1113" t="s">
        <v>262</v>
      </c>
      <c r="E45" s="883" t="s">
        <v>216</v>
      </c>
      <c r="F45" s="940" t="s">
        <v>226</v>
      </c>
      <c r="G45" s="960">
        <v>166.4</v>
      </c>
      <c r="H45" s="961">
        <v>166.4</v>
      </c>
      <c r="I45" s="962">
        <v>166.4</v>
      </c>
      <c r="J45" s="863" t="s">
        <v>207</v>
      </c>
      <c r="K45" s="851">
        <v>3</v>
      </c>
      <c r="L45" s="719">
        <v>3</v>
      </c>
      <c r="M45" s="854">
        <v>3</v>
      </c>
    </row>
    <row r="46" spans="1:15" s="1" customFormat="1" ht="25.7" customHeight="1" x14ac:dyDescent="0.25">
      <c r="A46" s="1135"/>
      <c r="B46" s="1136"/>
      <c r="C46" s="1157"/>
      <c r="D46" s="1114"/>
      <c r="E46" s="667"/>
      <c r="F46" s="940"/>
      <c r="G46" s="960"/>
      <c r="H46" s="961"/>
      <c r="I46" s="962"/>
      <c r="J46" s="863" t="s">
        <v>157</v>
      </c>
      <c r="K46" s="456">
        <v>1</v>
      </c>
      <c r="L46" s="456">
        <v>1</v>
      </c>
      <c r="M46" s="403">
        <v>1</v>
      </c>
    </row>
    <row r="47" spans="1:15" s="1" customFormat="1" ht="17.25" customHeight="1" x14ac:dyDescent="0.25">
      <c r="A47" s="1135"/>
      <c r="B47" s="1136"/>
      <c r="C47" s="1157"/>
      <c r="D47" s="1114"/>
      <c r="E47" s="667"/>
      <c r="F47" s="940"/>
      <c r="G47" s="963"/>
      <c r="H47" s="963"/>
      <c r="I47" s="963"/>
      <c r="J47" s="863" t="s">
        <v>168</v>
      </c>
      <c r="K47" s="456">
        <v>45</v>
      </c>
      <c r="L47" s="456">
        <v>45</v>
      </c>
      <c r="M47" s="403">
        <v>45</v>
      </c>
    </row>
    <row r="48" spans="1:15" s="1" customFormat="1" ht="17.25" customHeight="1" x14ac:dyDescent="0.25">
      <c r="A48" s="1135"/>
      <c r="B48" s="1136"/>
      <c r="C48" s="1157"/>
      <c r="D48" s="1114"/>
      <c r="E48" s="667"/>
      <c r="F48" s="940"/>
      <c r="G48" s="963"/>
      <c r="H48" s="963"/>
      <c r="I48" s="963"/>
      <c r="J48" s="863" t="s">
        <v>249</v>
      </c>
      <c r="K48" s="456">
        <v>50</v>
      </c>
      <c r="L48" s="456">
        <v>50</v>
      </c>
      <c r="M48" s="403">
        <v>50</v>
      </c>
    </row>
    <row r="49" spans="1:13" s="1" customFormat="1" ht="27.6" customHeight="1" x14ac:dyDescent="0.25">
      <c r="A49" s="1135"/>
      <c r="B49" s="1136"/>
      <c r="C49" s="1157"/>
      <c r="D49" s="1114"/>
      <c r="E49" s="667"/>
      <c r="F49" s="940"/>
      <c r="G49" s="963"/>
      <c r="H49" s="963"/>
      <c r="I49" s="963"/>
      <c r="J49" s="863" t="s">
        <v>241</v>
      </c>
      <c r="K49" s="187">
        <v>44</v>
      </c>
      <c r="L49" s="187">
        <v>44</v>
      </c>
      <c r="M49" s="708">
        <v>44</v>
      </c>
    </row>
    <row r="50" spans="1:13" s="1" customFormat="1" ht="27" customHeight="1" x14ac:dyDescent="0.25">
      <c r="A50" s="1135"/>
      <c r="B50" s="1136"/>
      <c r="C50" s="1157"/>
      <c r="D50" s="1114"/>
      <c r="E50" s="667"/>
      <c r="F50" s="940"/>
      <c r="G50" s="963"/>
      <c r="H50" s="963"/>
      <c r="I50" s="963"/>
      <c r="J50" s="362" t="s">
        <v>91</v>
      </c>
      <c r="K50" s="571">
        <v>95.4</v>
      </c>
      <c r="L50" s="571">
        <v>95.4</v>
      </c>
      <c r="M50" s="569">
        <v>95.4</v>
      </c>
    </row>
    <row r="51" spans="1:13" s="1" customFormat="1" ht="14.45" customHeight="1" x14ac:dyDescent="0.25">
      <c r="A51" s="1135"/>
      <c r="B51" s="1136"/>
      <c r="C51" s="1157"/>
      <c r="D51" s="1158"/>
      <c r="E51" s="667"/>
      <c r="F51" s="940"/>
      <c r="G51" s="963"/>
      <c r="H51" s="963"/>
      <c r="I51" s="963"/>
      <c r="J51" s="366" t="s">
        <v>106</v>
      </c>
      <c r="K51" s="457">
        <v>3</v>
      </c>
      <c r="L51" s="457">
        <v>3</v>
      </c>
      <c r="M51" s="356">
        <v>3</v>
      </c>
    </row>
    <row r="52" spans="1:13" s="1" customFormat="1" ht="21.6" customHeight="1" x14ac:dyDescent="0.25">
      <c r="A52" s="855"/>
      <c r="B52" s="856"/>
      <c r="C52" s="857"/>
      <c r="D52" s="1113" t="s">
        <v>100</v>
      </c>
      <c r="E52" s="169" t="s">
        <v>216</v>
      </c>
      <c r="F52" s="936" t="s">
        <v>226</v>
      </c>
      <c r="G52" s="958"/>
      <c r="H52" s="952">
        <v>100</v>
      </c>
      <c r="I52" s="955">
        <v>100</v>
      </c>
      <c r="J52" s="1031" t="s">
        <v>21</v>
      </c>
      <c r="K52" s="1034">
        <v>130</v>
      </c>
      <c r="L52" s="1035">
        <v>130</v>
      </c>
      <c r="M52" s="1036">
        <v>130</v>
      </c>
    </row>
    <row r="53" spans="1:13" s="1" customFormat="1" ht="21.6" customHeight="1" x14ac:dyDescent="0.25">
      <c r="A53" s="855"/>
      <c r="B53" s="856"/>
      <c r="C53" s="857"/>
      <c r="D53" s="1159"/>
      <c r="E53" s="80"/>
      <c r="F53" s="947" t="s">
        <v>275</v>
      </c>
      <c r="G53" s="948">
        <v>100</v>
      </c>
      <c r="H53" s="949"/>
      <c r="I53" s="950"/>
      <c r="J53" s="899"/>
      <c r="K53" s="1033"/>
      <c r="L53" s="1030"/>
      <c r="M53" s="632"/>
    </row>
    <row r="54" spans="1:13" s="1" customFormat="1" ht="21.6" customHeight="1" x14ac:dyDescent="0.25">
      <c r="A54" s="855"/>
      <c r="B54" s="871"/>
      <c r="C54" s="866"/>
      <c r="D54" s="1113" t="s">
        <v>24</v>
      </c>
      <c r="E54" s="668" t="s">
        <v>216</v>
      </c>
      <c r="F54" s="936" t="s">
        <v>226</v>
      </c>
      <c r="G54" s="951">
        <v>28.4</v>
      </c>
      <c r="H54" s="952">
        <v>28.4</v>
      </c>
      <c r="I54" s="955">
        <v>28.4</v>
      </c>
      <c r="J54" s="1166" t="s">
        <v>25</v>
      </c>
      <c r="K54" s="573">
        <v>19</v>
      </c>
      <c r="L54" s="852">
        <v>19</v>
      </c>
      <c r="M54" s="109">
        <v>19</v>
      </c>
    </row>
    <row r="55" spans="1:13" s="1" customFormat="1" ht="21.6" customHeight="1" x14ac:dyDescent="0.25">
      <c r="A55" s="13"/>
      <c r="B55" s="871"/>
      <c r="C55" s="866"/>
      <c r="D55" s="1178"/>
      <c r="E55" s="669"/>
      <c r="F55" s="947"/>
      <c r="G55" s="948"/>
      <c r="H55" s="949"/>
      <c r="I55" s="950"/>
      <c r="J55" s="1179"/>
      <c r="K55" s="874"/>
      <c r="L55" s="876"/>
      <c r="M55" s="377"/>
    </row>
    <row r="56" spans="1:13" s="1" customFormat="1" ht="22.5" customHeight="1" x14ac:dyDescent="0.25">
      <c r="A56" s="13"/>
      <c r="B56" s="856"/>
      <c r="C56" s="857"/>
      <c r="D56" s="1180" t="s">
        <v>134</v>
      </c>
      <c r="E56" s="668" t="s">
        <v>216</v>
      </c>
      <c r="F56" s="964" t="s">
        <v>226</v>
      </c>
      <c r="G56" s="951">
        <v>43.7</v>
      </c>
      <c r="H56" s="952">
        <v>43.7</v>
      </c>
      <c r="I56" s="965">
        <v>43.7</v>
      </c>
      <c r="J56" s="879" t="s">
        <v>135</v>
      </c>
      <c r="K56" s="850">
        <v>33</v>
      </c>
      <c r="L56" s="852">
        <v>55</v>
      </c>
      <c r="M56" s="109">
        <v>55</v>
      </c>
    </row>
    <row r="57" spans="1:13" s="1" customFormat="1" ht="22.5" customHeight="1" x14ac:dyDescent="0.25">
      <c r="A57" s="13"/>
      <c r="B57" s="856"/>
      <c r="C57" s="857"/>
      <c r="D57" s="1181"/>
      <c r="E57" s="664" t="s">
        <v>133</v>
      </c>
      <c r="F57" s="966"/>
      <c r="G57" s="948"/>
      <c r="H57" s="963"/>
      <c r="I57" s="950"/>
      <c r="J57" s="899"/>
      <c r="K57" s="387"/>
      <c r="L57" s="876"/>
      <c r="M57" s="632"/>
    </row>
    <row r="58" spans="1:13" s="1" customFormat="1" ht="41.25" customHeight="1" x14ac:dyDescent="0.25">
      <c r="A58" s="13"/>
      <c r="B58" s="856"/>
      <c r="C58" s="857"/>
      <c r="D58" s="858" t="s">
        <v>153</v>
      </c>
      <c r="E58" s="169" t="s">
        <v>216</v>
      </c>
      <c r="F58" s="936" t="s">
        <v>226</v>
      </c>
      <c r="G58" s="958">
        <v>5</v>
      </c>
      <c r="H58" s="958">
        <v>25</v>
      </c>
      <c r="I58" s="958">
        <v>5</v>
      </c>
      <c r="J58" s="465" t="s">
        <v>154</v>
      </c>
      <c r="K58" s="386"/>
      <c r="L58" s="395">
        <v>1</v>
      </c>
      <c r="M58" s="355"/>
    </row>
    <row r="59" spans="1:13" s="1" customFormat="1" ht="27" customHeight="1" x14ac:dyDescent="0.25">
      <c r="A59" s="13"/>
      <c r="B59" s="856"/>
      <c r="C59" s="857"/>
      <c r="D59" s="870"/>
      <c r="E59" s="884"/>
      <c r="F59" s="947"/>
      <c r="G59" s="967"/>
      <c r="H59" s="967"/>
      <c r="I59" s="967"/>
      <c r="J59" s="466" t="s">
        <v>159</v>
      </c>
      <c r="K59" s="387">
        <v>1</v>
      </c>
      <c r="L59" s="396">
        <v>1</v>
      </c>
      <c r="M59" s="376">
        <v>1</v>
      </c>
    </row>
    <row r="60" spans="1:13" s="1" customFormat="1" ht="43.5" customHeight="1" x14ac:dyDescent="0.25">
      <c r="A60" s="13"/>
      <c r="B60" s="856"/>
      <c r="C60" s="857"/>
      <c r="D60" s="858" t="s">
        <v>156</v>
      </c>
      <c r="E60" s="670" t="s">
        <v>216</v>
      </c>
      <c r="F60" s="964" t="s">
        <v>226</v>
      </c>
      <c r="G60" s="968">
        <v>56</v>
      </c>
      <c r="H60" s="968">
        <v>64.599999999999994</v>
      </c>
      <c r="I60" s="969">
        <v>64.599999999999994</v>
      </c>
      <c r="J60" s="460" t="s">
        <v>160</v>
      </c>
      <c r="K60" s="850">
        <v>111</v>
      </c>
      <c r="L60" s="852">
        <v>116</v>
      </c>
      <c r="M60" s="109">
        <v>116</v>
      </c>
    </row>
    <row r="61" spans="1:13" s="1" customFormat="1" ht="15.6" customHeight="1" x14ac:dyDescent="0.25">
      <c r="A61" s="13"/>
      <c r="B61" s="856"/>
      <c r="C61" s="857"/>
      <c r="D61" s="1113" t="s">
        <v>192</v>
      </c>
      <c r="E61" s="883" t="s">
        <v>216</v>
      </c>
      <c r="F61" s="964" t="s">
        <v>226</v>
      </c>
      <c r="G61" s="951">
        <v>42.9</v>
      </c>
      <c r="H61" s="952"/>
      <c r="I61" s="958"/>
      <c r="J61" s="465" t="s">
        <v>193</v>
      </c>
      <c r="K61" s="850">
        <v>1</v>
      </c>
      <c r="L61" s="852"/>
      <c r="M61" s="109"/>
    </row>
    <row r="62" spans="1:13" s="1" customFormat="1" ht="15.6" customHeight="1" x14ac:dyDescent="0.25">
      <c r="A62" s="13"/>
      <c r="B62" s="856"/>
      <c r="C62" s="857"/>
      <c r="D62" s="1115"/>
      <c r="E62" s="664"/>
      <c r="F62" s="947" t="s">
        <v>275</v>
      </c>
      <c r="G62" s="948">
        <v>26.3</v>
      </c>
      <c r="H62" s="949"/>
      <c r="I62" s="950"/>
      <c r="J62" s="365"/>
      <c r="K62" s="387"/>
      <c r="L62" s="396"/>
      <c r="M62" s="632"/>
    </row>
    <row r="63" spans="1:13" s="1" customFormat="1" ht="42.95" customHeight="1" x14ac:dyDescent="0.25">
      <c r="A63" s="13"/>
      <c r="B63" s="856"/>
      <c r="C63" s="857"/>
      <c r="D63" s="858" t="s">
        <v>242</v>
      </c>
      <c r="E63" s="883" t="s">
        <v>216</v>
      </c>
      <c r="F63" s="964" t="s">
        <v>226</v>
      </c>
      <c r="G63" s="958">
        <v>12.1</v>
      </c>
      <c r="H63" s="958"/>
      <c r="I63" s="953"/>
      <c r="J63" s="465" t="s">
        <v>98</v>
      </c>
      <c r="K63" s="850"/>
      <c r="L63" s="852"/>
      <c r="M63" s="109"/>
    </row>
    <row r="64" spans="1:13" s="1" customFormat="1" ht="30" customHeight="1" x14ac:dyDescent="0.25">
      <c r="A64" s="13"/>
      <c r="B64" s="1044"/>
      <c r="C64" s="1043"/>
      <c r="D64" s="236" t="s">
        <v>284</v>
      </c>
      <c r="E64" s="169" t="s">
        <v>218</v>
      </c>
      <c r="F64" s="964"/>
      <c r="G64" s="958"/>
      <c r="H64" s="958"/>
      <c r="I64" s="953"/>
      <c r="J64" s="465" t="s">
        <v>285</v>
      </c>
      <c r="K64" s="1047">
        <v>1</v>
      </c>
      <c r="L64" s="1045"/>
      <c r="M64" s="109"/>
    </row>
    <row r="65" spans="1:18" s="1" customFormat="1" ht="27.6" customHeight="1" x14ac:dyDescent="0.25">
      <c r="A65" s="13"/>
      <c r="B65" s="1044"/>
      <c r="C65" s="1043"/>
      <c r="D65" s="1113" t="s">
        <v>286</v>
      </c>
      <c r="E65" s="169" t="s">
        <v>218</v>
      </c>
      <c r="F65" s="964"/>
      <c r="G65" s="958"/>
      <c r="H65" s="952"/>
      <c r="I65" s="953"/>
      <c r="J65" s="1074" t="s">
        <v>287</v>
      </c>
      <c r="K65" s="386">
        <v>100</v>
      </c>
      <c r="L65" s="1045"/>
      <c r="M65" s="1054"/>
    </row>
    <row r="66" spans="1:18" s="1" customFormat="1" ht="27" customHeight="1" x14ac:dyDescent="0.25">
      <c r="A66" s="13"/>
      <c r="B66" s="1044"/>
      <c r="C66" s="1043"/>
      <c r="D66" s="1114"/>
      <c r="E66" s="1056"/>
      <c r="F66" s="1055"/>
      <c r="G66" s="944"/>
      <c r="H66" s="945"/>
      <c r="I66" s="946"/>
      <c r="J66" s="363" t="s">
        <v>294</v>
      </c>
      <c r="K66" s="410">
        <v>100</v>
      </c>
      <c r="L66" s="415"/>
      <c r="M66" s="1063"/>
    </row>
    <row r="67" spans="1:18" s="1" customFormat="1" ht="27" customHeight="1" x14ac:dyDescent="0.25">
      <c r="A67" s="13"/>
      <c r="B67" s="1052"/>
      <c r="C67" s="1053"/>
      <c r="D67" s="1114"/>
      <c r="E67" s="1056"/>
      <c r="F67" s="1055"/>
      <c r="G67" s="963"/>
      <c r="H67" s="963"/>
      <c r="I67" s="946"/>
      <c r="J67" s="363" t="s">
        <v>291</v>
      </c>
      <c r="K67" s="387">
        <v>1</v>
      </c>
      <c r="L67" s="396"/>
      <c r="M67" s="376"/>
    </row>
    <row r="68" spans="1:18" s="1" customFormat="1" ht="18.600000000000001" customHeight="1" x14ac:dyDescent="0.25">
      <c r="A68" s="13"/>
      <c r="B68" s="1044"/>
      <c r="C68" s="1043"/>
      <c r="D68" s="1115"/>
      <c r="E68" s="664"/>
      <c r="F68" s="966"/>
      <c r="G68" s="963"/>
      <c r="H68" s="963"/>
      <c r="I68" s="950"/>
      <c r="J68" s="466" t="s">
        <v>288</v>
      </c>
      <c r="K68" s="411">
        <v>100</v>
      </c>
      <c r="L68" s="416"/>
      <c r="M68" s="167"/>
    </row>
    <row r="69" spans="1:18" s="1" customFormat="1" ht="16.5" customHeight="1" thickBot="1" x14ac:dyDescent="0.3">
      <c r="A69" s="14"/>
      <c r="B69" s="872"/>
      <c r="C69" s="115"/>
      <c r="D69" s="220"/>
      <c r="E69" s="671"/>
      <c r="F69" s="181" t="s">
        <v>31</v>
      </c>
      <c r="G69" s="137">
        <f>+G16+G17+G18+G19+G20+G21+G22</f>
        <v>13784.400000000001</v>
      </c>
      <c r="H69" s="137">
        <f>+H16+H17+H18+H19+H20+H21+H22</f>
        <v>13387</v>
      </c>
      <c r="I69" s="137">
        <f>+I16+I17+I18+I19+I20+I21+I22</f>
        <v>13236.5</v>
      </c>
      <c r="J69" s="467"/>
      <c r="K69" s="388"/>
      <c r="L69" s="397"/>
      <c r="M69" s="378"/>
    </row>
    <row r="70" spans="1:18" s="1" customFormat="1" ht="26.25" customHeight="1" x14ac:dyDescent="0.25">
      <c r="A70" s="1168" t="s">
        <v>7</v>
      </c>
      <c r="B70" s="1170" t="s">
        <v>7</v>
      </c>
      <c r="C70" s="1172" t="s">
        <v>12</v>
      </c>
      <c r="D70" s="1174" t="s">
        <v>208</v>
      </c>
      <c r="E70" s="1176" t="s">
        <v>216</v>
      </c>
      <c r="F70" s="188" t="s">
        <v>10</v>
      </c>
      <c r="G70" s="289">
        <f>284.8+1.8+20.7</f>
        <v>307.3</v>
      </c>
      <c r="H70" s="290">
        <f>284.8+49.3</f>
        <v>334.1</v>
      </c>
      <c r="I70" s="288">
        <f>284.8+49.3</f>
        <v>334.1</v>
      </c>
      <c r="J70" s="479" t="s">
        <v>209</v>
      </c>
      <c r="K70" s="531">
        <v>11</v>
      </c>
      <c r="L70" s="529">
        <v>11</v>
      </c>
      <c r="M70" s="184">
        <v>11</v>
      </c>
    </row>
    <row r="71" spans="1:18" s="1" customFormat="1" ht="15.75" customHeight="1" thickBot="1" x14ac:dyDescent="0.3">
      <c r="A71" s="1169"/>
      <c r="B71" s="1171"/>
      <c r="C71" s="1173"/>
      <c r="D71" s="1175"/>
      <c r="E71" s="1177"/>
      <c r="F71" s="182" t="s">
        <v>31</v>
      </c>
      <c r="G71" s="286">
        <f t="shared" ref="G71:I71" si="5">SUM(G70:G70)</f>
        <v>307.3</v>
      </c>
      <c r="H71" s="69">
        <f t="shared" si="5"/>
        <v>334.1</v>
      </c>
      <c r="I71" s="528">
        <f t="shared" si="5"/>
        <v>334.1</v>
      </c>
      <c r="J71" s="470"/>
      <c r="K71" s="390"/>
      <c r="L71" s="399"/>
      <c r="M71" s="380"/>
    </row>
    <row r="72" spans="1:18" s="1" customFormat="1" ht="26.25" customHeight="1" x14ac:dyDescent="0.25">
      <c r="A72" s="1168" t="s">
        <v>7</v>
      </c>
      <c r="B72" s="1170" t="s">
        <v>7</v>
      </c>
      <c r="C72" s="1172" t="s">
        <v>15</v>
      </c>
      <c r="D72" s="897" t="s">
        <v>34</v>
      </c>
      <c r="E72" s="674" t="s">
        <v>216</v>
      </c>
      <c r="F72" s="188" t="s">
        <v>10</v>
      </c>
      <c r="G72" s="285">
        <v>23</v>
      </c>
      <c r="H72" s="287">
        <v>23</v>
      </c>
      <c r="I72" s="283">
        <v>23</v>
      </c>
      <c r="J72" s="469"/>
      <c r="K72" s="392"/>
      <c r="L72" s="898"/>
      <c r="M72" s="383"/>
    </row>
    <row r="73" spans="1:18" s="1" customFormat="1" ht="15.75" customHeight="1" thickBot="1" x14ac:dyDescent="0.3">
      <c r="A73" s="1169"/>
      <c r="B73" s="1171"/>
      <c r="C73" s="1173"/>
      <c r="D73" s="227"/>
      <c r="E73" s="673"/>
      <c r="F73" s="182" t="s">
        <v>31</v>
      </c>
      <c r="G73" s="286">
        <f>SUM(G72:G72)</f>
        <v>23</v>
      </c>
      <c r="H73" s="269">
        <f t="shared" ref="H73:I73" si="6">SUM(H72:H72)</f>
        <v>23</v>
      </c>
      <c r="I73" s="284">
        <f t="shared" si="6"/>
        <v>23</v>
      </c>
      <c r="J73" s="470"/>
      <c r="K73" s="390"/>
      <c r="L73" s="399"/>
      <c r="M73" s="380"/>
    </row>
    <row r="74" spans="1:18" s="1" customFormat="1" ht="28.5" customHeight="1" x14ac:dyDescent="0.25">
      <c r="A74" s="867" t="s">
        <v>7</v>
      </c>
      <c r="B74" s="66" t="s">
        <v>7</v>
      </c>
      <c r="C74" s="116" t="s">
        <v>16</v>
      </c>
      <c r="D74" s="173" t="s">
        <v>35</v>
      </c>
      <c r="E74" s="675"/>
      <c r="F74" s="188" t="s">
        <v>10</v>
      </c>
      <c r="G74" s="285">
        <v>200.3</v>
      </c>
      <c r="H74" s="287">
        <v>197.3</v>
      </c>
      <c r="I74" s="283">
        <v>197.3</v>
      </c>
      <c r="J74" s="471"/>
      <c r="K74" s="393"/>
      <c r="L74" s="402"/>
      <c r="M74" s="384"/>
      <c r="O74" s="1007" t="s">
        <v>10</v>
      </c>
      <c r="P74" s="1009">
        <f>+G75+G77+G79+G83</f>
        <v>200.3</v>
      </c>
      <c r="Q74" s="1009">
        <f t="shared" ref="Q74:R74" si="7">+H75+H77+H79+H83</f>
        <v>197.3</v>
      </c>
      <c r="R74" s="1009">
        <f t="shared" si="7"/>
        <v>197.3</v>
      </c>
    </row>
    <row r="75" spans="1:18" s="1" customFormat="1" ht="15.75" customHeight="1" x14ac:dyDescent="0.25">
      <c r="A75" s="855"/>
      <c r="B75" s="15"/>
      <c r="C75" s="117"/>
      <c r="D75" s="1113" t="s">
        <v>79</v>
      </c>
      <c r="E75" s="676" t="s">
        <v>115</v>
      </c>
      <c r="F75" s="936" t="s">
        <v>226</v>
      </c>
      <c r="G75" s="951">
        <v>75</v>
      </c>
      <c r="H75" s="952">
        <v>75</v>
      </c>
      <c r="I75" s="965">
        <v>75</v>
      </c>
      <c r="J75" s="1166" t="s">
        <v>238</v>
      </c>
      <c r="K75" s="850">
        <v>3</v>
      </c>
      <c r="L75" s="852">
        <v>3</v>
      </c>
      <c r="M75" s="109">
        <v>3</v>
      </c>
      <c r="O75" s="1007"/>
      <c r="P75" s="1009">
        <f>+P74-G85</f>
        <v>0</v>
      </c>
      <c r="Q75" s="1009">
        <f t="shared" ref="Q75:R75" si="8">+Q74-H85</f>
        <v>0</v>
      </c>
      <c r="R75" s="1009">
        <f t="shared" si="8"/>
        <v>0</v>
      </c>
    </row>
    <row r="76" spans="1:18" s="1" customFormat="1" ht="51.75" customHeight="1" x14ac:dyDescent="0.25">
      <c r="A76" s="855"/>
      <c r="B76" s="15"/>
      <c r="C76" s="117"/>
      <c r="D76" s="1158"/>
      <c r="E76" s="677" t="s">
        <v>216</v>
      </c>
      <c r="F76" s="940"/>
      <c r="G76" s="944"/>
      <c r="H76" s="963"/>
      <c r="I76" s="946"/>
      <c r="J76" s="1167"/>
      <c r="K76" s="387"/>
      <c r="L76" s="396"/>
      <c r="M76" s="376"/>
    </row>
    <row r="77" spans="1:18" s="1" customFormat="1" ht="15" customHeight="1" x14ac:dyDescent="0.25">
      <c r="A77" s="855"/>
      <c r="B77" s="15"/>
      <c r="C77" s="117"/>
      <c r="D77" s="1114"/>
      <c r="E77" s="244" t="s">
        <v>133</v>
      </c>
      <c r="F77" s="970" t="s">
        <v>226</v>
      </c>
      <c r="G77" s="944">
        <v>50</v>
      </c>
      <c r="H77" s="945">
        <v>50</v>
      </c>
      <c r="I77" s="946">
        <v>50</v>
      </c>
      <c r="J77" s="473" t="s">
        <v>177</v>
      </c>
      <c r="K77" s="1037"/>
      <c r="L77" s="1038"/>
      <c r="M77" s="1039"/>
    </row>
    <row r="78" spans="1:18" s="1" customFormat="1" ht="15.75" customHeight="1" x14ac:dyDescent="0.25">
      <c r="A78" s="855"/>
      <c r="B78" s="15"/>
      <c r="C78" s="117"/>
      <c r="D78" s="1178"/>
      <c r="E78" s="678"/>
      <c r="F78" s="947"/>
      <c r="G78" s="948"/>
      <c r="H78" s="967"/>
      <c r="I78" s="950"/>
      <c r="J78" s="474"/>
      <c r="K78" s="409"/>
      <c r="L78" s="414"/>
      <c r="M78" s="404"/>
    </row>
    <row r="79" spans="1:18" s="1" customFormat="1" ht="30" customHeight="1" x14ac:dyDescent="0.25">
      <c r="A79" s="855"/>
      <c r="B79" s="15"/>
      <c r="C79" s="117"/>
      <c r="D79" s="1113" t="s">
        <v>136</v>
      </c>
      <c r="E79" s="90" t="s">
        <v>115</v>
      </c>
      <c r="F79" s="936" t="s">
        <v>226</v>
      </c>
      <c r="G79" s="963">
        <v>52.9</v>
      </c>
      <c r="H79" s="963">
        <v>49.9</v>
      </c>
      <c r="I79" s="963">
        <v>49.9</v>
      </c>
      <c r="J79" s="863" t="s">
        <v>36</v>
      </c>
      <c r="K79" s="386">
        <v>9</v>
      </c>
      <c r="L79" s="395">
        <v>9</v>
      </c>
      <c r="M79" s="355">
        <v>9</v>
      </c>
    </row>
    <row r="80" spans="1:18" s="1" customFormat="1" ht="54" customHeight="1" x14ac:dyDescent="0.25">
      <c r="A80" s="855"/>
      <c r="B80" s="15"/>
      <c r="C80" s="118"/>
      <c r="D80" s="1158"/>
      <c r="E80" s="244" t="s">
        <v>216</v>
      </c>
      <c r="F80" s="971"/>
      <c r="G80" s="972"/>
      <c r="H80" s="972"/>
      <c r="I80" s="972"/>
      <c r="J80" s="475" t="s">
        <v>107</v>
      </c>
      <c r="K80" s="410">
        <v>22</v>
      </c>
      <c r="L80" s="415">
        <v>22</v>
      </c>
      <c r="M80" s="356">
        <v>22</v>
      </c>
    </row>
    <row r="81" spans="1:18" s="1" customFormat="1" ht="39.75" customHeight="1" x14ac:dyDescent="0.25">
      <c r="A81" s="855"/>
      <c r="B81" s="15"/>
      <c r="C81" s="118"/>
      <c r="D81" s="1158"/>
      <c r="E81" s="244" t="s">
        <v>133</v>
      </c>
      <c r="F81" s="971"/>
      <c r="G81" s="972"/>
      <c r="H81" s="972"/>
      <c r="I81" s="972"/>
      <c r="J81" s="475" t="s">
        <v>109</v>
      </c>
      <c r="K81" s="410">
        <v>315</v>
      </c>
      <c r="L81" s="415">
        <v>315</v>
      </c>
      <c r="M81" s="356">
        <v>315</v>
      </c>
    </row>
    <row r="82" spans="1:18" s="1" customFormat="1" ht="54.6" customHeight="1" x14ac:dyDescent="0.25">
      <c r="A82" s="855"/>
      <c r="B82" s="15"/>
      <c r="C82" s="118"/>
      <c r="D82" s="1158"/>
      <c r="E82" s="84"/>
      <c r="F82" s="973"/>
      <c r="G82" s="972"/>
      <c r="H82" s="972"/>
      <c r="I82" s="972"/>
      <c r="J82" s="476" t="s">
        <v>250</v>
      </c>
      <c r="K82" s="411">
        <v>350</v>
      </c>
      <c r="L82" s="416">
        <v>350</v>
      </c>
      <c r="M82" s="405">
        <v>350</v>
      </c>
    </row>
    <row r="83" spans="1:18" s="1" customFormat="1" ht="27.6" customHeight="1" x14ac:dyDescent="0.25">
      <c r="A83" s="855"/>
      <c r="B83" s="15"/>
      <c r="C83" s="118"/>
      <c r="D83" s="1182" t="s">
        <v>113</v>
      </c>
      <c r="E83" s="574" t="s">
        <v>115</v>
      </c>
      <c r="F83" s="964" t="s">
        <v>226</v>
      </c>
      <c r="G83" s="974">
        <v>22.4</v>
      </c>
      <c r="H83" s="975">
        <v>22.4</v>
      </c>
      <c r="I83" s="975">
        <v>22.4</v>
      </c>
      <c r="J83" s="477" t="s">
        <v>110</v>
      </c>
      <c r="K83" s="412">
        <v>35</v>
      </c>
      <c r="L83" s="417">
        <v>35</v>
      </c>
      <c r="M83" s="406">
        <v>35</v>
      </c>
    </row>
    <row r="84" spans="1:18" s="1" customFormat="1" ht="27" customHeight="1" x14ac:dyDescent="0.25">
      <c r="A84" s="855"/>
      <c r="B84" s="15"/>
      <c r="C84" s="118"/>
      <c r="D84" s="1158"/>
      <c r="E84" s="664" t="s">
        <v>216</v>
      </c>
      <c r="F84" s="966"/>
      <c r="G84" s="976"/>
      <c r="H84" s="977"/>
      <c r="I84" s="977"/>
      <c r="J84" s="466" t="s">
        <v>116</v>
      </c>
      <c r="K84" s="873">
        <v>1</v>
      </c>
      <c r="L84" s="875">
        <v>1</v>
      </c>
      <c r="M84" s="407">
        <v>1</v>
      </c>
    </row>
    <row r="85" spans="1:18" s="1" customFormat="1" ht="17.45" customHeight="1" thickBot="1" x14ac:dyDescent="0.3">
      <c r="A85" s="865"/>
      <c r="B85" s="68"/>
      <c r="C85" s="869"/>
      <c r="D85" s="220"/>
      <c r="E85" s="680"/>
      <c r="F85" s="194" t="s">
        <v>31</v>
      </c>
      <c r="G85" s="69">
        <f>+G74</f>
        <v>200.3</v>
      </c>
      <c r="H85" s="269">
        <f>+H74</f>
        <v>197.3</v>
      </c>
      <c r="I85" s="69">
        <f>+I74</f>
        <v>197.3</v>
      </c>
      <c r="J85" s="478"/>
      <c r="K85" s="388"/>
      <c r="L85" s="397"/>
      <c r="M85" s="378"/>
    </row>
    <row r="86" spans="1:18" s="3" customFormat="1" ht="17.100000000000001" customHeight="1" x14ac:dyDescent="0.25">
      <c r="A86" s="1135" t="s">
        <v>7</v>
      </c>
      <c r="B86" s="1183" t="s">
        <v>7</v>
      </c>
      <c r="C86" s="1157" t="s">
        <v>18</v>
      </c>
      <c r="D86" s="886" t="s">
        <v>37</v>
      </c>
      <c r="E86" s="890" t="s">
        <v>216</v>
      </c>
      <c r="F86" s="39" t="s">
        <v>10</v>
      </c>
      <c r="G86" s="131">
        <v>3101.9</v>
      </c>
      <c r="H86" s="131">
        <v>3710.8</v>
      </c>
      <c r="I86" s="131">
        <v>4418.3999999999996</v>
      </c>
      <c r="J86" s="479" t="s">
        <v>215</v>
      </c>
      <c r="K86" s="421">
        <v>5</v>
      </c>
      <c r="L86" s="424">
        <v>6</v>
      </c>
      <c r="M86" s="418">
        <v>7</v>
      </c>
    </row>
    <row r="87" spans="1:18" s="3" customFormat="1" ht="15.75" customHeight="1" thickBot="1" x14ac:dyDescent="0.3">
      <c r="A87" s="1169"/>
      <c r="B87" s="1184"/>
      <c r="C87" s="1173"/>
      <c r="D87" s="230"/>
      <c r="E87" s="681"/>
      <c r="F87" s="195" t="s">
        <v>31</v>
      </c>
      <c r="G87" s="193">
        <f t="shared" ref="G87:I87" si="9">G86</f>
        <v>3101.9</v>
      </c>
      <c r="H87" s="193">
        <f t="shared" si="9"/>
        <v>3710.8</v>
      </c>
      <c r="I87" s="193">
        <f t="shared" si="9"/>
        <v>4418.3999999999996</v>
      </c>
      <c r="J87" s="480"/>
      <c r="K87" s="422"/>
      <c r="L87" s="425"/>
      <c r="M87" s="419"/>
    </row>
    <row r="88" spans="1:18" s="3" customFormat="1" ht="18" customHeight="1" x14ac:dyDescent="0.25">
      <c r="A88" s="1168" t="s">
        <v>7</v>
      </c>
      <c r="B88" s="1192" t="s">
        <v>7</v>
      </c>
      <c r="C88" s="1157" t="s">
        <v>19</v>
      </c>
      <c r="D88" s="1174" t="s">
        <v>38</v>
      </c>
      <c r="E88" s="1193" t="s">
        <v>216</v>
      </c>
      <c r="F88" s="196" t="s">
        <v>10</v>
      </c>
      <c r="G88" s="921">
        <v>150</v>
      </c>
      <c r="H88" s="608">
        <v>49</v>
      </c>
      <c r="I88" s="924">
        <v>49</v>
      </c>
      <c r="J88" s="481"/>
      <c r="K88" s="389"/>
      <c r="L88" s="398"/>
      <c r="M88" s="379"/>
    </row>
    <row r="89" spans="1:18" s="3" customFormat="1" ht="18" customHeight="1" x14ac:dyDescent="0.25">
      <c r="A89" s="1135"/>
      <c r="B89" s="1183"/>
      <c r="C89" s="1157"/>
      <c r="D89" s="1115"/>
      <c r="E89" s="1194"/>
      <c r="F89" s="156" t="s">
        <v>83</v>
      </c>
      <c r="G89" s="265"/>
      <c r="H89" s="129"/>
      <c r="I89" s="131"/>
      <c r="J89" s="506"/>
      <c r="K89" s="387"/>
      <c r="L89" s="396"/>
      <c r="M89" s="376"/>
    </row>
    <row r="90" spans="1:18" s="3" customFormat="1" ht="15" customHeight="1" thickBot="1" x14ac:dyDescent="0.3">
      <c r="A90" s="1169"/>
      <c r="B90" s="1184"/>
      <c r="C90" s="1173"/>
      <c r="D90" s="230"/>
      <c r="E90" s="681"/>
      <c r="F90" s="194" t="s">
        <v>31</v>
      </c>
      <c r="G90" s="137">
        <f>+G88+G89</f>
        <v>150</v>
      </c>
      <c r="H90" s="137">
        <f>+H88+H89</f>
        <v>49</v>
      </c>
      <c r="I90" s="137">
        <f>+I88+I89</f>
        <v>49</v>
      </c>
      <c r="J90" s="482"/>
      <c r="K90" s="390"/>
      <c r="L90" s="399"/>
      <c r="M90" s="380"/>
    </row>
    <row r="91" spans="1:18" s="1" customFormat="1" ht="15.6" customHeight="1" x14ac:dyDescent="0.25">
      <c r="A91" s="17" t="s">
        <v>7</v>
      </c>
      <c r="B91" s="18" t="s">
        <v>7</v>
      </c>
      <c r="C91" s="120" t="s">
        <v>22</v>
      </c>
      <c r="D91" s="1189" t="s">
        <v>39</v>
      </c>
      <c r="E91" s="686" t="s">
        <v>216</v>
      </c>
      <c r="F91" s="864" t="s">
        <v>10</v>
      </c>
      <c r="G91" s="921">
        <f>155.2+7</f>
        <v>162.19999999999999</v>
      </c>
      <c r="H91" s="608">
        <v>156</v>
      </c>
      <c r="I91" s="978">
        <v>156</v>
      </c>
      <c r="J91" s="469"/>
      <c r="K91" s="389"/>
      <c r="L91" s="398"/>
      <c r="M91" s="379"/>
      <c r="O91" s="1007" t="s">
        <v>10</v>
      </c>
      <c r="P91" s="1009">
        <f>+G95+G97+G100+G101+G102+G103+G104+G106+G107+G108+G109</f>
        <v>155.19999999999999</v>
      </c>
      <c r="Q91" s="1009">
        <f t="shared" ref="Q91:R91" si="10">+H95+H97+H100+H101+H102+H103+H104+H106+H107+H108+H109</f>
        <v>156</v>
      </c>
      <c r="R91" s="1009">
        <f t="shared" si="10"/>
        <v>156</v>
      </c>
    </row>
    <row r="92" spans="1:18" s="1" customFormat="1" ht="15.6" customHeight="1" x14ac:dyDescent="0.25">
      <c r="A92" s="10"/>
      <c r="B92" s="11"/>
      <c r="C92" s="72"/>
      <c r="D92" s="1190"/>
      <c r="E92" s="244"/>
      <c r="F92" s="39" t="s">
        <v>114</v>
      </c>
      <c r="G92" s="131">
        <v>20</v>
      </c>
      <c r="H92" s="127">
        <v>20</v>
      </c>
      <c r="I92" s="691">
        <v>20</v>
      </c>
      <c r="J92" s="228"/>
      <c r="K92" s="387"/>
      <c r="L92" s="396"/>
      <c r="M92" s="979"/>
      <c r="O92" s="1007" t="s">
        <v>114</v>
      </c>
      <c r="P92" s="1009">
        <f>+G96</f>
        <v>20</v>
      </c>
      <c r="Q92" s="1009">
        <f t="shared" ref="Q92:R92" si="11">+H96</f>
        <v>20</v>
      </c>
      <c r="R92" s="1009">
        <f t="shared" si="11"/>
        <v>20</v>
      </c>
    </row>
    <row r="93" spans="1:18" s="1" customFormat="1" ht="15.6" customHeight="1" x14ac:dyDescent="0.25">
      <c r="A93" s="10"/>
      <c r="B93" s="11"/>
      <c r="C93" s="72"/>
      <c r="D93" s="1190"/>
      <c r="E93" s="244"/>
      <c r="F93" s="39" t="s">
        <v>83</v>
      </c>
      <c r="G93" s="131">
        <f>58+175.2</f>
        <v>233.2</v>
      </c>
      <c r="H93" s="127"/>
      <c r="I93" s="260"/>
      <c r="J93" s="228"/>
      <c r="K93" s="387"/>
      <c r="L93" s="396"/>
      <c r="M93" s="376"/>
      <c r="O93" s="1007" t="s">
        <v>83</v>
      </c>
      <c r="P93" s="1009">
        <f>+G98</f>
        <v>58</v>
      </c>
      <c r="Q93" s="1009">
        <f t="shared" ref="Q93:R93" si="12">+H98</f>
        <v>0</v>
      </c>
      <c r="R93" s="1009">
        <f t="shared" si="12"/>
        <v>0</v>
      </c>
    </row>
    <row r="94" spans="1:18" s="1" customFormat="1" ht="15.6" customHeight="1" x14ac:dyDescent="0.25">
      <c r="A94" s="10"/>
      <c r="B94" s="11"/>
      <c r="C94" s="72"/>
      <c r="D94" s="1191"/>
      <c r="E94" s="244"/>
      <c r="F94" s="78" t="s">
        <v>14</v>
      </c>
      <c r="G94" s="131">
        <v>69</v>
      </c>
      <c r="H94" s="127"/>
      <c r="I94" s="260"/>
      <c r="J94" s="228"/>
      <c r="K94" s="387"/>
      <c r="L94" s="396"/>
      <c r="M94" s="376"/>
      <c r="O94" s="1007" t="s">
        <v>14</v>
      </c>
      <c r="P94" s="1009">
        <f>+G99</f>
        <v>69</v>
      </c>
      <c r="Q94" s="1009">
        <f t="shared" ref="Q94:R94" si="13">+H99</f>
        <v>0</v>
      </c>
      <c r="R94" s="1009">
        <f t="shared" si="13"/>
        <v>0</v>
      </c>
    </row>
    <row r="95" spans="1:18" s="1" customFormat="1" ht="15.75" customHeight="1" x14ac:dyDescent="0.25">
      <c r="A95" s="10"/>
      <c r="B95" s="11"/>
      <c r="C95" s="72"/>
      <c r="D95" s="1113" t="s">
        <v>40</v>
      </c>
      <c r="E95" s="886"/>
      <c r="F95" s="936" t="s">
        <v>226</v>
      </c>
      <c r="G95" s="958">
        <v>28</v>
      </c>
      <c r="H95" s="952">
        <v>28</v>
      </c>
      <c r="I95" s="955">
        <v>28</v>
      </c>
      <c r="J95" s="1151" t="s">
        <v>77</v>
      </c>
      <c r="K95" s="850">
        <v>50</v>
      </c>
      <c r="L95" s="852">
        <v>50</v>
      </c>
      <c r="M95" s="109">
        <v>50</v>
      </c>
      <c r="O95" s="1007"/>
      <c r="P95" s="1009">
        <f>+P91+P92+P93+P94</f>
        <v>302.2</v>
      </c>
      <c r="Q95" s="1009">
        <f t="shared" ref="Q95:R95" si="14">+Q91+Q92+Q93+Q94</f>
        <v>176</v>
      </c>
      <c r="R95" s="1009">
        <f t="shared" si="14"/>
        <v>176</v>
      </c>
    </row>
    <row r="96" spans="1:18" s="1" customFormat="1" ht="15.75" customHeight="1" x14ac:dyDescent="0.25">
      <c r="A96" s="10"/>
      <c r="B96" s="11"/>
      <c r="C96" s="72"/>
      <c r="D96" s="1195"/>
      <c r="E96" s="886"/>
      <c r="F96" s="947" t="s">
        <v>277</v>
      </c>
      <c r="G96" s="948">
        <v>20</v>
      </c>
      <c r="H96" s="949">
        <v>20</v>
      </c>
      <c r="I96" s="950">
        <v>20</v>
      </c>
      <c r="J96" s="1185"/>
      <c r="K96" s="874"/>
      <c r="L96" s="876"/>
      <c r="M96" s="377"/>
      <c r="O96" s="1007"/>
      <c r="P96" s="1009">
        <f>+P95-G112</f>
        <v>-182.2</v>
      </c>
      <c r="Q96" s="1009">
        <f t="shared" ref="Q96:R96" si="15">+Q95-H112</f>
        <v>0</v>
      </c>
      <c r="R96" s="1009">
        <f t="shared" si="15"/>
        <v>0</v>
      </c>
    </row>
    <row r="97" spans="1:14" s="1" customFormat="1" ht="14.25" customHeight="1" x14ac:dyDescent="0.25">
      <c r="A97" s="10"/>
      <c r="B97" s="11"/>
      <c r="C97" s="72"/>
      <c r="D97" s="1186" t="s">
        <v>41</v>
      </c>
      <c r="E97" s="886"/>
      <c r="F97" s="980" t="s">
        <v>226</v>
      </c>
      <c r="G97" s="963"/>
      <c r="H97" s="952">
        <v>58</v>
      </c>
      <c r="I97" s="981">
        <v>58</v>
      </c>
      <c r="J97" s="506" t="s">
        <v>84</v>
      </c>
      <c r="K97" s="387">
        <v>23</v>
      </c>
      <c r="L97" s="395">
        <v>23</v>
      </c>
      <c r="M97" s="1054">
        <v>23</v>
      </c>
    </row>
    <row r="98" spans="1:14" s="1" customFormat="1" ht="14.25" customHeight="1" x14ac:dyDescent="0.25">
      <c r="A98" s="10"/>
      <c r="B98" s="11"/>
      <c r="C98" s="72"/>
      <c r="D98" s="1186"/>
      <c r="E98" s="886"/>
      <c r="F98" s="947" t="s">
        <v>275</v>
      </c>
      <c r="G98" s="948">
        <v>58</v>
      </c>
      <c r="H98" s="949"/>
      <c r="I98" s="950"/>
      <c r="J98" s="1075" t="s">
        <v>292</v>
      </c>
      <c r="K98" s="411">
        <v>100</v>
      </c>
      <c r="L98" s="396"/>
      <c r="M98" s="376"/>
    </row>
    <row r="99" spans="1:14" s="1" customFormat="1" ht="27.6" customHeight="1" x14ac:dyDescent="0.25">
      <c r="A99" s="10"/>
      <c r="B99" s="11"/>
      <c r="C99" s="72"/>
      <c r="D99" s="1187" t="s">
        <v>42</v>
      </c>
      <c r="E99" s="886"/>
      <c r="F99" s="954" t="s">
        <v>278</v>
      </c>
      <c r="G99" s="982">
        <v>69</v>
      </c>
      <c r="H99" s="983"/>
      <c r="I99" s="981"/>
      <c r="J99" s="862" t="s">
        <v>85</v>
      </c>
      <c r="K99" s="850">
        <v>3</v>
      </c>
      <c r="L99" s="852">
        <v>3</v>
      </c>
      <c r="M99" s="109">
        <v>3</v>
      </c>
    </row>
    <row r="100" spans="1:14" s="1" customFormat="1" ht="27.6" customHeight="1" x14ac:dyDescent="0.25">
      <c r="A100" s="10"/>
      <c r="B100" s="11"/>
      <c r="C100" s="72"/>
      <c r="D100" s="1188"/>
      <c r="E100" s="886"/>
      <c r="F100" s="984" t="s">
        <v>226</v>
      </c>
      <c r="G100" s="948">
        <v>21</v>
      </c>
      <c r="H100" s="949">
        <v>40</v>
      </c>
      <c r="I100" s="950">
        <v>40</v>
      </c>
      <c r="J100" s="891"/>
      <c r="K100" s="387"/>
      <c r="L100" s="396"/>
      <c r="M100" s="376"/>
    </row>
    <row r="101" spans="1:14" s="1" customFormat="1" ht="56.45" customHeight="1" x14ac:dyDescent="0.25">
      <c r="A101" s="10"/>
      <c r="B101" s="11"/>
      <c r="C101" s="72"/>
      <c r="D101" s="858" t="s">
        <v>108</v>
      </c>
      <c r="E101" s="886"/>
      <c r="F101" s="985" t="s">
        <v>226</v>
      </c>
      <c r="G101" s="944">
        <v>5</v>
      </c>
      <c r="H101" s="983">
        <v>5</v>
      </c>
      <c r="I101" s="950">
        <v>5</v>
      </c>
      <c r="J101" s="879" t="s">
        <v>86</v>
      </c>
      <c r="K101" s="850">
        <v>10</v>
      </c>
      <c r="L101" s="852">
        <v>10</v>
      </c>
      <c r="M101" s="109">
        <v>10</v>
      </c>
    </row>
    <row r="102" spans="1:14" s="1" customFormat="1" ht="27.6" customHeight="1" x14ac:dyDescent="0.25">
      <c r="A102" s="10"/>
      <c r="B102" s="20"/>
      <c r="C102" s="121"/>
      <c r="D102" s="1113" t="s">
        <v>90</v>
      </c>
      <c r="E102" s="682"/>
      <c r="F102" s="986" t="s">
        <v>226</v>
      </c>
      <c r="G102" s="987">
        <f>49.7-41.4</f>
        <v>8.3000000000000043</v>
      </c>
      <c r="H102" s="958">
        <v>8.5</v>
      </c>
      <c r="I102" s="958">
        <v>8.5</v>
      </c>
      <c r="J102" s="461" t="s">
        <v>89</v>
      </c>
      <c r="K102" s="850">
        <v>116</v>
      </c>
      <c r="L102" s="395">
        <v>116</v>
      </c>
      <c r="M102" s="109">
        <v>116</v>
      </c>
    </row>
    <row r="103" spans="1:14" s="1" customFormat="1" ht="27.6" customHeight="1" x14ac:dyDescent="0.25">
      <c r="A103" s="10"/>
      <c r="B103" s="20"/>
      <c r="C103" s="121"/>
      <c r="D103" s="1115"/>
      <c r="E103" s="682"/>
      <c r="F103" s="947" t="s">
        <v>226</v>
      </c>
      <c r="G103" s="948">
        <v>41.4</v>
      </c>
      <c r="H103" s="988"/>
      <c r="I103" s="989"/>
      <c r="J103" s="785" t="s">
        <v>251</v>
      </c>
      <c r="K103" s="411">
        <v>100</v>
      </c>
      <c r="L103" s="876"/>
      <c r="M103" s="167"/>
    </row>
    <row r="104" spans="1:14" s="1" customFormat="1" ht="25.5" customHeight="1" x14ac:dyDescent="0.25">
      <c r="A104" s="10"/>
      <c r="B104" s="11"/>
      <c r="C104" s="121"/>
      <c r="D104" s="1199" t="s">
        <v>43</v>
      </c>
      <c r="E104" s="886"/>
      <c r="F104" s="936" t="s">
        <v>226</v>
      </c>
      <c r="G104" s="990">
        <v>4.5</v>
      </c>
      <c r="H104" s="991">
        <v>4.5</v>
      </c>
      <c r="I104" s="992">
        <v>4.5</v>
      </c>
      <c r="J104" s="862" t="s">
        <v>44</v>
      </c>
      <c r="K104" s="387">
        <v>30</v>
      </c>
      <c r="L104" s="396">
        <v>30</v>
      </c>
      <c r="M104" s="853">
        <v>30</v>
      </c>
    </row>
    <row r="105" spans="1:14" s="1" customFormat="1" ht="15" customHeight="1" x14ac:dyDescent="0.25">
      <c r="A105" s="10"/>
      <c r="B105" s="11"/>
      <c r="C105" s="121"/>
      <c r="D105" s="1200"/>
      <c r="E105" s="886"/>
      <c r="F105" s="947"/>
      <c r="G105" s="993"/>
      <c r="H105" s="993"/>
      <c r="I105" s="993"/>
      <c r="J105" s="483"/>
      <c r="K105" s="874"/>
      <c r="L105" s="876"/>
      <c r="M105" s="377"/>
    </row>
    <row r="106" spans="1:14" s="1" customFormat="1" ht="42" customHeight="1" x14ac:dyDescent="0.25">
      <c r="A106" s="10"/>
      <c r="B106" s="20"/>
      <c r="C106" s="121"/>
      <c r="D106" s="83" t="s">
        <v>45</v>
      </c>
      <c r="E106" s="682"/>
      <c r="F106" s="947" t="s">
        <v>226</v>
      </c>
      <c r="G106" s="967">
        <v>2</v>
      </c>
      <c r="H106" s="967">
        <v>2</v>
      </c>
      <c r="I106" s="967">
        <v>2</v>
      </c>
      <c r="J106" s="899" t="s">
        <v>46</v>
      </c>
      <c r="K106" s="874">
        <v>80</v>
      </c>
      <c r="L106" s="876">
        <v>80</v>
      </c>
      <c r="M106" s="377">
        <v>80</v>
      </c>
    </row>
    <row r="107" spans="1:14" s="1" customFormat="1" ht="28.5" customHeight="1" x14ac:dyDescent="0.25">
      <c r="A107" s="10"/>
      <c r="B107" s="20"/>
      <c r="C107" s="121"/>
      <c r="D107" s="1113" t="s">
        <v>47</v>
      </c>
      <c r="E107" s="886"/>
      <c r="F107" s="940" t="s">
        <v>226</v>
      </c>
      <c r="G107" s="994">
        <v>10</v>
      </c>
      <c r="H107" s="995">
        <v>10</v>
      </c>
      <c r="I107" s="996">
        <v>10</v>
      </c>
      <c r="J107" s="862" t="s">
        <v>187</v>
      </c>
      <c r="K107" s="850">
        <v>3</v>
      </c>
      <c r="L107" s="852">
        <v>3</v>
      </c>
      <c r="M107" s="109">
        <v>3</v>
      </c>
    </row>
    <row r="108" spans="1:14" s="1" customFormat="1" ht="41.45" customHeight="1" x14ac:dyDescent="0.25">
      <c r="A108" s="10"/>
      <c r="B108" s="20"/>
      <c r="C108" s="122"/>
      <c r="D108" s="1115"/>
      <c r="E108" s="886"/>
      <c r="F108" s="985" t="s">
        <v>226</v>
      </c>
      <c r="G108" s="997">
        <v>10</v>
      </c>
      <c r="H108" s="988"/>
      <c r="I108" s="989"/>
      <c r="J108" s="912" t="s">
        <v>252</v>
      </c>
      <c r="K108" s="411">
        <v>1</v>
      </c>
      <c r="L108" s="416"/>
      <c r="M108" s="167"/>
    </row>
    <row r="109" spans="1:14" s="1" customFormat="1" ht="32.1" customHeight="1" x14ac:dyDescent="0.25">
      <c r="A109" s="10"/>
      <c r="B109" s="20"/>
      <c r="C109" s="122"/>
      <c r="D109" s="880" t="s">
        <v>48</v>
      </c>
      <c r="E109" s="682"/>
      <c r="F109" s="998" t="s">
        <v>226</v>
      </c>
      <c r="G109" s="999">
        <v>25</v>
      </c>
      <c r="H109" s="958"/>
      <c r="I109" s="1000"/>
      <c r="J109" s="913" t="s">
        <v>235</v>
      </c>
      <c r="K109" s="815">
        <v>100</v>
      </c>
      <c r="L109" s="437"/>
      <c r="M109" s="914"/>
    </row>
    <row r="110" spans="1:14" s="1" customFormat="1" ht="21" customHeight="1" x14ac:dyDescent="0.25">
      <c r="A110" s="10"/>
      <c r="B110" s="11"/>
      <c r="C110" s="121"/>
      <c r="D110" s="1196" t="s">
        <v>128</v>
      </c>
      <c r="E110" s="169" t="s">
        <v>126</v>
      </c>
      <c r="F110" s="1001"/>
      <c r="G110" s="1002"/>
      <c r="H110" s="1002"/>
      <c r="I110" s="1002"/>
      <c r="J110" s="916" t="s">
        <v>230</v>
      </c>
      <c r="K110" s="850">
        <v>14</v>
      </c>
      <c r="L110" s="852">
        <v>11</v>
      </c>
      <c r="M110" s="853">
        <v>9</v>
      </c>
    </row>
    <row r="111" spans="1:14" s="1" customFormat="1" ht="21" customHeight="1" x14ac:dyDescent="0.25">
      <c r="A111" s="10"/>
      <c r="B111" s="11"/>
      <c r="C111" s="121"/>
      <c r="D111" s="1113"/>
      <c r="E111" s="244" t="s">
        <v>216</v>
      </c>
      <c r="F111" s="205"/>
      <c r="G111" s="993"/>
      <c r="H111" s="993"/>
      <c r="I111" s="1003"/>
      <c r="J111" s="917"/>
      <c r="K111" s="915"/>
      <c r="L111" s="292"/>
      <c r="M111" s="1070"/>
      <c r="N111" s="256"/>
    </row>
    <row r="112" spans="1:14" s="1" customFormat="1" ht="16.5" customHeight="1" thickBot="1" x14ac:dyDescent="0.3">
      <c r="A112" s="865"/>
      <c r="B112" s="68"/>
      <c r="C112" s="119"/>
      <c r="D112" s="220"/>
      <c r="E112" s="671"/>
      <c r="F112" s="206" t="s">
        <v>31</v>
      </c>
      <c r="G112" s="193">
        <f>+G91+G92+G93+G94</f>
        <v>484.4</v>
      </c>
      <c r="H112" s="147">
        <f>+H91+H92+H93+H94</f>
        <v>176</v>
      </c>
      <c r="I112" s="294">
        <f>+I91+I92+I93+I94</f>
        <v>176</v>
      </c>
      <c r="J112" s="467"/>
      <c r="K112" s="388"/>
      <c r="L112" s="397"/>
      <c r="M112" s="431"/>
    </row>
    <row r="113" spans="1:14" s="1" customFormat="1" ht="15.95" customHeight="1" x14ac:dyDescent="0.25">
      <c r="A113" s="1168" t="s">
        <v>7</v>
      </c>
      <c r="B113" s="1192" t="s">
        <v>7</v>
      </c>
      <c r="C113" s="1172" t="s">
        <v>23</v>
      </c>
      <c r="D113" s="1174" t="s">
        <v>49</v>
      </c>
      <c r="E113" s="1197" t="s">
        <v>216</v>
      </c>
      <c r="F113" s="918" t="s">
        <v>10</v>
      </c>
      <c r="G113" s="921">
        <f>10+50</f>
        <v>60</v>
      </c>
      <c r="H113" s="608">
        <v>10</v>
      </c>
      <c r="I113" s="924">
        <v>10</v>
      </c>
      <c r="J113" s="481" t="s">
        <v>223</v>
      </c>
      <c r="K113" s="389">
        <v>14</v>
      </c>
      <c r="L113" s="398">
        <v>3</v>
      </c>
      <c r="M113" s="925">
        <v>3</v>
      </c>
    </row>
    <row r="114" spans="1:14" s="1" customFormat="1" ht="29.1" customHeight="1" x14ac:dyDescent="0.25">
      <c r="A114" s="1135"/>
      <c r="B114" s="1183"/>
      <c r="C114" s="1157"/>
      <c r="D114" s="1114"/>
      <c r="E114" s="1198"/>
      <c r="F114" s="39" t="s">
        <v>83</v>
      </c>
      <c r="G114" s="263">
        <v>3</v>
      </c>
      <c r="H114" s="127"/>
      <c r="I114" s="691"/>
      <c r="J114" s="1079"/>
      <c r="K114" s="1080"/>
      <c r="L114" s="1078"/>
      <c r="M114" s="632"/>
    </row>
    <row r="115" spans="1:14" s="1" customFormat="1" ht="16.5" customHeight="1" thickBot="1" x14ac:dyDescent="0.3">
      <c r="A115" s="1169"/>
      <c r="B115" s="1184"/>
      <c r="C115" s="1157"/>
      <c r="D115" s="885"/>
      <c r="E115" s="919"/>
      <c r="F115" s="148" t="s">
        <v>31</v>
      </c>
      <c r="G115" s="920">
        <f>SUM(G113:G114)</f>
        <v>63</v>
      </c>
      <c r="H115" s="922">
        <f>SUM(H113:H114)</f>
        <v>10</v>
      </c>
      <c r="I115" s="923">
        <f>SUM(I113:I114)</f>
        <v>10</v>
      </c>
      <c r="J115" s="482"/>
      <c r="K115" s="850"/>
      <c r="L115" s="399"/>
      <c r="M115" s="109"/>
    </row>
    <row r="116" spans="1:14" s="22" customFormat="1" ht="15.6" customHeight="1" x14ac:dyDescent="0.25">
      <c r="A116" s="1168" t="s">
        <v>7</v>
      </c>
      <c r="B116" s="1192" t="s">
        <v>7</v>
      </c>
      <c r="C116" s="1214" t="s">
        <v>26</v>
      </c>
      <c r="D116" s="1216" t="s">
        <v>120</v>
      </c>
      <c r="E116" s="878" t="s">
        <v>216</v>
      </c>
      <c r="F116" s="918" t="s">
        <v>11</v>
      </c>
      <c r="G116" s="921">
        <v>5.2</v>
      </c>
      <c r="H116" s="826">
        <v>5.4</v>
      </c>
      <c r="I116" s="924">
        <v>5.4</v>
      </c>
      <c r="J116" s="1152" t="s">
        <v>70</v>
      </c>
      <c r="K116" s="389">
        <v>1</v>
      </c>
      <c r="L116" s="396">
        <v>1</v>
      </c>
      <c r="M116" s="925">
        <v>1</v>
      </c>
      <c r="N116" s="3"/>
    </row>
    <row r="117" spans="1:14" s="22" customFormat="1" ht="15.6" customHeight="1" x14ac:dyDescent="0.25">
      <c r="A117" s="1135"/>
      <c r="B117" s="1183"/>
      <c r="C117" s="1157"/>
      <c r="D117" s="1217"/>
      <c r="E117" s="684"/>
      <c r="F117" s="39"/>
      <c r="G117" s="252"/>
      <c r="H117" s="162"/>
      <c r="I117" s="162"/>
      <c r="J117" s="1218"/>
      <c r="K117" s="387"/>
      <c r="L117" s="396"/>
      <c r="M117" s="376"/>
    </row>
    <row r="118" spans="1:14" s="22" customFormat="1" ht="15.95" customHeight="1" thickBot="1" x14ac:dyDescent="0.3">
      <c r="A118" s="1169"/>
      <c r="B118" s="1184"/>
      <c r="C118" s="1215"/>
      <c r="D118" s="234"/>
      <c r="E118" s="685"/>
      <c r="F118" s="149" t="s">
        <v>31</v>
      </c>
      <c r="G118" s="147">
        <f t="shared" ref="G118:I118" si="16">SUM(G116:G116)</f>
        <v>5.2</v>
      </c>
      <c r="H118" s="150">
        <f t="shared" si="16"/>
        <v>5.4</v>
      </c>
      <c r="I118" s="150">
        <f t="shared" si="16"/>
        <v>5.4</v>
      </c>
      <c r="J118" s="468"/>
      <c r="K118" s="390"/>
      <c r="L118" s="399"/>
      <c r="M118" s="380"/>
    </row>
    <row r="119" spans="1:14" s="1" customFormat="1" ht="15" customHeight="1" thickBot="1" x14ac:dyDescent="0.3">
      <c r="A119" s="865" t="s">
        <v>7</v>
      </c>
      <c r="B119" s="872" t="s">
        <v>7</v>
      </c>
      <c r="C119" s="1205" t="s">
        <v>50</v>
      </c>
      <c r="D119" s="1206"/>
      <c r="E119" s="1206"/>
      <c r="F119" s="1207"/>
      <c r="G119" s="268">
        <f>G118+G115+G112+G90+G87+G85+G73+G71+G69</f>
        <v>18119.5</v>
      </c>
      <c r="H119" s="255">
        <f>H118+H115+H112+H90+H87+H85+H73+H71+H69</f>
        <v>17892.599999999999</v>
      </c>
      <c r="I119" s="301">
        <f>I118+I115+I112+I90+I87+I85+I73+I71+I69</f>
        <v>18449.7</v>
      </c>
      <c r="J119" s="1208"/>
      <c r="K119" s="1209"/>
      <c r="L119" s="1209"/>
      <c r="M119" s="1210"/>
    </row>
    <row r="120" spans="1:14" s="1" customFormat="1" ht="17.25" customHeight="1" thickBot="1" x14ac:dyDescent="0.3">
      <c r="A120" s="23" t="s">
        <v>7</v>
      </c>
      <c r="B120" s="24" t="s">
        <v>12</v>
      </c>
      <c r="C120" s="1211" t="s">
        <v>51</v>
      </c>
      <c r="D120" s="1212"/>
      <c r="E120" s="1212"/>
      <c r="F120" s="1212"/>
      <c r="G120" s="1212"/>
      <c r="H120" s="1212"/>
      <c r="I120" s="1212"/>
      <c r="J120" s="1212"/>
      <c r="K120" s="1212"/>
      <c r="L120" s="1212"/>
      <c r="M120" s="1213"/>
    </row>
    <row r="121" spans="1:14" s="1" customFormat="1" ht="17.100000000000001" customHeight="1" x14ac:dyDescent="0.25">
      <c r="A121" s="855" t="s">
        <v>7</v>
      </c>
      <c r="B121" s="871" t="s">
        <v>12</v>
      </c>
      <c r="C121" s="857" t="s">
        <v>7</v>
      </c>
      <c r="D121" s="1114" t="s">
        <v>78</v>
      </c>
      <c r="E121" s="244" t="s">
        <v>216</v>
      </c>
      <c r="F121" s="860" t="s">
        <v>10</v>
      </c>
      <c r="G121" s="929">
        <f>839.7-105+46.1-150</f>
        <v>630.80000000000007</v>
      </c>
      <c r="H121" s="524">
        <f>606.2-45+60</f>
        <v>621.20000000000005</v>
      </c>
      <c r="I121" s="253">
        <f>606.2-75</f>
        <v>531.20000000000005</v>
      </c>
      <c r="J121" s="900" t="s">
        <v>72</v>
      </c>
      <c r="K121" s="926">
        <v>432</v>
      </c>
      <c r="L121" s="374">
        <v>432</v>
      </c>
      <c r="M121" s="370">
        <v>432</v>
      </c>
    </row>
    <row r="122" spans="1:14" s="1" customFormat="1" ht="17.100000000000001" customHeight="1" x14ac:dyDescent="0.25">
      <c r="A122" s="855"/>
      <c r="B122" s="871"/>
      <c r="C122" s="857"/>
      <c r="D122" s="1114"/>
      <c r="E122" s="170"/>
      <c r="F122" s="39" t="s">
        <v>83</v>
      </c>
      <c r="G122" s="263">
        <v>150</v>
      </c>
      <c r="H122" s="127"/>
      <c r="I122" s="691"/>
      <c r="J122" s="913" t="s">
        <v>96</v>
      </c>
      <c r="K122" s="894">
        <v>514</v>
      </c>
      <c r="L122" s="894">
        <v>514</v>
      </c>
      <c r="M122" s="895">
        <v>514</v>
      </c>
    </row>
    <row r="123" spans="1:14" s="1" customFormat="1" ht="17.100000000000001" customHeight="1" x14ac:dyDescent="0.25">
      <c r="A123" s="855"/>
      <c r="B123" s="871"/>
      <c r="C123" s="857"/>
      <c r="D123" s="1114"/>
      <c r="E123" s="170"/>
      <c r="F123" s="928"/>
      <c r="G123" s="263"/>
      <c r="H123" s="127"/>
      <c r="I123" s="691"/>
      <c r="J123" s="475" t="s">
        <v>73</v>
      </c>
      <c r="K123" s="375">
        <v>51</v>
      </c>
      <c r="L123" s="375">
        <v>50</v>
      </c>
      <c r="M123" s="371">
        <v>50</v>
      </c>
    </row>
    <row r="124" spans="1:14" s="1" customFormat="1" ht="17.100000000000001" customHeight="1" x14ac:dyDescent="0.25">
      <c r="A124" s="855"/>
      <c r="B124" s="871"/>
      <c r="C124" s="857"/>
      <c r="D124" s="1114"/>
      <c r="E124" s="170"/>
      <c r="F124" s="860"/>
      <c r="G124" s="131"/>
      <c r="H124" s="131"/>
      <c r="I124" s="242"/>
      <c r="J124" s="475" t="s">
        <v>71</v>
      </c>
      <c r="K124" s="375">
        <v>5</v>
      </c>
      <c r="L124" s="375">
        <v>5</v>
      </c>
      <c r="M124" s="371">
        <v>5</v>
      </c>
    </row>
    <row r="125" spans="1:14" s="1" customFormat="1" ht="17.100000000000001" customHeight="1" x14ac:dyDescent="0.25">
      <c r="A125" s="855"/>
      <c r="B125" s="871"/>
      <c r="C125" s="857"/>
      <c r="D125" s="881"/>
      <c r="E125" s="170"/>
      <c r="F125" s="1032"/>
      <c r="G125" s="131"/>
      <c r="H125" s="131"/>
      <c r="I125" s="242"/>
      <c r="J125" s="889" t="s">
        <v>87</v>
      </c>
      <c r="K125" s="374">
        <v>1</v>
      </c>
      <c r="L125" s="374"/>
      <c r="M125" s="370"/>
    </row>
    <row r="126" spans="1:14" s="1" customFormat="1" ht="17.100000000000001" customHeight="1" x14ac:dyDescent="0.25">
      <c r="A126" s="855"/>
      <c r="B126" s="871"/>
      <c r="C126" s="857"/>
      <c r="D126" s="881"/>
      <c r="E126" s="170"/>
      <c r="F126" s="1032"/>
      <c r="G126" s="131"/>
      <c r="H126" s="131"/>
      <c r="I126" s="242"/>
      <c r="J126" s="475" t="s">
        <v>88</v>
      </c>
      <c r="K126" s="375">
        <v>15</v>
      </c>
      <c r="L126" s="375">
        <v>15</v>
      </c>
      <c r="M126" s="371">
        <v>15</v>
      </c>
    </row>
    <row r="127" spans="1:14" s="1" customFormat="1" ht="17.100000000000001" customHeight="1" x14ac:dyDescent="0.25">
      <c r="A127" s="855"/>
      <c r="B127" s="871"/>
      <c r="C127" s="857"/>
      <c r="D127" s="893"/>
      <c r="E127" s="160"/>
      <c r="F127" s="860"/>
      <c r="G127" s="263"/>
      <c r="H127" s="127"/>
      <c r="I127" s="691"/>
      <c r="J127" s="913" t="s">
        <v>233</v>
      </c>
      <c r="K127" s="838">
        <v>2</v>
      </c>
      <c r="L127" s="711">
        <v>1</v>
      </c>
      <c r="M127" s="368"/>
    </row>
    <row r="128" spans="1:14" s="1" customFormat="1" ht="29.1" customHeight="1" x14ac:dyDescent="0.25">
      <c r="A128" s="1064"/>
      <c r="B128" s="1065"/>
      <c r="C128" s="1066"/>
      <c r="D128" s="1067"/>
      <c r="E128" s="160"/>
      <c r="F128" s="1068"/>
      <c r="G128" s="263"/>
      <c r="H128" s="127"/>
      <c r="I128" s="691"/>
      <c r="J128" s="913" t="s">
        <v>293</v>
      </c>
      <c r="K128" s="550"/>
      <c r="L128" s="524">
        <v>1</v>
      </c>
      <c r="M128" s="931"/>
    </row>
    <row r="129" spans="1:18" s="1" customFormat="1" ht="33" customHeight="1" x14ac:dyDescent="0.25">
      <c r="A129" s="1064"/>
      <c r="B129" s="1065"/>
      <c r="C129" s="1066"/>
      <c r="D129" s="1067"/>
      <c r="E129" s="160"/>
      <c r="F129" s="1068"/>
      <c r="G129" s="263"/>
      <c r="H129" s="127"/>
      <c r="I129" s="329"/>
      <c r="J129" s="486" t="s">
        <v>295</v>
      </c>
      <c r="K129" s="253">
        <v>1</v>
      </c>
      <c r="L129" s="551">
        <v>3</v>
      </c>
      <c r="M129" s="1069">
        <v>5</v>
      </c>
    </row>
    <row r="130" spans="1:18" s="1" customFormat="1" ht="15" customHeight="1" x14ac:dyDescent="0.25">
      <c r="A130" s="855"/>
      <c r="B130" s="871"/>
      <c r="C130" s="857"/>
      <c r="D130" s="1219" t="s">
        <v>185</v>
      </c>
      <c r="E130" s="714" t="s">
        <v>126</v>
      </c>
      <c r="F130" s="861" t="s">
        <v>10</v>
      </c>
      <c r="G130" s="262">
        <f>110-28.9-46.1</f>
        <v>34.999999999999993</v>
      </c>
      <c r="H130" s="128">
        <v>29.5</v>
      </c>
      <c r="I130" s="242">
        <v>29.5</v>
      </c>
      <c r="J130" s="1071" t="s">
        <v>240</v>
      </c>
      <c r="K130" s="846">
        <v>1</v>
      </c>
      <c r="L130" s="267"/>
      <c r="M130" s="787"/>
    </row>
    <row r="131" spans="1:18" s="1" customFormat="1" ht="15" customHeight="1" x14ac:dyDescent="0.25">
      <c r="A131" s="855"/>
      <c r="B131" s="871"/>
      <c r="C131" s="857"/>
      <c r="D131" s="1220"/>
      <c r="E131" s="715" t="s">
        <v>218</v>
      </c>
      <c r="F131" s="860"/>
      <c r="G131" s="131"/>
      <c r="H131" s="127"/>
      <c r="I131" s="242"/>
      <c r="J131" s="913" t="s">
        <v>257</v>
      </c>
      <c r="K131" s="930"/>
      <c r="L131" s="547">
        <v>15</v>
      </c>
      <c r="M131" s="931">
        <v>15</v>
      </c>
      <c r="O131" s="3"/>
    </row>
    <row r="132" spans="1:18" s="1" customFormat="1" ht="15" customHeight="1" x14ac:dyDescent="0.25">
      <c r="A132" s="1040"/>
      <c r="B132" s="1041"/>
      <c r="C132" s="1043"/>
      <c r="D132" s="1042"/>
      <c r="E132" s="1061" t="s">
        <v>133</v>
      </c>
      <c r="F132" s="1050"/>
      <c r="G132" s="265"/>
      <c r="H132" s="129"/>
      <c r="I132" s="242"/>
      <c r="J132" s="367"/>
      <c r="K132" s="1051"/>
      <c r="L132" s="524"/>
      <c r="M132" s="1058"/>
      <c r="O132" s="3"/>
    </row>
    <row r="133" spans="1:18" s="1" customFormat="1" ht="27.95" customHeight="1" x14ac:dyDescent="0.25">
      <c r="A133" s="1040"/>
      <c r="B133" s="1041"/>
      <c r="C133" s="1043"/>
      <c r="D133" s="1077" t="s">
        <v>290</v>
      </c>
      <c r="E133" s="715" t="s">
        <v>218</v>
      </c>
      <c r="F133" s="1049"/>
      <c r="G133" s="131"/>
      <c r="H133" s="127"/>
      <c r="I133" s="1060"/>
      <c r="J133" s="1076" t="s">
        <v>289</v>
      </c>
      <c r="K133" s="1059">
        <v>20</v>
      </c>
      <c r="L133" s="824"/>
      <c r="M133" s="1058"/>
      <c r="O133" s="3"/>
    </row>
    <row r="134" spans="1:18" s="1" customFormat="1" ht="18" customHeight="1" thickBot="1" x14ac:dyDescent="0.3">
      <c r="A134" s="865"/>
      <c r="B134" s="872"/>
      <c r="C134" s="171"/>
      <c r="D134" s="237"/>
      <c r="E134" s="1062"/>
      <c r="F134" s="181" t="s">
        <v>31</v>
      </c>
      <c r="G134" s="137">
        <f>SUM(G121:G131)</f>
        <v>815.80000000000007</v>
      </c>
      <c r="H134" s="269">
        <f>SUM(H121:H131)</f>
        <v>650.70000000000005</v>
      </c>
      <c r="I134" s="69">
        <f>SUM(I121:I131)</f>
        <v>560.70000000000005</v>
      </c>
      <c r="J134" s="891"/>
      <c r="K134" s="848"/>
      <c r="L134" s="1057"/>
      <c r="M134" s="831"/>
    </row>
    <row r="135" spans="1:18" s="1" customFormat="1" ht="15" customHeight="1" thickBot="1" x14ac:dyDescent="0.3">
      <c r="A135" s="865" t="s">
        <v>7</v>
      </c>
      <c r="B135" s="872" t="s">
        <v>12</v>
      </c>
      <c r="C135" s="1205" t="s">
        <v>50</v>
      </c>
      <c r="D135" s="1206"/>
      <c r="E135" s="1206"/>
      <c r="F135" s="1206"/>
      <c r="G135" s="268">
        <f>G134</f>
        <v>815.80000000000007</v>
      </c>
      <c r="H135" s="270">
        <f t="shared" ref="H135:I135" si="17">H134</f>
        <v>650.70000000000005</v>
      </c>
      <c r="I135" s="255">
        <f t="shared" si="17"/>
        <v>560.70000000000005</v>
      </c>
      <c r="J135" s="1208"/>
      <c r="K135" s="1209"/>
      <c r="L135" s="1209"/>
      <c r="M135" s="1210"/>
    </row>
    <row r="136" spans="1:18" s="1" customFormat="1" ht="17.25" customHeight="1" thickBot="1" x14ac:dyDescent="0.3">
      <c r="A136" s="23" t="s">
        <v>7</v>
      </c>
      <c r="B136" s="24" t="s">
        <v>15</v>
      </c>
      <c r="C136" s="1211" t="s">
        <v>92</v>
      </c>
      <c r="D136" s="1212"/>
      <c r="E136" s="1212"/>
      <c r="F136" s="1212"/>
      <c r="G136" s="1212"/>
      <c r="H136" s="1212"/>
      <c r="I136" s="1212"/>
      <c r="J136" s="1212"/>
      <c r="K136" s="1212"/>
      <c r="L136" s="1212"/>
      <c r="M136" s="1213"/>
      <c r="N136" s="256"/>
    </row>
    <row r="137" spans="1:18" s="1" customFormat="1" ht="27" customHeight="1" x14ac:dyDescent="0.25">
      <c r="A137" s="102" t="s">
        <v>7</v>
      </c>
      <c r="B137" s="103" t="s">
        <v>15</v>
      </c>
      <c r="C137" s="94" t="s">
        <v>7</v>
      </c>
      <c r="D137" s="28" t="s">
        <v>280</v>
      </c>
      <c r="E137" s="76"/>
      <c r="F137" s="61" t="s">
        <v>10</v>
      </c>
      <c r="G137" s="1004">
        <v>52.5</v>
      </c>
      <c r="H137" s="287">
        <v>90</v>
      </c>
      <c r="I137" s="1004">
        <v>85</v>
      </c>
      <c r="J137" s="493"/>
      <c r="K137" s="421"/>
      <c r="L137" s="424"/>
      <c r="M137" s="418"/>
      <c r="O137" s="1007" t="s">
        <v>10</v>
      </c>
      <c r="P137" s="1009">
        <f>+G138+G141+G143</f>
        <v>52.5</v>
      </c>
      <c r="Q137" s="1009">
        <f t="shared" ref="Q137:R137" si="18">+H138+H141+H143</f>
        <v>90</v>
      </c>
      <c r="R137" s="1009">
        <f t="shared" si="18"/>
        <v>85</v>
      </c>
    </row>
    <row r="138" spans="1:18" s="3" customFormat="1" ht="14.45" customHeight="1" x14ac:dyDescent="0.25">
      <c r="A138" s="1201"/>
      <c r="B138" s="1203"/>
      <c r="C138" s="1137"/>
      <c r="D138" s="1219" t="s">
        <v>264</v>
      </c>
      <c r="E138" s="99" t="s">
        <v>126</v>
      </c>
      <c r="F138" s="954" t="s">
        <v>226</v>
      </c>
      <c r="G138" s="1005">
        <v>1</v>
      </c>
      <c r="H138" s="952">
        <v>6</v>
      </c>
      <c r="I138" s="955">
        <v>1</v>
      </c>
      <c r="J138" s="494" t="s">
        <v>163</v>
      </c>
      <c r="K138" s="512">
        <v>1</v>
      </c>
      <c r="L138" s="518">
        <v>1</v>
      </c>
      <c r="M138" s="490">
        <v>1</v>
      </c>
      <c r="O138" s="1010"/>
      <c r="P138" s="1011">
        <f>+P137-G148</f>
        <v>0</v>
      </c>
      <c r="Q138" s="1011">
        <f t="shared" ref="Q138:R138" si="19">+Q137-H148</f>
        <v>0</v>
      </c>
      <c r="R138" s="1011">
        <f t="shared" si="19"/>
        <v>0</v>
      </c>
    </row>
    <row r="139" spans="1:18" s="3" customFormat="1" ht="14.45" customHeight="1" x14ac:dyDescent="0.25">
      <c r="A139" s="1201"/>
      <c r="B139" s="1203"/>
      <c r="C139" s="1137"/>
      <c r="D139" s="1220"/>
      <c r="E139" s="662" t="s">
        <v>216</v>
      </c>
      <c r="F139" s="956"/>
      <c r="G139" s="944"/>
      <c r="H139" s="945"/>
      <c r="I139" s="946"/>
      <c r="J139" s="1225" t="s">
        <v>164</v>
      </c>
      <c r="K139" s="807"/>
      <c r="L139" s="808">
        <v>1</v>
      </c>
      <c r="M139" s="806"/>
    </row>
    <row r="140" spans="1:18" s="3" customFormat="1" ht="14.45" customHeight="1" x14ac:dyDescent="0.25">
      <c r="A140" s="1201"/>
      <c r="B140" s="1203"/>
      <c r="C140" s="1137"/>
      <c r="D140" s="1178"/>
      <c r="E140" s="663" t="s">
        <v>115</v>
      </c>
      <c r="F140" s="984"/>
      <c r="G140" s="967"/>
      <c r="H140" s="949"/>
      <c r="I140" s="949"/>
      <c r="J140" s="1226"/>
      <c r="K140" s="638"/>
      <c r="L140" s="639"/>
      <c r="M140" s="789"/>
    </row>
    <row r="141" spans="1:18" s="3" customFormat="1" ht="14.45" customHeight="1" x14ac:dyDescent="0.25">
      <c r="A141" s="1201"/>
      <c r="B141" s="1203"/>
      <c r="C141" s="1137"/>
      <c r="D141" s="1219" t="s">
        <v>265</v>
      </c>
      <c r="E141" s="716" t="s">
        <v>218</v>
      </c>
      <c r="F141" s="956" t="s">
        <v>226</v>
      </c>
      <c r="G141" s="963">
        <v>49</v>
      </c>
      <c r="H141" s="952">
        <v>84</v>
      </c>
      <c r="I141" s="945">
        <v>84</v>
      </c>
      <c r="J141" s="1222" t="s">
        <v>258</v>
      </c>
      <c r="K141" s="651">
        <v>1</v>
      </c>
      <c r="L141" s="650">
        <v>1</v>
      </c>
      <c r="M141" s="641">
        <v>1</v>
      </c>
    </row>
    <row r="142" spans="1:18" s="3" customFormat="1" ht="26.45" customHeight="1" x14ac:dyDescent="0.25">
      <c r="A142" s="1201"/>
      <c r="B142" s="1203"/>
      <c r="C142" s="1137"/>
      <c r="D142" s="1220"/>
      <c r="E142" s="717"/>
      <c r="F142" s="956"/>
      <c r="G142" s="944"/>
      <c r="H142" s="945"/>
      <c r="I142" s="945"/>
      <c r="J142" s="1223"/>
      <c r="K142" s="653"/>
      <c r="L142" s="654"/>
      <c r="M142" s="655"/>
    </row>
    <row r="143" spans="1:18" s="3" customFormat="1" ht="18.95" customHeight="1" x14ac:dyDescent="0.25">
      <c r="A143" s="1201"/>
      <c r="B143" s="1203"/>
      <c r="C143" s="1137"/>
      <c r="D143" s="1221"/>
      <c r="E143" s="717"/>
      <c r="F143" s="984" t="s">
        <v>226</v>
      </c>
      <c r="G143" s="963">
        <v>2.5</v>
      </c>
      <c r="H143" s="945"/>
      <c r="I143" s="950"/>
      <c r="J143" s="658" t="s">
        <v>232</v>
      </c>
      <c r="K143" s="651">
        <v>1</v>
      </c>
      <c r="L143" s="650"/>
      <c r="M143" s="640"/>
    </row>
    <row r="144" spans="1:18" s="3" customFormat="1" ht="28.7" customHeight="1" x14ac:dyDescent="0.25">
      <c r="A144" s="1201"/>
      <c r="B144" s="1203"/>
      <c r="C144" s="1137"/>
      <c r="D144" s="1219" t="s">
        <v>184</v>
      </c>
      <c r="E144" s="635" t="s">
        <v>216</v>
      </c>
      <c r="F144" s="954"/>
      <c r="G144" s="951"/>
      <c r="H144" s="952"/>
      <c r="I144" s="952"/>
      <c r="J144" s="465" t="s">
        <v>229</v>
      </c>
      <c r="K144" s="514">
        <v>40</v>
      </c>
      <c r="L144" s="520">
        <v>60</v>
      </c>
      <c r="M144" s="641">
        <v>80</v>
      </c>
    </row>
    <row r="145" spans="1:18" s="3" customFormat="1" ht="27.6" customHeight="1" x14ac:dyDescent="0.25">
      <c r="A145" s="1201"/>
      <c r="B145" s="1203"/>
      <c r="C145" s="1137"/>
      <c r="D145" s="1221"/>
      <c r="E145" s="634"/>
      <c r="F145" s="984"/>
      <c r="G145" s="963"/>
      <c r="H145" s="945"/>
      <c r="I145" s="950"/>
      <c r="J145" s="365"/>
      <c r="K145" s="638"/>
      <c r="L145" s="639"/>
      <c r="M145" s="640"/>
    </row>
    <row r="146" spans="1:18" s="3" customFormat="1" ht="15.75" customHeight="1" x14ac:dyDescent="0.25">
      <c r="A146" s="1201"/>
      <c r="B146" s="1203"/>
      <c r="C146" s="1137"/>
      <c r="D146" s="1160" t="s">
        <v>183</v>
      </c>
      <c r="E146" s="100" t="s">
        <v>216</v>
      </c>
      <c r="F146" s="1224"/>
      <c r="G146" s="958"/>
      <c r="H146" s="952"/>
      <c r="I146" s="952"/>
      <c r="J146" s="465" t="s">
        <v>182</v>
      </c>
      <c r="K146" s="521">
        <v>1</v>
      </c>
      <c r="L146" s="520"/>
      <c r="M146" s="492"/>
    </row>
    <row r="147" spans="1:18" s="3" customFormat="1" ht="17.45" customHeight="1" x14ac:dyDescent="0.25">
      <c r="A147" s="1201"/>
      <c r="B147" s="1203"/>
      <c r="C147" s="1137"/>
      <c r="D147" s="1162"/>
      <c r="E147" s="243"/>
      <c r="F147" s="1224"/>
      <c r="G147" s="967"/>
      <c r="H147" s="949"/>
      <c r="I147" s="949"/>
      <c r="J147" s="364"/>
      <c r="K147" s="657"/>
      <c r="L147" s="518"/>
      <c r="M147" s="490"/>
    </row>
    <row r="148" spans="1:18" s="22" customFormat="1" ht="17.25" customHeight="1" thickBot="1" x14ac:dyDescent="0.3">
      <c r="A148" s="1202"/>
      <c r="B148" s="1204"/>
      <c r="C148" s="1137"/>
      <c r="D148" s="237"/>
      <c r="E148" s="239"/>
      <c r="F148" s="152" t="s">
        <v>31</v>
      </c>
      <c r="G148" s="137">
        <f>+G137</f>
        <v>52.5</v>
      </c>
      <c r="H148" s="137">
        <f>+H137</f>
        <v>90</v>
      </c>
      <c r="I148" s="65">
        <f>+I137</f>
        <v>85</v>
      </c>
      <c r="J148" s="467"/>
      <c r="K148" s="388"/>
      <c r="L148" s="397"/>
      <c r="M148" s="378"/>
      <c r="N148" s="703"/>
      <c r="O148" s="704"/>
      <c r="P148" s="704"/>
      <c r="Q148" s="704"/>
    </row>
    <row r="149" spans="1:18" s="1" customFormat="1" ht="15.75" customHeight="1" thickBot="1" x14ac:dyDescent="0.3">
      <c r="A149" s="865" t="s">
        <v>7</v>
      </c>
      <c r="B149" s="896" t="s">
        <v>15</v>
      </c>
      <c r="C149" s="1231" t="s">
        <v>50</v>
      </c>
      <c r="D149" s="1232"/>
      <c r="E149" s="1232"/>
      <c r="F149" s="1233"/>
      <c r="G149" s="255">
        <f t="shared" ref="G149:I149" si="20">G148</f>
        <v>52.5</v>
      </c>
      <c r="H149" s="138">
        <f t="shared" si="20"/>
        <v>90</v>
      </c>
      <c r="I149" s="138">
        <f t="shared" si="20"/>
        <v>85</v>
      </c>
      <c r="J149" s="1234"/>
      <c r="K149" s="1235"/>
      <c r="L149" s="1235"/>
      <c r="M149" s="1236"/>
      <c r="N149" s="703"/>
      <c r="O149" s="704"/>
      <c r="P149" s="704"/>
      <c r="Q149" s="704"/>
    </row>
    <row r="150" spans="1:18" s="1" customFormat="1" ht="16.5" customHeight="1" thickBot="1" x14ac:dyDescent="0.3">
      <c r="A150" s="23" t="s">
        <v>7</v>
      </c>
      <c r="B150" s="59" t="s">
        <v>16</v>
      </c>
      <c r="C150" s="1237" t="s">
        <v>52</v>
      </c>
      <c r="D150" s="1238"/>
      <c r="E150" s="1238"/>
      <c r="F150" s="1238"/>
      <c r="G150" s="1238"/>
      <c r="H150" s="1238"/>
      <c r="I150" s="1238"/>
      <c r="J150" s="1238"/>
      <c r="K150" s="1239"/>
      <c r="L150" s="1239"/>
      <c r="M150" s="1240"/>
      <c r="N150" s="703"/>
      <c r="O150" s="704"/>
      <c r="P150" s="704"/>
      <c r="Q150" s="704"/>
    </row>
    <row r="151" spans="1:18" s="1" customFormat="1" ht="40.700000000000003" customHeight="1" x14ac:dyDescent="0.25">
      <c r="A151" s="867" t="s">
        <v>7</v>
      </c>
      <c r="B151" s="103" t="s">
        <v>16</v>
      </c>
      <c r="C151" s="868" t="s">
        <v>7</v>
      </c>
      <c r="D151" s="28" t="s">
        <v>53</v>
      </c>
      <c r="E151" s="591"/>
      <c r="F151" s="188" t="s">
        <v>10</v>
      </c>
      <c r="G151" s="1006">
        <f>49+1.7</f>
        <v>50.7</v>
      </c>
      <c r="H151" s="1006">
        <f>136+90</f>
        <v>226</v>
      </c>
      <c r="I151" s="1006">
        <v>36</v>
      </c>
      <c r="J151" s="502"/>
      <c r="K151" s="421"/>
      <c r="L151" s="424"/>
      <c r="M151" s="418"/>
      <c r="O151" s="1007" t="s">
        <v>10</v>
      </c>
      <c r="P151" s="1008">
        <f>+G152+G153+G155</f>
        <v>49</v>
      </c>
      <c r="Q151" s="1008">
        <f>+H152+H153+H155+H154</f>
        <v>136</v>
      </c>
      <c r="R151" s="1008">
        <f>+I152+I153+I155+I154</f>
        <v>36</v>
      </c>
    </row>
    <row r="152" spans="1:18" s="1" customFormat="1" ht="30" customHeight="1" x14ac:dyDescent="0.25">
      <c r="A152" s="855"/>
      <c r="B152" s="871"/>
      <c r="C152" s="866"/>
      <c r="D152" s="858" t="s">
        <v>103</v>
      </c>
      <c r="E152" s="892" t="s">
        <v>216</v>
      </c>
      <c r="F152" s="1015" t="s">
        <v>226</v>
      </c>
      <c r="G152" s="987">
        <v>36</v>
      </c>
      <c r="H152" s="1016">
        <v>36</v>
      </c>
      <c r="I152" s="963">
        <v>36</v>
      </c>
      <c r="J152" s="888" t="s">
        <v>102</v>
      </c>
      <c r="K152" s="521">
        <v>235</v>
      </c>
      <c r="L152" s="267">
        <v>60</v>
      </c>
      <c r="M152" s="499">
        <v>60</v>
      </c>
      <c r="O152" s="1007"/>
      <c r="P152" s="1009">
        <f>+P151-G157</f>
        <v>-1.7000000000000028</v>
      </c>
      <c r="Q152" s="1009">
        <f>+Q151-H157</f>
        <v>-90</v>
      </c>
      <c r="R152" s="1009">
        <f>+R151-I157</f>
        <v>0</v>
      </c>
    </row>
    <row r="153" spans="1:18" s="1" customFormat="1" ht="15" customHeight="1" x14ac:dyDescent="0.25">
      <c r="A153" s="855"/>
      <c r="B153" s="871"/>
      <c r="C153" s="857"/>
      <c r="D153" s="1219" t="s">
        <v>217</v>
      </c>
      <c r="E153" s="169" t="s">
        <v>218</v>
      </c>
      <c r="F153" s="1017" t="s">
        <v>226</v>
      </c>
      <c r="G153" s="1018">
        <v>12</v>
      </c>
      <c r="H153" s="1019"/>
      <c r="I153" s="1020"/>
      <c r="J153" s="583" t="s">
        <v>219</v>
      </c>
      <c r="K153" s="585"/>
      <c r="L153" s="553">
        <v>1</v>
      </c>
      <c r="M153" s="584"/>
    </row>
    <row r="154" spans="1:18" s="1" customFormat="1" ht="15.6" customHeight="1" x14ac:dyDescent="0.25">
      <c r="A154" s="855"/>
      <c r="B154" s="871"/>
      <c r="C154" s="857"/>
      <c r="D154" s="1221"/>
      <c r="E154" s="586"/>
      <c r="F154" s="1021" t="s">
        <v>226</v>
      </c>
      <c r="G154" s="1022"/>
      <c r="H154" s="1023">
        <v>100</v>
      </c>
      <c r="I154" s="1024"/>
      <c r="J154" s="367" t="s">
        <v>220</v>
      </c>
      <c r="K154" s="756"/>
      <c r="L154" s="524">
        <v>100</v>
      </c>
      <c r="M154" s="501"/>
    </row>
    <row r="155" spans="1:18" s="1" customFormat="1" ht="14.45" customHeight="1" x14ac:dyDescent="0.25">
      <c r="A155" s="855"/>
      <c r="B155" s="871"/>
      <c r="C155" s="857"/>
      <c r="D155" s="1219" t="s">
        <v>221</v>
      </c>
      <c r="E155" s="892" t="s">
        <v>218</v>
      </c>
      <c r="F155" s="1017" t="s">
        <v>226</v>
      </c>
      <c r="G155" s="1025">
        <v>1</v>
      </c>
      <c r="H155" s="1019"/>
      <c r="I155" s="1026"/>
      <c r="J155" s="888" t="s">
        <v>222</v>
      </c>
      <c r="K155" s="521">
        <v>1</v>
      </c>
      <c r="L155" s="267"/>
      <c r="M155" s="787"/>
    </row>
    <row r="156" spans="1:18" s="1" customFormat="1" ht="14.45" customHeight="1" x14ac:dyDescent="0.25">
      <c r="A156" s="855"/>
      <c r="B156" s="871"/>
      <c r="C156" s="857"/>
      <c r="D156" s="1221"/>
      <c r="E156" s="892" t="s">
        <v>133</v>
      </c>
      <c r="F156" s="1021"/>
      <c r="G156" s="1022"/>
      <c r="H156" s="1023"/>
      <c r="I156" s="1027"/>
      <c r="J156" s="476"/>
      <c r="K156" s="756"/>
      <c r="L156" s="523"/>
      <c r="M156" s="501"/>
    </row>
    <row r="157" spans="1:18" s="22" customFormat="1" ht="15" customHeight="1" thickBot="1" x14ac:dyDescent="0.3">
      <c r="A157" s="865"/>
      <c r="B157" s="872"/>
      <c r="C157" s="123"/>
      <c r="D157" s="220"/>
      <c r="E157" s="219"/>
      <c r="F157" s="181" t="s">
        <v>31</v>
      </c>
      <c r="G157" s="137">
        <f>+G151</f>
        <v>50.7</v>
      </c>
      <c r="H157" s="269">
        <f>+H151</f>
        <v>226</v>
      </c>
      <c r="I157" s="69">
        <f>+I151</f>
        <v>36</v>
      </c>
      <c r="J157" s="467"/>
      <c r="K157" s="388"/>
      <c r="L157" s="397"/>
      <c r="M157" s="378"/>
    </row>
    <row r="158" spans="1:18" s="22" customFormat="1" ht="17.100000000000001" customHeight="1" x14ac:dyDescent="0.25">
      <c r="A158" s="1168" t="s">
        <v>7</v>
      </c>
      <c r="B158" s="1192" t="s">
        <v>16</v>
      </c>
      <c r="C158" s="1230" t="s">
        <v>12</v>
      </c>
      <c r="D158" s="1216" t="s">
        <v>266</v>
      </c>
      <c r="E158" s="660" t="s">
        <v>216</v>
      </c>
      <c r="F158" s="864" t="s">
        <v>10</v>
      </c>
      <c r="G158" s="251"/>
      <c r="H158" s="128"/>
      <c r="I158" s="251"/>
      <c r="J158" s="1250" t="s">
        <v>237</v>
      </c>
      <c r="K158" s="873">
        <v>1</v>
      </c>
      <c r="L158" s="852"/>
      <c r="M158" s="109"/>
    </row>
    <row r="159" spans="1:18" s="22" customFormat="1" ht="17.100000000000001" customHeight="1" x14ac:dyDescent="0.25">
      <c r="A159" s="1135"/>
      <c r="B159" s="1183"/>
      <c r="C159" s="1157"/>
      <c r="D159" s="1159"/>
      <c r="E159" s="244" t="s">
        <v>126</v>
      </c>
      <c r="F159" s="39"/>
      <c r="G159" s="132"/>
      <c r="H159" s="129"/>
      <c r="I159" s="162"/>
      <c r="J159" s="1251"/>
      <c r="K159" s="927"/>
      <c r="L159" s="876"/>
      <c r="M159" s="632"/>
    </row>
    <row r="160" spans="1:18" s="22" customFormat="1" ht="17.45" customHeight="1" thickBot="1" x14ac:dyDescent="0.3">
      <c r="A160" s="1169"/>
      <c r="B160" s="1184"/>
      <c r="C160" s="1215"/>
      <c r="D160" s="589"/>
      <c r="E160" s="240"/>
      <c r="F160" s="149" t="s">
        <v>31</v>
      </c>
      <c r="G160" s="147">
        <f>SUM(G158:G159)</f>
        <v>0</v>
      </c>
      <c r="H160" s="150">
        <f>SUM(H158:H159)</f>
        <v>0</v>
      </c>
      <c r="I160" s="150">
        <f>SUM(I158:I159)</f>
        <v>0</v>
      </c>
      <c r="J160" s="783"/>
      <c r="K160" s="784"/>
      <c r="L160" s="399"/>
      <c r="M160" s="216"/>
    </row>
    <row r="161" spans="1:42" s="1" customFormat="1" ht="15.75" customHeight="1" thickBot="1" x14ac:dyDescent="0.3">
      <c r="A161" s="23" t="s">
        <v>7</v>
      </c>
      <c r="B161" s="25" t="s">
        <v>16</v>
      </c>
      <c r="C161" s="1231" t="s">
        <v>50</v>
      </c>
      <c r="D161" s="1232"/>
      <c r="E161" s="1232"/>
      <c r="F161" s="1232"/>
      <c r="G161" s="268">
        <f>G157+G160</f>
        <v>50.7</v>
      </c>
      <c r="H161" s="255">
        <f>H157+H160</f>
        <v>226</v>
      </c>
      <c r="I161" s="138">
        <f>I157+I160</f>
        <v>36</v>
      </c>
      <c r="J161" s="1281"/>
      <c r="K161" s="1282"/>
      <c r="L161" s="1282"/>
      <c r="M161" s="1283"/>
      <c r="N161" s="256"/>
    </row>
    <row r="162" spans="1:42" s="3" customFormat="1" ht="15.75" customHeight="1" thickBot="1" x14ac:dyDescent="0.3">
      <c r="A162" s="23" t="s">
        <v>7</v>
      </c>
      <c r="B162" s="1284" t="s">
        <v>54</v>
      </c>
      <c r="C162" s="1285"/>
      <c r="D162" s="1285"/>
      <c r="E162" s="1285"/>
      <c r="F162" s="1286"/>
      <c r="G162" s="342">
        <f>SUM(G161,G135,G119,G149,)</f>
        <v>19038.5</v>
      </c>
      <c r="H162" s="141">
        <f>SUM(H161,H135,H119,H149,)</f>
        <v>18859.3</v>
      </c>
      <c r="I162" s="141">
        <f>SUM(I161,I135,I119,I149,)</f>
        <v>19131.400000000001</v>
      </c>
      <c r="J162" s="1287"/>
      <c r="K162" s="1239"/>
      <c r="L162" s="1239"/>
      <c r="M162" s="1240"/>
    </row>
    <row r="163" spans="1:42" s="3" customFormat="1" ht="15.75" customHeight="1" thickBot="1" x14ac:dyDescent="0.3">
      <c r="A163" s="29" t="s">
        <v>15</v>
      </c>
      <c r="B163" s="1288" t="s">
        <v>55</v>
      </c>
      <c r="C163" s="1289"/>
      <c r="D163" s="1289"/>
      <c r="E163" s="1289"/>
      <c r="F163" s="1290"/>
      <c r="G163" s="343">
        <f t="shared" ref="G163:I163" si="21">G162</f>
        <v>19038.5</v>
      </c>
      <c r="H163" s="142">
        <f t="shared" si="21"/>
        <v>18859.3</v>
      </c>
      <c r="I163" s="142">
        <f t="shared" si="21"/>
        <v>19131.400000000001</v>
      </c>
      <c r="J163" s="1227"/>
      <c r="K163" s="1228"/>
      <c r="L163" s="1228"/>
      <c r="M163" s="1229"/>
    </row>
    <row r="164" spans="1:42" s="932" customFormat="1" ht="17.25" customHeight="1" x14ac:dyDescent="0.25">
      <c r="A164" s="1252" t="s">
        <v>281</v>
      </c>
      <c r="B164" s="1252"/>
      <c r="C164" s="1252"/>
      <c r="D164" s="1252"/>
      <c r="E164" s="1252"/>
      <c r="F164" s="1252"/>
      <c r="G164" s="1252"/>
      <c r="H164" s="1252"/>
      <c r="I164" s="1252"/>
      <c r="J164" s="1252"/>
      <c r="K164" s="1252"/>
      <c r="L164" s="1252"/>
      <c r="M164" s="1252"/>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row>
    <row r="165" spans="1:42" s="526" customFormat="1" ht="14.1" customHeight="1" x14ac:dyDescent="0.25">
      <c r="A165" s="1270"/>
      <c r="B165" s="1270"/>
      <c r="C165" s="1270"/>
      <c r="D165" s="1270"/>
      <c r="E165" s="1270"/>
      <c r="F165" s="1270"/>
      <c r="G165" s="1270"/>
      <c r="H165" s="1270"/>
      <c r="I165" s="1270"/>
      <c r="J165" s="1270"/>
      <c r="K165" s="1270"/>
      <c r="L165" s="1270"/>
      <c r="M165" s="1270"/>
      <c r="N165" s="525"/>
      <c r="O165" s="525"/>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row>
    <row r="166" spans="1:42" s="3" customFormat="1" ht="18.75" customHeight="1" x14ac:dyDescent="0.25">
      <c r="A166" s="21"/>
      <c r="B166" s="30"/>
      <c r="C166" s="1271" t="s">
        <v>56</v>
      </c>
      <c r="D166" s="1271"/>
      <c r="E166" s="1271"/>
      <c r="F166" s="1271"/>
      <c r="G166" s="1271"/>
      <c r="H166" s="1271"/>
      <c r="I166" s="1271"/>
      <c r="J166" s="26"/>
      <c r="K166" s="89"/>
      <c r="L166" s="89"/>
      <c r="M166" s="89"/>
    </row>
    <row r="167" spans="1:42" s="3" customFormat="1" ht="12" customHeight="1" thickBot="1" x14ac:dyDescent="0.3">
      <c r="A167" s="21"/>
      <c r="B167" s="19"/>
      <c r="C167" s="125"/>
      <c r="D167" s="19"/>
      <c r="E167" s="31"/>
      <c r="F167" s="26"/>
      <c r="G167" s="26"/>
      <c r="H167" s="26"/>
      <c r="I167" s="26"/>
      <c r="J167" s="26"/>
      <c r="K167" s="89"/>
      <c r="L167" s="89"/>
      <c r="M167" s="89"/>
    </row>
    <row r="168" spans="1:42" s="3" customFormat="1" ht="82.5" customHeight="1" thickBot="1" x14ac:dyDescent="0.3">
      <c r="A168" s="33"/>
      <c r="B168" s="33"/>
      <c r="C168" s="1272" t="s">
        <v>57</v>
      </c>
      <c r="D168" s="1273"/>
      <c r="E168" s="1273"/>
      <c r="F168" s="1274"/>
      <c r="G168" s="349" t="s">
        <v>197</v>
      </c>
      <c r="H168" s="350" t="s">
        <v>244</v>
      </c>
      <c r="I168" s="351" t="s">
        <v>198</v>
      </c>
      <c r="J168" s="21"/>
      <c r="K168" s="32"/>
      <c r="L168" s="32"/>
      <c r="M168" s="32"/>
    </row>
    <row r="169" spans="1:42" s="3" customFormat="1" ht="12.75" x14ac:dyDescent="0.25">
      <c r="A169" s="33"/>
      <c r="B169" s="33"/>
      <c r="C169" s="1275" t="s">
        <v>247</v>
      </c>
      <c r="D169" s="1276"/>
      <c r="E169" s="1276"/>
      <c r="F169" s="1277"/>
      <c r="G169" s="311">
        <f>G170+G177+G178+G179</f>
        <v>19038.5</v>
      </c>
      <c r="H169" s="320">
        <f>H170+H177+H178+H179</f>
        <v>18859.3</v>
      </c>
      <c r="I169" s="302">
        <f>I170+I177+I178+I179</f>
        <v>19131.400000000001</v>
      </c>
      <c r="J169" s="53"/>
      <c r="K169" s="55"/>
      <c r="L169" s="55"/>
      <c r="M169" s="55"/>
    </row>
    <row r="170" spans="1:42" s="3" customFormat="1" ht="12.75" customHeight="1" x14ac:dyDescent="0.25">
      <c r="A170" s="33"/>
      <c r="B170" s="33"/>
      <c r="C170" s="1278" t="s">
        <v>58</v>
      </c>
      <c r="D170" s="1279"/>
      <c r="E170" s="1279"/>
      <c r="F170" s="1280"/>
      <c r="G170" s="312">
        <f>SUM(G171:G176)</f>
        <v>17711.7</v>
      </c>
      <c r="H170" s="321">
        <f>SUM(H171:H176)</f>
        <v>18859.3</v>
      </c>
      <c r="I170" s="303">
        <f>SUM(I171:I176)</f>
        <v>19131.400000000001</v>
      </c>
      <c r="J170" s="53"/>
      <c r="K170" s="55"/>
      <c r="L170" s="55"/>
      <c r="M170" s="55"/>
    </row>
    <row r="171" spans="1:42" s="3" customFormat="1" ht="12.75" customHeight="1" x14ac:dyDescent="0.25">
      <c r="A171" s="33"/>
      <c r="B171" s="33"/>
      <c r="C171" s="1259" t="s">
        <v>59</v>
      </c>
      <c r="D171" s="1260"/>
      <c r="E171" s="1260"/>
      <c r="F171" s="1261"/>
      <c r="G171" s="313">
        <f>SUMIF(F16:F163,"SB",G16:G163)</f>
        <v>15850.1</v>
      </c>
      <c r="H171" s="322">
        <f>SUMIF(F16:F163,"SB",H16:H163)</f>
        <v>17214</v>
      </c>
      <c r="I171" s="304">
        <f>SUMIF(F16:F163,"SB",I16:I163)</f>
        <v>17486.100000000002</v>
      </c>
      <c r="J171" s="21"/>
      <c r="K171" s="1013"/>
      <c r="L171" s="1013"/>
      <c r="M171" s="1013"/>
      <c r="O171" s="98"/>
      <c r="P171" s="98"/>
      <c r="Q171" s="98"/>
    </row>
    <row r="172" spans="1:42" s="3" customFormat="1" ht="12.75" customHeight="1" x14ac:dyDescent="0.25">
      <c r="A172" s="33"/>
      <c r="B172" s="33"/>
      <c r="C172" s="1253" t="s">
        <v>60</v>
      </c>
      <c r="D172" s="1262"/>
      <c r="E172" s="1262"/>
      <c r="F172" s="1263"/>
      <c r="G172" s="313">
        <f>SUMIF(F16:F163,"SB(VR)",G16:G163)</f>
        <v>20</v>
      </c>
      <c r="H172" s="322">
        <f>SUMIF(F16:F163,"SB(VR)",H16:H163)</f>
        <v>20</v>
      </c>
      <c r="I172" s="304">
        <f>SUMIF(F16:F163,"SB(VR)",I16:I163)</f>
        <v>20</v>
      </c>
      <c r="J172" s="21"/>
      <c r="K172" s="1013"/>
      <c r="L172" s="1013"/>
      <c r="M172" s="1013"/>
    </row>
    <row r="173" spans="1:42" s="3" customFormat="1" ht="12.75" customHeight="1" x14ac:dyDescent="0.25">
      <c r="A173" s="33"/>
      <c r="B173" s="33"/>
      <c r="C173" s="1264" t="s">
        <v>61</v>
      </c>
      <c r="D173" s="1265"/>
      <c r="E173" s="1265"/>
      <c r="F173" s="1266"/>
      <c r="G173" s="313">
        <f>SUMIF(F16:F163,"SB(VB)",G16:G163)</f>
        <v>1013.8000000000001</v>
      </c>
      <c r="H173" s="322">
        <f>SUMIF(F16:F163,"SB(VB)",H16:H163)</f>
        <v>797.5</v>
      </c>
      <c r="I173" s="304">
        <f>SUMIF(F16:F163,"SB(VB)",I16:I163)</f>
        <v>797.5</v>
      </c>
      <c r="J173" s="101"/>
      <c r="K173" s="1013"/>
      <c r="L173" s="1013"/>
      <c r="M173" s="1013"/>
    </row>
    <row r="174" spans="1:42" s="3" customFormat="1" ht="27.6" customHeight="1" x14ac:dyDescent="0.25">
      <c r="A174" s="33"/>
      <c r="B174" s="33"/>
      <c r="C174" s="1264" t="s">
        <v>175</v>
      </c>
      <c r="D174" s="1265"/>
      <c r="E174" s="1265"/>
      <c r="F174" s="1266"/>
      <c r="G174" s="313">
        <f>SUMIF(F16:F163,"SB(S)",G16:G163)</f>
        <v>657.8</v>
      </c>
      <c r="H174" s="322">
        <f>SUMIF(F16:F163,"SB(S)",H16:H163)</f>
        <v>657.8</v>
      </c>
      <c r="I174" s="304">
        <f>SUMIF(F16:F163,"SB(S)",I16:I163)</f>
        <v>657.8</v>
      </c>
      <c r="J174" s="101"/>
      <c r="K174" s="1013"/>
      <c r="L174" s="1013"/>
      <c r="M174" s="1013"/>
    </row>
    <row r="175" spans="1:42" s="1" customFormat="1" ht="12.75" customHeight="1" x14ac:dyDescent="0.25">
      <c r="A175" s="33"/>
      <c r="B175" s="33"/>
      <c r="C175" s="1267" t="s">
        <v>63</v>
      </c>
      <c r="D175" s="1268"/>
      <c r="E175" s="1268"/>
      <c r="F175" s="1269"/>
      <c r="G175" s="314">
        <f>SUMIF(F16:F163,"SB(SP)",G16:G163)</f>
        <v>150</v>
      </c>
      <c r="H175" s="323">
        <f>SUMIF(F16:F163,"SB(SP)",H16:H163)</f>
        <v>150</v>
      </c>
      <c r="I175" s="305">
        <f>SUMIF(F16:F163,"SB(SP)",I16:I163)</f>
        <v>150</v>
      </c>
      <c r="J175" s="58"/>
      <c r="K175" s="1014"/>
      <c r="L175" s="1014"/>
      <c r="M175" s="1014"/>
    </row>
    <row r="176" spans="1:42" s="1" customFormat="1" ht="29.1" customHeight="1" x14ac:dyDescent="0.25">
      <c r="A176" s="33"/>
      <c r="B176" s="33"/>
      <c r="C176" s="1253" t="s">
        <v>267</v>
      </c>
      <c r="D176" s="1254"/>
      <c r="E176" s="1254"/>
      <c r="F176" s="1255"/>
      <c r="G176" s="314">
        <f>SUMIF(F16:F163,"SB(KPP)",G16:G163)</f>
        <v>20</v>
      </c>
      <c r="H176" s="323">
        <f>SUMIF(F16:F163,"SB(KPP)",H16:H163)</f>
        <v>20</v>
      </c>
      <c r="I176" s="305">
        <f>SUMIF(F16:F163,"SB(KPP)",I16:I163)</f>
        <v>20</v>
      </c>
      <c r="J176" s="33"/>
      <c r="K176" s="1014"/>
      <c r="L176" s="1014"/>
      <c r="M176" s="1014"/>
    </row>
    <row r="177" spans="1:13" s="1" customFormat="1" ht="12.75" customHeight="1" x14ac:dyDescent="0.25">
      <c r="A177" s="33"/>
      <c r="B177" s="33"/>
      <c r="C177" s="1256" t="s">
        <v>200</v>
      </c>
      <c r="D177" s="1257"/>
      <c r="E177" s="1257"/>
      <c r="F177" s="1258"/>
      <c r="G177" s="316">
        <f>SUMIF(F16:F163,"SB(L)",G16:G163)</f>
        <v>1247.8</v>
      </c>
      <c r="H177" s="325">
        <f>SUMIF(F16:F163,"SB(L)",H16:H163)</f>
        <v>0</v>
      </c>
      <c r="I177" s="307">
        <f>SUMIF(F16:F163,"SB(L)",I16:I163)</f>
        <v>0</v>
      </c>
      <c r="J177" s="33"/>
      <c r="K177" s="1014"/>
      <c r="L177" s="1014"/>
      <c r="M177" s="1014"/>
    </row>
    <row r="178" spans="1:13" s="1" customFormat="1" ht="12.75" customHeight="1" x14ac:dyDescent="0.25">
      <c r="A178" s="33"/>
      <c r="B178" s="33"/>
      <c r="C178" s="1256" t="s">
        <v>64</v>
      </c>
      <c r="D178" s="1257"/>
      <c r="E178" s="1257"/>
      <c r="F178" s="1258"/>
      <c r="G178" s="1012">
        <f>SUMIF(F16:F163,"SB(SPL)",G16:G163)</f>
        <v>69</v>
      </c>
      <c r="H178" s="325">
        <f>SUMIF(F16:F163,"SB(SPL)",H16:H163)</f>
        <v>0</v>
      </c>
      <c r="I178" s="307">
        <f>SUMIF(F16:F163,"SB(SPL)",I16:I163)</f>
        <v>0</v>
      </c>
      <c r="J178" s="33"/>
      <c r="K178" s="1014"/>
      <c r="L178" s="1014"/>
      <c r="M178" s="1014"/>
    </row>
    <row r="179" spans="1:13" s="1" customFormat="1" ht="12.75" customHeight="1" x14ac:dyDescent="0.25">
      <c r="A179" s="33"/>
      <c r="B179" s="33"/>
      <c r="C179" s="1256" t="s">
        <v>65</v>
      </c>
      <c r="D179" s="1257"/>
      <c r="E179" s="1257"/>
      <c r="F179" s="1258"/>
      <c r="G179" s="316">
        <f>SUMIF(F16:F163,"SB(VRL)",G16:G163)</f>
        <v>10</v>
      </c>
      <c r="H179" s="325">
        <f>SUMIF(F16:F163,"SB(VRL)",H16:H163)</f>
        <v>0</v>
      </c>
      <c r="I179" s="307">
        <f>SUMIF(F16:F163,"SB(VRL)",I16:I163)</f>
        <v>0</v>
      </c>
      <c r="J179" s="33"/>
      <c r="K179" s="1014"/>
      <c r="L179" s="1014"/>
      <c r="M179" s="1014"/>
    </row>
    <row r="180" spans="1:13" s="1" customFormat="1" ht="12.75" customHeight="1" x14ac:dyDescent="0.25">
      <c r="A180" s="63"/>
      <c r="B180" s="63"/>
      <c r="C180" s="1241" t="s">
        <v>66</v>
      </c>
      <c r="D180" s="1242"/>
      <c r="E180" s="1242"/>
      <c r="F180" s="1243"/>
      <c r="G180" s="317">
        <f>+G181</f>
        <v>0</v>
      </c>
      <c r="H180" s="326">
        <f>+H181</f>
        <v>0</v>
      </c>
      <c r="I180" s="308">
        <f>+I181</f>
        <v>0</v>
      </c>
      <c r="J180" s="33"/>
      <c r="K180" s="1014"/>
      <c r="L180" s="1014"/>
      <c r="M180" s="1014"/>
    </row>
    <row r="181" spans="1:13" s="26" customFormat="1" x14ac:dyDescent="0.25">
      <c r="A181" s="172"/>
      <c r="B181" s="172"/>
      <c r="C181" s="1244" t="s">
        <v>151</v>
      </c>
      <c r="D181" s="1245"/>
      <c r="E181" s="1245"/>
      <c r="F181" s="1246"/>
      <c r="G181" s="318">
        <f>SUMIF(F16:F163,"Kt",G16:G163)</f>
        <v>0</v>
      </c>
      <c r="H181" s="327">
        <f>SUMIF(F16:F163,"Kt",H16:H163)</f>
        <v>0</v>
      </c>
      <c r="I181" s="309">
        <f>SUMIF(F16:F163,"Kt",I16:I163)</f>
        <v>0</v>
      </c>
      <c r="J181" s="63"/>
      <c r="K181" s="58"/>
      <c r="L181" s="58"/>
      <c r="M181" s="58"/>
    </row>
    <row r="182" spans="1:13" s="1" customFormat="1" ht="13.5" customHeight="1" thickBot="1" x14ac:dyDescent="0.3">
      <c r="A182" s="63"/>
      <c r="B182" s="63"/>
      <c r="C182" s="1247" t="s">
        <v>68</v>
      </c>
      <c r="D182" s="1248"/>
      <c r="E182" s="1248"/>
      <c r="F182" s="1249"/>
      <c r="G182" s="319">
        <f>G180+G169</f>
        <v>19038.5</v>
      </c>
      <c r="H182" s="328">
        <f>H180+H169</f>
        <v>18859.3</v>
      </c>
      <c r="I182" s="310">
        <f>I180+I169</f>
        <v>19131.400000000001</v>
      </c>
      <c r="J182" s="33"/>
      <c r="K182" s="1014"/>
      <c r="L182" s="1014"/>
      <c r="M182" s="1014"/>
    </row>
    <row r="183" spans="1:13" s="36" customFormat="1" ht="12.75" x14ac:dyDescent="0.25">
      <c r="A183" s="35"/>
      <c r="B183" s="35"/>
      <c r="C183" s="126"/>
      <c r="D183" s="35"/>
      <c r="E183" s="35"/>
      <c r="F183" s="245"/>
      <c r="G183" s="246"/>
      <c r="H183" s="246"/>
      <c r="I183" s="246"/>
      <c r="J183" s="63"/>
      <c r="K183" s="35"/>
      <c r="L183" s="35"/>
      <c r="M183" s="35"/>
    </row>
    <row r="184" spans="1:13" s="36" customFormat="1" ht="12.75" x14ac:dyDescent="0.25">
      <c r="A184" s="35"/>
      <c r="B184" s="35"/>
      <c r="C184" s="126"/>
      <c r="D184" s="33"/>
      <c r="E184" s="37"/>
      <c r="F184" s="35"/>
      <c r="G184" s="46"/>
      <c r="H184" s="46"/>
      <c r="I184" s="46"/>
      <c r="J184" s="63"/>
      <c r="K184" s="38"/>
      <c r="L184" s="38"/>
      <c r="M184" s="38"/>
    </row>
    <row r="185" spans="1:13" s="36" customFormat="1" ht="12.75" x14ac:dyDescent="0.25">
      <c r="A185" s="35"/>
      <c r="B185" s="35"/>
      <c r="C185" s="126"/>
      <c r="D185" s="33"/>
      <c r="E185" s="37"/>
      <c r="F185" s="35"/>
      <c r="G185" s="35"/>
      <c r="H185" s="35"/>
      <c r="I185" s="35"/>
      <c r="J185" s="35"/>
      <c r="K185" s="38"/>
      <c r="L185" s="38"/>
      <c r="M185" s="38"/>
    </row>
    <row r="186" spans="1:13" x14ac:dyDescent="0.25">
      <c r="G186" s="45"/>
      <c r="H186" s="45"/>
      <c r="I186" s="45"/>
    </row>
    <row r="187" spans="1:13" x14ac:dyDescent="0.25">
      <c r="G187" s="45"/>
      <c r="H187" s="45"/>
      <c r="I187" s="45"/>
    </row>
    <row r="188" spans="1:13" x14ac:dyDescent="0.25">
      <c r="G188" s="54"/>
      <c r="H188" s="54"/>
      <c r="I188" s="54"/>
    </row>
  </sheetData>
  <mergeCells count="141">
    <mergeCell ref="C180:F180"/>
    <mergeCell ref="C181:F181"/>
    <mergeCell ref="C182:F182"/>
    <mergeCell ref="J158:J159"/>
    <mergeCell ref="A164:M164"/>
    <mergeCell ref="C176:F176"/>
    <mergeCell ref="C177:F177"/>
    <mergeCell ref="C178:F178"/>
    <mergeCell ref="C179:F179"/>
    <mergeCell ref="C171:F171"/>
    <mergeCell ref="C172:F172"/>
    <mergeCell ref="C173:F173"/>
    <mergeCell ref="C174:F174"/>
    <mergeCell ref="C175:F175"/>
    <mergeCell ref="A165:M165"/>
    <mergeCell ref="C166:I166"/>
    <mergeCell ref="C168:F168"/>
    <mergeCell ref="C169:F169"/>
    <mergeCell ref="C170:F170"/>
    <mergeCell ref="C161:F161"/>
    <mergeCell ref="J161:M161"/>
    <mergeCell ref="B162:F162"/>
    <mergeCell ref="J162:M162"/>
    <mergeCell ref="B163:F163"/>
    <mergeCell ref="J163:M163"/>
    <mergeCell ref="D153:D154"/>
    <mergeCell ref="D155:D156"/>
    <mergeCell ref="A158:A160"/>
    <mergeCell ref="B158:B160"/>
    <mergeCell ref="C158:C160"/>
    <mergeCell ref="D158:D159"/>
    <mergeCell ref="C149:F149"/>
    <mergeCell ref="J149:M149"/>
    <mergeCell ref="C150:M150"/>
    <mergeCell ref="A138:A148"/>
    <mergeCell ref="B138:B148"/>
    <mergeCell ref="C138:C148"/>
    <mergeCell ref="C119:F119"/>
    <mergeCell ref="J119:M119"/>
    <mergeCell ref="C120:M120"/>
    <mergeCell ref="D121:D124"/>
    <mergeCell ref="A116:A118"/>
    <mergeCell ref="B116:B118"/>
    <mergeCell ref="C116:C118"/>
    <mergeCell ref="D116:D117"/>
    <mergeCell ref="J116:J117"/>
    <mergeCell ref="D141:D143"/>
    <mergeCell ref="J141:J142"/>
    <mergeCell ref="D144:D145"/>
    <mergeCell ref="D146:D147"/>
    <mergeCell ref="F146:F147"/>
    <mergeCell ref="D138:D140"/>
    <mergeCell ref="D130:D131"/>
    <mergeCell ref="C135:F135"/>
    <mergeCell ref="J135:M135"/>
    <mergeCell ref="C136:M136"/>
    <mergeCell ref="J139:J140"/>
    <mergeCell ref="D110:D111"/>
    <mergeCell ref="A113:A115"/>
    <mergeCell ref="B113:B115"/>
    <mergeCell ref="C113:C115"/>
    <mergeCell ref="D113:D114"/>
    <mergeCell ref="E113:E114"/>
    <mergeCell ref="D102:D103"/>
    <mergeCell ref="D104:D105"/>
    <mergeCell ref="D107:D108"/>
    <mergeCell ref="J95:J96"/>
    <mergeCell ref="D97:D98"/>
    <mergeCell ref="D99:D100"/>
    <mergeCell ref="D91:D94"/>
    <mergeCell ref="A88:A90"/>
    <mergeCell ref="B88:B90"/>
    <mergeCell ref="C88:C90"/>
    <mergeCell ref="D88:D89"/>
    <mergeCell ref="E88:E89"/>
    <mergeCell ref="D95:D96"/>
    <mergeCell ref="D77:D78"/>
    <mergeCell ref="D79:D82"/>
    <mergeCell ref="D83:D84"/>
    <mergeCell ref="A86:A87"/>
    <mergeCell ref="B86:B87"/>
    <mergeCell ref="C86:C87"/>
    <mergeCell ref="A72:A73"/>
    <mergeCell ref="B72:B73"/>
    <mergeCell ref="C72:C73"/>
    <mergeCell ref="D75:D76"/>
    <mergeCell ref="J75:J76"/>
    <mergeCell ref="D61:D62"/>
    <mergeCell ref="A70:A71"/>
    <mergeCell ref="B70:B71"/>
    <mergeCell ref="C70:C71"/>
    <mergeCell ref="D70:D71"/>
    <mergeCell ref="E70:E71"/>
    <mergeCell ref="D54:D55"/>
    <mergeCell ref="J54:J55"/>
    <mergeCell ref="D56:D57"/>
    <mergeCell ref="D65:D68"/>
    <mergeCell ref="A45:A51"/>
    <mergeCell ref="B45:B51"/>
    <mergeCell ref="C45:C51"/>
    <mergeCell ref="D45:D51"/>
    <mergeCell ref="D52:D53"/>
    <mergeCell ref="D42:D43"/>
    <mergeCell ref="D33:D35"/>
    <mergeCell ref="J33:J34"/>
    <mergeCell ref="K33:K34"/>
    <mergeCell ref="L33:L34"/>
    <mergeCell ref="M33:M34"/>
    <mergeCell ref="D39:D41"/>
    <mergeCell ref="A12:M12"/>
    <mergeCell ref="E9:E11"/>
    <mergeCell ref="F9:F11"/>
    <mergeCell ref="G9:G11"/>
    <mergeCell ref="H9:H11"/>
    <mergeCell ref="L26:L27"/>
    <mergeCell ref="M26:M27"/>
    <mergeCell ref="A28:A32"/>
    <mergeCell ref="B28:B32"/>
    <mergeCell ref="C28:C32"/>
    <mergeCell ref="D28:D32"/>
    <mergeCell ref="A13:M13"/>
    <mergeCell ref="B14:M14"/>
    <mergeCell ref="C15:M15"/>
    <mergeCell ref="D23:D25"/>
    <mergeCell ref="E23:E25"/>
    <mergeCell ref="J23:J24"/>
    <mergeCell ref="J26:J27"/>
    <mergeCell ref="K26:K27"/>
    <mergeCell ref="J1:M1"/>
    <mergeCell ref="A4:M4"/>
    <mergeCell ref="A5:M5"/>
    <mergeCell ref="A6:M6"/>
    <mergeCell ref="L8:M8"/>
    <mergeCell ref="A9:A11"/>
    <mergeCell ref="B9:B11"/>
    <mergeCell ref="C9:C11"/>
    <mergeCell ref="D9:D11"/>
    <mergeCell ref="I9:I11"/>
    <mergeCell ref="J9:M9"/>
    <mergeCell ref="J10:J11"/>
    <mergeCell ref="K10:M10"/>
  </mergeCells>
  <printOptions horizontalCentered="1"/>
  <pageMargins left="0.39370078740157483" right="0.39370078740157483" top="0.39370078740157483" bottom="0.39370078740157483" header="0" footer="0"/>
  <pageSetup paperSize="9" scale="65" orientation="portrait" r:id="rId1"/>
  <rowBreaks count="3" manualBreakCount="3">
    <brk id="55" max="12" man="1"/>
    <brk id="98" max="12" man="1"/>
    <brk id="145" max="12" man="1"/>
  </rowBreaks>
  <ignoredErrors>
    <ignoredError sqref="K33:M34" twoDigitTextYear="1"/>
    <ignoredError sqref="P19:R19"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16"/>
  <sheetViews>
    <sheetView topLeftCell="A106" zoomScaleNormal="100" zoomScaleSheetLayoutView="90" workbookViewId="0">
      <selection activeCell="E147" sqref="E147:E149"/>
    </sheetView>
  </sheetViews>
  <sheetFormatPr defaultColWidth="9.140625" defaultRowHeight="15" x14ac:dyDescent="0.25"/>
  <cols>
    <col min="1" max="1" width="3" style="44" customWidth="1"/>
    <col min="2" max="2" width="2.85546875" style="44" customWidth="1"/>
    <col min="3" max="3" width="3" style="112" customWidth="1"/>
    <col min="4" max="4" width="2.85546875" style="44" customWidth="1"/>
    <col min="5" max="5" width="33.85546875" style="44" customWidth="1"/>
    <col min="6" max="6" width="4.42578125" style="44" customWidth="1"/>
    <col min="7" max="7" width="17" style="44" customWidth="1"/>
    <col min="8" max="8" width="9.140625" style="44"/>
    <col min="9" max="12" width="10.5703125" style="44" customWidth="1"/>
    <col min="13" max="13" width="36.5703125" style="44" customWidth="1"/>
    <col min="14" max="17" width="7" style="44" customWidth="1"/>
    <col min="18" max="16384" width="9.140625" style="44"/>
  </cols>
  <sheetData>
    <row r="1" spans="1:18" s="3" customFormat="1" ht="15.75" x14ac:dyDescent="0.25">
      <c r="A1" s="1"/>
      <c r="B1" s="1"/>
      <c r="C1" s="1"/>
      <c r="D1" s="1"/>
      <c r="E1" s="1"/>
      <c r="F1" s="85"/>
      <c r="G1" s="86"/>
      <c r="H1" s="2"/>
      <c r="I1" s="1"/>
      <c r="J1" s="1"/>
      <c r="K1" s="1"/>
      <c r="L1" s="1"/>
      <c r="M1" s="1362" t="s">
        <v>279</v>
      </c>
      <c r="N1" s="1362"/>
      <c r="O1" s="1362"/>
      <c r="P1" s="1362"/>
      <c r="Q1" s="1362"/>
    </row>
    <row r="2" spans="1:18" ht="15" customHeight="1" x14ac:dyDescent="0.25">
      <c r="I2" s="249"/>
      <c r="J2" s="249"/>
      <c r="K2" s="249"/>
      <c r="L2" s="249"/>
      <c r="M2" s="250"/>
      <c r="N2" s="249"/>
      <c r="O2" s="249"/>
      <c r="P2" s="249"/>
      <c r="Q2" s="249"/>
    </row>
    <row r="3" spans="1:18" s="1" customFormat="1" ht="15" customHeight="1" x14ac:dyDescent="0.25">
      <c r="A3" s="1082" t="s">
        <v>205</v>
      </c>
      <c r="B3" s="1082"/>
      <c r="C3" s="1082"/>
      <c r="D3" s="1082"/>
      <c r="E3" s="1082"/>
      <c r="F3" s="1082"/>
      <c r="G3" s="1082"/>
      <c r="H3" s="1082"/>
      <c r="I3" s="1082"/>
      <c r="J3" s="1082"/>
      <c r="K3" s="1082"/>
      <c r="L3" s="1082"/>
      <c r="M3" s="1082"/>
      <c r="N3" s="1082"/>
      <c r="O3" s="1082"/>
      <c r="P3" s="1082"/>
      <c r="Q3" s="1082"/>
    </row>
    <row r="4" spans="1:18" s="1" customFormat="1" ht="15" customHeight="1" x14ac:dyDescent="0.25">
      <c r="A4" s="1083" t="s">
        <v>171</v>
      </c>
      <c r="B4" s="1083"/>
      <c r="C4" s="1083"/>
      <c r="D4" s="1083"/>
      <c r="E4" s="1083"/>
      <c r="F4" s="1083"/>
      <c r="G4" s="1083"/>
      <c r="H4" s="1083"/>
      <c r="I4" s="1083"/>
      <c r="J4" s="1083"/>
      <c r="K4" s="1083"/>
      <c r="L4" s="1083"/>
      <c r="M4" s="1083"/>
      <c r="N4" s="1083"/>
      <c r="O4" s="1083"/>
      <c r="P4" s="1083"/>
      <c r="Q4" s="1083"/>
    </row>
    <row r="5" spans="1:18" s="1" customFormat="1" ht="15" customHeight="1" x14ac:dyDescent="0.25">
      <c r="A5" s="1084" t="s">
        <v>80</v>
      </c>
      <c r="B5" s="1084"/>
      <c r="C5" s="1084"/>
      <c r="D5" s="1084"/>
      <c r="E5" s="1084"/>
      <c r="F5" s="1084"/>
      <c r="G5" s="1084"/>
      <c r="H5" s="1084"/>
      <c r="I5" s="1084"/>
      <c r="J5" s="1084"/>
      <c r="K5" s="1084"/>
      <c r="L5" s="1084"/>
      <c r="M5" s="1084"/>
      <c r="N5" s="1084"/>
      <c r="O5" s="1084"/>
      <c r="P5" s="1084"/>
      <c r="Q5" s="1084"/>
    </row>
    <row r="6" spans="1:18" s="1" customFormat="1" ht="15" customHeight="1" x14ac:dyDescent="0.25">
      <c r="A6" s="241"/>
      <c r="B6" s="241"/>
      <c r="C6" s="241"/>
      <c r="D6" s="241"/>
      <c r="E6" s="241"/>
      <c r="F6" s="241"/>
      <c r="G6" s="241"/>
      <c r="H6" s="241"/>
      <c r="I6" s="241"/>
      <c r="J6" s="248"/>
      <c r="K6" s="248"/>
      <c r="L6" s="248"/>
      <c r="M6" s="241"/>
      <c r="N6" s="241"/>
      <c r="O6" s="248"/>
      <c r="P6" s="248"/>
      <c r="Q6" s="248"/>
    </row>
    <row r="7" spans="1:18" s="1" customFormat="1" ht="15.95" customHeight="1" thickBot="1" x14ac:dyDescent="0.25">
      <c r="C7" s="111"/>
      <c r="F7" s="257"/>
      <c r="I7" s="3"/>
      <c r="J7" s="3"/>
      <c r="K7" s="3"/>
      <c r="L7" s="258"/>
      <c r="N7" s="508"/>
      <c r="P7" s="1085" t="s">
        <v>81</v>
      </c>
      <c r="Q7" s="1085"/>
    </row>
    <row r="8" spans="1:18" s="26" customFormat="1" ht="17.100000000000001" customHeight="1" thickBot="1" x14ac:dyDescent="0.3">
      <c r="A8" s="1086" t="s">
        <v>0</v>
      </c>
      <c r="B8" s="1089" t="s">
        <v>1</v>
      </c>
      <c r="C8" s="1092" t="s">
        <v>2</v>
      </c>
      <c r="D8" s="1089" t="s">
        <v>3</v>
      </c>
      <c r="E8" s="1095" t="s">
        <v>4</v>
      </c>
      <c r="F8" s="1119" t="s">
        <v>194</v>
      </c>
      <c r="G8" s="1378" t="s">
        <v>195</v>
      </c>
      <c r="H8" s="1122" t="s">
        <v>5</v>
      </c>
      <c r="I8" s="1381" t="s">
        <v>196</v>
      </c>
      <c r="J8" s="1125" t="s">
        <v>197</v>
      </c>
      <c r="K8" s="1128" t="s">
        <v>244</v>
      </c>
      <c r="L8" s="1098" t="s">
        <v>198</v>
      </c>
      <c r="M8" s="1372" t="s">
        <v>181</v>
      </c>
      <c r="N8" s="1373"/>
      <c r="O8" s="1373"/>
      <c r="P8" s="1373"/>
      <c r="Q8" s="1374"/>
      <c r="R8" s="352"/>
    </row>
    <row r="9" spans="1:18" s="26" customFormat="1" ht="18.75" customHeight="1" x14ac:dyDescent="0.25">
      <c r="A9" s="1087"/>
      <c r="B9" s="1090"/>
      <c r="C9" s="1093"/>
      <c r="D9" s="1090"/>
      <c r="E9" s="1096"/>
      <c r="F9" s="1120"/>
      <c r="G9" s="1379"/>
      <c r="H9" s="1123"/>
      <c r="I9" s="1382"/>
      <c r="J9" s="1126"/>
      <c r="K9" s="1129"/>
      <c r="L9" s="1099"/>
      <c r="M9" s="1377" t="s">
        <v>4</v>
      </c>
      <c r="N9" s="1370" t="s">
        <v>201</v>
      </c>
      <c r="O9" s="1368" t="s">
        <v>190</v>
      </c>
      <c r="P9" s="1368"/>
      <c r="Q9" s="1369"/>
      <c r="R9" s="352"/>
    </row>
    <row r="10" spans="1:18" s="26" customFormat="1" ht="94.5" customHeight="1" thickBot="1" x14ac:dyDescent="0.3">
      <c r="A10" s="1088"/>
      <c r="B10" s="1091"/>
      <c r="C10" s="1094"/>
      <c r="D10" s="1091"/>
      <c r="E10" s="1097"/>
      <c r="F10" s="1121"/>
      <c r="G10" s="1380"/>
      <c r="H10" s="1124"/>
      <c r="I10" s="1383"/>
      <c r="J10" s="1127"/>
      <c r="K10" s="1130"/>
      <c r="L10" s="1100"/>
      <c r="M10" s="1105"/>
      <c r="N10" s="1371"/>
      <c r="O10" s="440" t="s">
        <v>202</v>
      </c>
      <c r="P10" s="777" t="s">
        <v>203</v>
      </c>
      <c r="Q10" s="507" t="s">
        <v>204</v>
      </c>
    </row>
    <row r="11" spans="1:18" s="1" customFormat="1" ht="15" customHeight="1" x14ac:dyDescent="0.25">
      <c r="A11" s="1116" t="s">
        <v>172</v>
      </c>
      <c r="B11" s="1117"/>
      <c r="C11" s="1117"/>
      <c r="D11" s="1117"/>
      <c r="E11" s="1117"/>
      <c r="F11" s="1117"/>
      <c r="G11" s="1117"/>
      <c r="H11" s="1117"/>
      <c r="I11" s="1117"/>
      <c r="J11" s="1117"/>
      <c r="K11" s="1117"/>
      <c r="L11" s="1117"/>
      <c r="M11" s="1117"/>
      <c r="N11" s="1117"/>
      <c r="O11" s="1117"/>
      <c r="P11" s="1117"/>
      <c r="Q11" s="1118"/>
    </row>
    <row r="12" spans="1:18" s="1" customFormat="1" ht="15" customHeight="1" x14ac:dyDescent="0.25">
      <c r="A12" s="1139" t="s">
        <v>6</v>
      </c>
      <c r="B12" s="1140"/>
      <c r="C12" s="1140"/>
      <c r="D12" s="1140"/>
      <c r="E12" s="1140"/>
      <c r="F12" s="1140"/>
      <c r="G12" s="1140"/>
      <c r="H12" s="1140"/>
      <c r="I12" s="1140"/>
      <c r="J12" s="1140"/>
      <c r="K12" s="1140"/>
      <c r="L12" s="1140"/>
      <c r="M12" s="1140"/>
      <c r="N12" s="1140"/>
      <c r="O12" s="1141"/>
      <c r="P12" s="1141"/>
      <c r="Q12" s="1142"/>
    </row>
    <row r="13" spans="1:18" s="1" customFormat="1" ht="15" customHeight="1" x14ac:dyDescent="0.25">
      <c r="A13" s="503" t="s">
        <v>7</v>
      </c>
      <c r="B13" s="1143" t="s">
        <v>260</v>
      </c>
      <c r="C13" s="1143"/>
      <c r="D13" s="1143"/>
      <c r="E13" s="1143"/>
      <c r="F13" s="1143"/>
      <c r="G13" s="1143"/>
      <c r="H13" s="1143"/>
      <c r="I13" s="1143"/>
      <c r="J13" s="1143"/>
      <c r="K13" s="1143"/>
      <c r="L13" s="1143"/>
      <c r="M13" s="1143"/>
      <c r="N13" s="1143"/>
      <c r="O13" s="1141"/>
      <c r="P13" s="1141"/>
      <c r="Q13" s="1142"/>
    </row>
    <row r="14" spans="1:18" s="1" customFormat="1" ht="15" customHeight="1" x14ac:dyDescent="0.25">
      <c r="A14" s="4" t="s">
        <v>7</v>
      </c>
      <c r="B14" s="5" t="s">
        <v>7</v>
      </c>
      <c r="C14" s="1144" t="s">
        <v>259</v>
      </c>
      <c r="D14" s="1145"/>
      <c r="E14" s="1145"/>
      <c r="F14" s="1145"/>
      <c r="G14" s="1145"/>
      <c r="H14" s="1145"/>
      <c r="I14" s="1145"/>
      <c r="J14" s="1145"/>
      <c r="K14" s="1145"/>
      <c r="L14" s="1145"/>
      <c r="M14" s="1145"/>
      <c r="N14" s="1145"/>
      <c r="O14" s="1146"/>
      <c r="P14" s="1146"/>
      <c r="Q14" s="1147"/>
    </row>
    <row r="15" spans="1:18" s="3" customFormat="1" ht="25.5" customHeight="1" x14ac:dyDescent="0.25">
      <c r="A15" s="6" t="s">
        <v>7</v>
      </c>
      <c r="B15" s="7" t="s">
        <v>7</v>
      </c>
      <c r="C15" s="72" t="s">
        <v>7</v>
      </c>
      <c r="D15" s="753"/>
      <c r="E15" s="504" t="s">
        <v>8</v>
      </c>
      <c r="F15" s="505"/>
      <c r="G15" s="88"/>
      <c r="H15" s="78"/>
      <c r="I15" s="506"/>
      <c r="J15" s="391"/>
      <c r="K15" s="626"/>
      <c r="L15" s="627"/>
      <c r="M15" s="367"/>
      <c r="N15" s="360"/>
      <c r="O15" s="441"/>
      <c r="P15" s="445"/>
      <c r="Q15" s="360"/>
    </row>
    <row r="16" spans="1:18" s="3" customFormat="1" ht="15" customHeight="1" x14ac:dyDescent="0.25">
      <c r="A16" s="8"/>
      <c r="B16" s="9"/>
      <c r="C16" s="113"/>
      <c r="D16" s="90" t="s">
        <v>7</v>
      </c>
      <c r="E16" s="1113" t="s">
        <v>9</v>
      </c>
      <c r="F16" s="1149" t="s">
        <v>216</v>
      </c>
      <c r="G16" s="1384" t="s">
        <v>178</v>
      </c>
      <c r="H16" s="40" t="s">
        <v>10</v>
      </c>
      <c r="I16" s="176">
        <f>7728.9+577</f>
        <v>8305.9</v>
      </c>
      <c r="J16" s="699">
        <v>9391.2000000000007</v>
      </c>
      <c r="K16" s="701">
        <v>9401.2000000000007</v>
      </c>
      <c r="L16" s="700">
        <v>9401.2000000000007</v>
      </c>
      <c r="M16" s="1151" t="s">
        <v>82</v>
      </c>
      <c r="N16" s="359">
        <v>432.5</v>
      </c>
      <c r="O16" s="446">
        <v>432.5</v>
      </c>
      <c r="P16" s="446">
        <v>432.5</v>
      </c>
      <c r="Q16" s="359">
        <v>432.5</v>
      </c>
    </row>
    <row r="17" spans="1:18" s="3" customFormat="1" ht="15" customHeight="1" x14ac:dyDescent="0.25">
      <c r="A17" s="8"/>
      <c r="B17" s="9"/>
      <c r="C17" s="113"/>
      <c r="D17" s="108"/>
      <c r="E17" s="1114"/>
      <c r="F17" s="1150"/>
      <c r="G17" s="1385"/>
      <c r="H17" s="543" t="s">
        <v>174</v>
      </c>
      <c r="I17" s="556">
        <v>482.6</v>
      </c>
      <c r="J17" s="628">
        <v>581.6</v>
      </c>
      <c r="K17" s="629">
        <v>581.6</v>
      </c>
      <c r="L17" s="630">
        <v>581.6</v>
      </c>
      <c r="M17" s="1152"/>
      <c r="N17" s="155"/>
      <c r="O17" s="442"/>
      <c r="P17" s="447"/>
      <c r="Q17" s="155"/>
    </row>
    <row r="18" spans="1:18" s="3" customFormat="1" ht="15" customHeight="1" x14ac:dyDescent="0.25">
      <c r="A18" s="10"/>
      <c r="B18" s="11"/>
      <c r="C18" s="72"/>
      <c r="D18" s="108"/>
      <c r="E18" s="1148"/>
      <c r="F18" s="1150"/>
      <c r="G18" s="1385"/>
      <c r="H18" s="543" t="s">
        <v>27</v>
      </c>
      <c r="I18" s="556">
        <v>15</v>
      </c>
      <c r="J18" s="557">
        <v>20</v>
      </c>
      <c r="K18" s="293">
        <v>20</v>
      </c>
      <c r="L18" s="619">
        <v>20</v>
      </c>
      <c r="M18" s="361" t="s">
        <v>33</v>
      </c>
      <c r="N18" s="615">
        <v>31</v>
      </c>
      <c r="O18" s="738">
        <v>31</v>
      </c>
      <c r="P18" s="740">
        <v>31</v>
      </c>
      <c r="Q18" s="616">
        <v>31</v>
      </c>
      <c r="R18" s="256"/>
    </row>
    <row r="19" spans="1:18" s="3" customFormat="1" ht="15" customHeight="1" x14ac:dyDescent="0.25">
      <c r="A19" s="10"/>
      <c r="B19" s="12"/>
      <c r="C19" s="114"/>
      <c r="D19" s="108"/>
      <c r="E19" s="750"/>
      <c r="F19" s="752"/>
      <c r="G19" s="1385"/>
      <c r="H19" s="543" t="s">
        <v>28</v>
      </c>
      <c r="I19" s="177">
        <v>19</v>
      </c>
      <c r="J19" s="557">
        <v>10</v>
      </c>
      <c r="K19" s="127"/>
      <c r="L19" s="242"/>
      <c r="M19" s="1153" t="s">
        <v>76</v>
      </c>
      <c r="N19" s="1375">
        <v>17</v>
      </c>
      <c r="O19" s="1155">
        <v>17</v>
      </c>
      <c r="P19" s="1131">
        <v>17</v>
      </c>
      <c r="Q19" s="1133">
        <v>17</v>
      </c>
    </row>
    <row r="20" spans="1:18" s="3" customFormat="1" ht="15" customHeight="1" x14ac:dyDescent="0.25">
      <c r="A20" s="10"/>
      <c r="B20" s="12"/>
      <c r="C20" s="114"/>
      <c r="D20" s="108"/>
      <c r="E20" s="750"/>
      <c r="F20" s="752"/>
      <c r="G20" s="1385"/>
      <c r="H20" s="566" t="s">
        <v>11</v>
      </c>
      <c r="I20" s="201">
        <f>641.7+29+59.4+5.8</f>
        <v>735.9</v>
      </c>
      <c r="J20" s="614">
        <v>792.1</v>
      </c>
      <c r="K20" s="279">
        <v>792.1</v>
      </c>
      <c r="L20" s="539">
        <v>792.1</v>
      </c>
      <c r="M20" s="1154"/>
      <c r="N20" s="1376"/>
      <c r="O20" s="1156"/>
      <c r="P20" s="1132"/>
      <c r="Q20" s="1134"/>
    </row>
    <row r="21" spans="1:18" s="1" customFormat="1" ht="14.45" customHeight="1" x14ac:dyDescent="0.25">
      <c r="A21" s="1135"/>
      <c r="B21" s="1136"/>
      <c r="C21" s="1137"/>
      <c r="D21" s="90" t="s">
        <v>12</v>
      </c>
      <c r="E21" s="1113" t="s">
        <v>111</v>
      </c>
      <c r="F21" s="574" t="s">
        <v>216</v>
      </c>
      <c r="G21" s="1325" t="s">
        <v>179</v>
      </c>
      <c r="H21" s="797" t="s">
        <v>10</v>
      </c>
      <c r="I21" s="559">
        <f>672.7-160.2-74.7+45+50-15+50.4+211.4+15</f>
        <v>794.59999999999991</v>
      </c>
      <c r="J21" s="262">
        <f>1072.4-50</f>
        <v>1022.4000000000001</v>
      </c>
      <c r="K21" s="560">
        <f>1018.6-50</f>
        <v>968.6</v>
      </c>
      <c r="L21" s="251">
        <f>932.1-50</f>
        <v>882.1</v>
      </c>
      <c r="M21" s="1151" t="s">
        <v>121</v>
      </c>
      <c r="N21" s="1394">
        <v>5</v>
      </c>
      <c r="O21" s="1388">
        <v>5</v>
      </c>
      <c r="P21" s="1390">
        <v>5</v>
      </c>
      <c r="Q21" s="1392">
        <v>5</v>
      </c>
    </row>
    <row r="22" spans="1:18" s="1" customFormat="1" ht="16.5" customHeight="1" x14ac:dyDescent="0.25">
      <c r="A22" s="1135"/>
      <c r="B22" s="1136"/>
      <c r="C22" s="1137"/>
      <c r="D22" s="108"/>
      <c r="E22" s="1114"/>
      <c r="F22" s="244"/>
      <c r="G22" s="1341"/>
      <c r="H22" s="796" t="s">
        <v>83</v>
      </c>
      <c r="I22" s="177"/>
      <c r="J22" s="557">
        <v>16.899999999999999</v>
      </c>
      <c r="K22" s="127"/>
      <c r="L22" s="565"/>
      <c r="M22" s="1360"/>
      <c r="N22" s="1395"/>
      <c r="O22" s="1389"/>
      <c r="P22" s="1391"/>
      <c r="Q22" s="1393"/>
    </row>
    <row r="23" spans="1:18" s="1" customFormat="1" ht="15" customHeight="1" x14ac:dyDescent="0.25">
      <c r="A23" s="1135"/>
      <c r="B23" s="1136"/>
      <c r="C23" s="1137"/>
      <c r="D23" s="108"/>
      <c r="E23" s="1138"/>
      <c r="F23" s="84"/>
      <c r="G23" s="1341"/>
      <c r="H23" s="463" t="s">
        <v>13</v>
      </c>
      <c r="I23" s="556">
        <f>81.4+19.1</f>
        <v>100.5</v>
      </c>
      <c r="J23" s="264">
        <v>150</v>
      </c>
      <c r="K23" s="538">
        <v>150</v>
      </c>
      <c r="L23" s="565">
        <v>150</v>
      </c>
      <c r="M23" s="366" t="s">
        <v>74</v>
      </c>
      <c r="N23" s="356">
        <v>21</v>
      </c>
      <c r="O23" s="410">
        <v>21</v>
      </c>
      <c r="P23" s="415">
        <v>21</v>
      </c>
      <c r="Q23" s="356">
        <v>21</v>
      </c>
    </row>
    <row r="24" spans="1:18" s="1" customFormat="1" ht="15" customHeight="1" x14ac:dyDescent="0.25">
      <c r="A24" s="1135"/>
      <c r="B24" s="1136"/>
      <c r="C24" s="1137"/>
      <c r="D24" s="108"/>
      <c r="E24" s="1138"/>
      <c r="F24" s="84"/>
      <c r="G24" s="1341"/>
      <c r="H24" s="189" t="s">
        <v>174</v>
      </c>
      <c r="I24" s="177">
        <v>74.7</v>
      </c>
      <c r="J24" s="264">
        <v>76.2</v>
      </c>
      <c r="K24" s="538">
        <v>76.2</v>
      </c>
      <c r="L24" s="565">
        <v>76.2</v>
      </c>
      <c r="M24" s="757" t="s">
        <v>152</v>
      </c>
      <c r="N24" s="357">
        <v>50</v>
      </c>
      <c r="O24" s="443">
        <v>50</v>
      </c>
      <c r="P24" s="448">
        <v>50</v>
      </c>
      <c r="Q24" s="357">
        <v>50</v>
      </c>
    </row>
    <row r="25" spans="1:18" s="1" customFormat="1" ht="27.75" customHeight="1" x14ac:dyDescent="0.25">
      <c r="A25" s="1135"/>
      <c r="B25" s="1136"/>
      <c r="C25" s="1137"/>
      <c r="D25" s="108"/>
      <c r="E25" s="1138"/>
      <c r="F25" s="84"/>
      <c r="G25" s="1341"/>
      <c r="H25" s="39" t="s">
        <v>14</v>
      </c>
      <c r="I25" s="201">
        <v>40.9</v>
      </c>
      <c r="J25" s="274"/>
      <c r="K25" s="279"/>
      <c r="L25" s="539"/>
      <c r="M25" s="362" t="s">
        <v>248</v>
      </c>
      <c r="N25" s="358">
        <v>1062</v>
      </c>
      <c r="O25" s="444">
        <v>1062</v>
      </c>
      <c r="P25" s="449">
        <v>1062</v>
      </c>
      <c r="Q25" s="358">
        <v>1062</v>
      </c>
    </row>
    <row r="26" spans="1:18" s="1" customFormat="1" ht="24" customHeight="1" x14ac:dyDescent="0.25">
      <c r="A26" s="13"/>
      <c r="B26" s="743"/>
      <c r="C26" s="722"/>
      <c r="D26" s="71" t="s">
        <v>15</v>
      </c>
      <c r="E26" s="1160" t="s">
        <v>112</v>
      </c>
      <c r="F26" s="631" t="s">
        <v>216</v>
      </c>
      <c r="G26" s="1325" t="s">
        <v>30</v>
      </c>
      <c r="H26" s="92" t="s">
        <v>10</v>
      </c>
      <c r="I26" s="176">
        <v>134</v>
      </c>
      <c r="J26" s="262">
        <v>81.3</v>
      </c>
      <c r="K26" s="128">
        <v>82.7</v>
      </c>
      <c r="L26" s="558">
        <v>102.7</v>
      </c>
      <c r="M26" s="1151" t="s">
        <v>117</v>
      </c>
      <c r="N26" s="1111" t="s">
        <v>105</v>
      </c>
      <c r="O26" s="1164" t="s">
        <v>105</v>
      </c>
      <c r="P26" s="1109" t="s">
        <v>105</v>
      </c>
      <c r="Q26" s="1111" t="s">
        <v>105</v>
      </c>
    </row>
    <row r="27" spans="1:18" s="1" customFormat="1" ht="17.100000000000001" customHeight="1" x14ac:dyDescent="0.25">
      <c r="A27" s="13"/>
      <c r="B27" s="743"/>
      <c r="C27" s="722"/>
      <c r="D27" s="104"/>
      <c r="E27" s="1161"/>
      <c r="F27" s="79"/>
      <c r="G27" s="1367"/>
      <c r="H27" s="549" t="s">
        <v>14</v>
      </c>
      <c r="I27" s="556">
        <v>25</v>
      </c>
      <c r="J27" s="557"/>
      <c r="K27" s="538"/>
      <c r="L27" s="260"/>
      <c r="M27" s="1163"/>
      <c r="N27" s="1112"/>
      <c r="O27" s="1165"/>
      <c r="P27" s="1110"/>
      <c r="Q27" s="1112"/>
    </row>
    <row r="28" spans="1:18" s="1" customFormat="1" ht="27.6" customHeight="1" x14ac:dyDescent="0.25">
      <c r="A28" s="13"/>
      <c r="B28" s="743"/>
      <c r="C28" s="722"/>
      <c r="D28" s="104"/>
      <c r="E28" s="1162"/>
      <c r="F28" s="752"/>
      <c r="G28" s="728"/>
      <c r="H28" s="463" t="s">
        <v>83</v>
      </c>
      <c r="I28" s="556">
        <v>12</v>
      </c>
      <c r="J28" s="557"/>
      <c r="K28" s="538"/>
      <c r="L28" s="565"/>
      <c r="M28" s="775" t="s">
        <v>95</v>
      </c>
      <c r="N28" s="353" t="s">
        <v>122</v>
      </c>
      <c r="O28" s="450" t="s">
        <v>122</v>
      </c>
      <c r="P28" s="453" t="s">
        <v>122</v>
      </c>
      <c r="Q28" s="353" t="s">
        <v>122</v>
      </c>
    </row>
    <row r="29" spans="1:18" s="1" customFormat="1" ht="28.5" customHeight="1" x14ac:dyDescent="0.25">
      <c r="A29" s="13"/>
      <c r="B29" s="743"/>
      <c r="C29" s="722"/>
      <c r="D29" s="727"/>
      <c r="E29" s="93" t="s">
        <v>124</v>
      </c>
      <c r="F29" s="80"/>
      <c r="G29" s="1341"/>
      <c r="H29" s="175" t="s">
        <v>10</v>
      </c>
      <c r="I29" s="178">
        <v>35.9</v>
      </c>
      <c r="J29" s="264">
        <v>46.8</v>
      </c>
      <c r="K29" s="266">
        <v>7.5</v>
      </c>
      <c r="L29" s="261">
        <v>7.5</v>
      </c>
      <c r="M29" s="361" t="s">
        <v>125</v>
      </c>
      <c r="N29" s="567">
        <v>600</v>
      </c>
      <c r="O29" s="568">
        <v>600</v>
      </c>
      <c r="P29" s="453"/>
      <c r="Q29" s="353"/>
    </row>
    <row r="30" spans="1:18" s="1" customFormat="1" ht="27.95" customHeight="1" x14ac:dyDescent="0.25">
      <c r="A30" s="13"/>
      <c r="B30" s="743"/>
      <c r="C30" s="722"/>
      <c r="D30" s="104"/>
      <c r="E30" s="748"/>
      <c r="F30" s="80"/>
      <c r="G30" s="1341"/>
      <c r="H30" s="27"/>
      <c r="I30" s="177"/>
      <c r="J30" s="263"/>
      <c r="K30" s="127"/>
      <c r="L30" s="260"/>
      <c r="M30" s="362" t="s">
        <v>127</v>
      </c>
      <c r="N30" s="569">
        <v>1</v>
      </c>
      <c r="O30" s="570">
        <v>1</v>
      </c>
      <c r="P30" s="571">
        <v>1</v>
      </c>
      <c r="Q30" s="569">
        <v>1</v>
      </c>
    </row>
    <row r="31" spans="1:18" s="1" customFormat="1" ht="15.95" customHeight="1" x14ac:dyDescent="0.25">
      <c r="A31" s="13"/>
      <c r="B31" s="743"/>
      <c r="C31" s="722"/>
      <c r="D31" s="104"/>
      <c r="E31" s="748"/>
      <c r="F31" s="80"/>
      <c r="G31" s="1341"/>
      <c r="H31" s="39"/>
      <c r="I31" s="177"/>
      <c r="J31" s="263"/>
      <c r="K31" s="127"/>
      <c r="L31" s="260"/>
      <c r="M31" s="363" t="s">
        <v>149</v>
      </c>
      <c r="N31" s="569">
        <v>15</v>
      </c>
      <c r="O31" s="570">
        <v>17</v>
      </c>
      <c r="P31" s="571">
        <v>17</v>
      </c>
      <c r="Q31" s="569">
        <v>17</v>
      </c>
    </row>
    <row r="32" spans="1:18" s="1" customFormat="1" ht="15" customHeight="1" x14ac:dyDescent="0.25">
      <c r="A32" s="13"/>
      <c r="B32" s="743"/>
      <c r="C32" s="722"/>
      <c r="D32" s="1293" t="s">
        <v>16</v>
      </c>
      <c r="E32" s="1113" t="s">
        <v>146</v>
      </c>
      <c r="F32" s="169" t="s">
        <v>216</v>
      </c>
      <c r="G32" s="1325" t="s">
        <v>30</v>
      </c>
      <c r="H32" s="561" t="s">
        <v>10</v>
      </c>
      <c r="I32" s="176">
        <f>250-100-50-50-35.8</f>
        <v>14.200000000000003</v>
      </c>
      <c r="J32" s="564"/>
      <c r="K32" s="128">
        <v>300</v>
      </c>
      <c r="L32" s="259">
        <v>300</v>
      </c>
      <c r="M32" s="747" t="s">
        <v>147</v>
      </c>
      <c r="N32" s="109">
        <v>7</v>
      </c>
      <c r="O32" s="385">
        <v>7</v>
      </c>
      <c r="P32" s="687">
        <v>7</v>
      </c>
      <c r="Q32" s="109">
        <v>7</v>
      </c>
    </row>
    <row r="33" spans="1:19" s="1" customFormat="1" ht="15" customHeight="1" x14ac:dyDescent="0.25">
      <c r="A33" s="13"/>
      <c r="B33" s="743"/>
      <c r="C33" s="722"/>
      <c r="D33" s="1295"/>
      <c r="E33" s="1114"/>
      <c r="F33" s="665"/>
      <c r="G33" s="1341"/>
      <c r="H33" s="463" t="s">
        <v>83</v>
      </c>
      <c r="I33" s="178">
        <f>450+50+50-45.4</f>
        <v>504.6</v>
      </c>
      <c r="J33" s="263">
        <v>300</v>
      </c>
      <c r="K33" s="538"/>
      <c r="L33" s="565"/>
      <c r="M33" s="364"/>
      <c r="N33" s="247"/>
      <c r="O33" s="451"/>
      <c r="P33" s="454"/>
      <c r="Q33" s="247"/>
    </row>
    <row r="34" spans="1:19" s="1" customFormat="1" ht="15" customHeight="1" x14ac:dyDescent="0.25">
      <c r="A34" s="13"/>
      <c r="B34" s="743"/>
      <c r="C34" s="722"/>
      <c r="D34" s="1295"/>
      <c r="E34" s="1114"/>
      <c r="F34" s="665"/>
      <c r="G34" s="1341"/>
      <c r="H34" s="156" t="s">
        <v>11</v>
      </c>
      <c r="I34" s="201">
        <f>17.1+174.7+86.3+90.1</f>
        <v>368.19999999999993</v>
      </c>
      <c r="J34" s="274"/>
      <c r="K34" s="129"/>
      <c r="L34" s="139"/>
      <c r="M34" s="365"/>
      <c r="N34" s="354"/>
      <c r="O34" s="452"/>
      <c r="P34" s="455"/>
      <c r="Q34" s="354"/>
    </row>
    <row r="35" spans="1:19" s="1" customFormat="1" ht="42" customHeight="1" x14ac:dyDescent="0.25">
      <c r="A35" s="13"/>
      <c r="B35" s="743"/>
      <c r="C35" s="722"/>
      <c r="D35" s="1295"/>
      <c r="E35" s="1114"/>
      <c r="F35" s="665"/>
      <c r="G35" s="1291" t="s">
        <v>261</v>
      </c>
      <c r="H35" s="561" t="s">
        <v>83</v>
      </c>
      <c r="I35" s="559">
        <v>45.4</v>
      </c>
      <c r="J35" s="578"/>
      <c r="K35" s="560"/>
      <c r="L35" s="558"/>
      <c r="M35" s="465" t="s">
        <v>189</v>
      </c>
      <c r="N35" s="579">
        <v>7667</v>
      </c>
      <c r="O35" s="575"/>
      <c r="P35" s="576"/>
      <c r="Q35" s="247"/>
    </row>
    <row r="36" spans="1:19" s="1" customFormat="1" ht="42" customHeight="1" x14ac:dyDescent="0.25">
      <c r="A36" s="13"/>
      <c r="B36" s="743"/>
      <c r="C36" s="722"/>
      <c r="D36" s="727"/>
      <c r="E36" s="725"/>
      <c r="F36" s="666"/>
      <c r="G36" s="1292"/>
      <c r="H36" s="39" t="s">
        <v>83</v>
      </c>
      <c r="I36" s="177"/>
      <c r="J36" s="242">
        <v>530.70000000000005</v>
      </c>
      <c r="K36" s="129"/>
      <c r="L36" s="242"/>
      <c r="M36" s="486" t="s">
        <v>147</v>
      </c>
      <c r="N36" s="600"/>
      <c r="O36" s="601">
        <v>5</v>
      </c>
      <c r="P36" s="454"/>
      <c r="Q36" s="577"/>
    </row>
    <row r="37" spans="1:19" s="1" customFormat="1" ht="26.45" customHeight="1" x14ac:dyDescent="0.25">
      <c r="A37" s="720"/>
      <c r="B37" s="743"/>
      <c r="C37" s="733"/>
      <c r="D37" s="726" t="s">
        <v>18</v>
      </c>
      <c r="E37" s="1113" t="s">
        <v>158</v>
      </c>
      <c r="F37" s="574" t="s">
        <v>133</v>
      </c>
      <c r="G37" s="745" t="s">
        <v>17</v>
      </c>
      <c r="H37" s="561" t="s">
        <v>10</v>
      </c>
      <c r="I37" s="176">
        <f>12+32</f>
        <v>44</v>
      </c>
      <c r="J37" s="564">
        <f>270-226+12-10</f>
        <v>46</v>
      </c>
      <c r="K37" s="130">
        <f>355-311</f>
        <v>44</v>
      </c>
      <c r="L37" s="558">
        <f>265-221</f>
        <v>44</v>
      </c>
      <c r="M37" s="461" t="s">
        <v>123</v>
      </c>
      <c r="N37" s="535" t="s">
        <v>211</v>
      </c>
      <c r="O37" s="705" t="s">
        <v>243</v>
      </c>
      <c r="P37" s="706" t="s">
        <v>206</v>
      </c>
      <c r="Q37" s="707" t="s">
        <v>206</v>
      </c>
      <c r="S37" s="3"/>
    </row>
    <row r="38" spans="1:19" s="1" customFormat="1" ht="26.45" customHeight="1" x14ac:dyDescent="0.25">
      <c r="A38" s="720"/>
      <c r="B38" s="721"/>
      <c r="C38" s="733"/>
      <c r="D38" s="104"/>
      <c r="E38" s="1158"/>
      <c r="F38" s="659" t="s">
        <v>216</v>
      </c>
      <c r="G38" s="728"/>
      <c r="H38" s="39" t="s">
        <v>83</v>
      </c>
      <c r="I38" s="178"/>
      <c r="J38" s="633">
        <v>3.5</v>
      </c>
      <c r="K38" s="266"/>
      <c r="L38" s="554"/>
      <c r="M38" s="362" t="s">
        <v>212</v>
      </c>
      <c r="N38" s="709">
        <v>1</v>
      </c>
      <c r="O38" s="815">
        <v>1</v>
      </c>
      <c r="P38" s="816">
        <v>1</v>
      </c>
      <c r="Q38" s="817">
        <v>1</v>
      </c>
    </row>
    <row r="39" spans="1:19" s="1" customFormat="1" ht="39.950000000000003" customHeight="1" x14ac:dyDescent="0.25">
      <c r="A39" s="720"/>
      <c r="B39" s="721"/>
      <c r="C39" s="733"/>
      <c r="D39" s="104"/>
      <c r="E39" s="724"/>
      <c r="F39" s="664" t="s">
        <v>218</v>
      </c>
      <c r="G39" s="731"/>
      <c r="H39" s="156"/>
      <c r="I39" s="179"/>
      <c r="J39" s="814"/>
      <c r="K39" s="129"/>
      <c r="L39" s="329"/>
      <c r="M39" s="776" t="s">
        <v>236</v>
      </c>
      <c r="N39" s="779"/>
      <c r="O39" s="782">
        <v>130</v>
      </c>
      <c r="P39" s="780"/>
      <c r="Q39" s="781"/>
    </row>
    <row r="40" spans="1:19" s="1" customFormat="1" ht="41.45" customHeight="1" x14ac:dyDescent="0.25">
      <c r="A40" s="1135"/>
      <c r="B40" s="1136"/>
      <c r="C40" s="1157"/>
      <c r="D40" s="71" t="s">
        <v>19</v>
      </c>
      <c r="E40" s="1113" t="s">
        <v>262</v>
      </c>
      <c r="F40" s="751" t="s">
        <v>216</v>
      </c>
      <c r="G40" s="1341" t="s">
        <v>180</v>
      </c>
      <c r="H40" s="39" t="s">
        <v>10</v>
      </c>
      <c r="I40" s="27">
        <f>256.4-90</f>
        <v>166.39999999999998</v>
      </c>
      <c r="J40" s="527">
        <v>166.4</v>
      </c>
      <c r="K40" s="253">
        <v>166.4</v>
      </c>
      <c r="L40" s="64">
        <v>166.4</v>
      </c>
      <c r="M40" s="757" t="s">
        <v>207</v>
      </c>
      <c r="N40" s="459"/>
      <c r="O40" s="408">
        <v>3</v>
      </c>
      <c r="P40" s="719">
        <v>3</v>
      </c>
      <c r="Q40" s="690">
        <v>3</v>
      </c>
    </row>
    <row r="41" spans="1:19" s="1" customFormat="1" ht="25.7" customHeight="1" x14ac:dyDescent="0.25">
      <c r="A41" s="1135"/>
      <c r="B41" s="1136"/>
      <c r="C41" s="1157"/>
      <c r="D41" s="104"/>
      <c r="E41" s="1114"/>
      <c r="F41" s="667"/>
      <c r="G41" s="1341"/>
      <c r="H41" s="39"/>
      <c r="I41" s="27"/>
      <c r="J41" s="527"/>
      <c r="K41" s="253"/>
      <c r="L41" s="64"/>
      <c r="M41" s="757" t="s">
        <v>157</v>
      </c>
      <c r="N41" s="189">
        <v>1</v>
      </c>
      <c r="O41" s="456">
        <v>1</v>
      </c>
      <c r="P41" s="456">
        <v>1</v>
      </c>
      <c r="Q41" s="403">
        <v>1</v>
      </c>
    </row>
    <row r="42" spans="1:19" s="1" customFormat="1" ht="17.25" customHeight="1" x14ac:dyDescent="0.25">
      <c r="A42" s="1135"/>
      <c r="B42" s="1136"/>
      <c r="C42" s="1157"/>
      <c r="D42" s="104"/>
      <c r="E42" s="1114"/>
      <c r="F42" s="667"/>
      <c r="G42" s="1341"/>
      <c r="H42" s="39"/>
      <c r="I42" s="177"/>
      <c r="J42" s="131"/>
      <c r="K42" s="131"/>
      <c r="L42" s="131"/>
      <c r="M42" s="757" t="s">
        <v>168</v>
      </c>
      <c r="N42" s="189">
        <v>64</v>
      </c>
      <c r="O42" s="456">
        <v>45</v>
      </c>
      <c r="P42" s="456">
        <v>45</v>
      </c>
      <c r="Q42" s="403">
        <v>45</v>
      </c>
    </row>
    <row r="43" spans="1:19" s="1" customFormat="1" ht="17.25" customHeight="1" x14ac:dyDescent="0.25">
      <c r="A43" s="1135"/>
      <c r="B43" s="1136"/>
      <c r="C43" s="1157"/>
      <c r="D43" s="104"/>
      <c r="E43" s="1114"/>
      <c r="F43" s="667"/>
      <c r="G43" s="1341"/>
      <c r="H43" s="39"/>
      <c r="I43" s="177"/>
      <c r="J43" s="131"/>
      <c r="K43" s="131"/>
      <c r="L43" s="131"/>
      <c r="M43" s="1028" t="s">
        <v>249</v>
      </c>
      <c r="N43" s="1029">
        <v>52</v>
      </c>
      <c r="O43" s="456">
        <v>50</v>
      </c>
      <c r="P43" s="456">
        <v>50</v>
      </c>
      <c r="Q43" s="403">
        <v>50</v>
      </c>
    </row>
    <row r="44" spans="1:19" s="1" customFormat="1" ht="27.6" customHeight="1" x14ac:dyDescent="0.25">
      <c r="A44" s="1135"/>
      <c r="B44" s="1136"/>
      <c r="C44" s="1157"/>
      <c r="D44" s="104"/>
      <c r="E44" s="1114"/>
      <c r="F44" s="667"/>
      <c r="G44" s="1341"/>
      <c r="H44" s="39"/>
      <c r="I44" s="177"/>
      <c r="J44" s="131"/>
      <c r="K44" s="131"/>
      <c r="L44" s="131"/>
      <c r="M44" s="812" t="s">
        <v>241</v>
      </c>
      <c r="N44" s="813"/>
      <c r="O44" s="187">
        <v>44</v>
      </c>
      <c r="P44" s="187">
        <v>44</v>
      </c>
      <c r="Q44" s="708">
        <v>44</v>
      </c>
    </row>
    <row r="45" spans="1:19" s="1" customFormat="1" ht="27" customHeight="1" x14ac:dyDescent="0.25">
      <c r="A45" s="1135"/>
      <c r="B45" s="1136"/>
      <c r="C45" s="1157"/>
      <c r="D45" s="104"/>
      <c r="E45" s="1114"/>
      <c r="F45" s="667"/>
      <c r="G45" s="1341"/>
      <c r="H45" s="39"/>
      <c r="I45" s="177"/>
      <c r="J45" s="131"/>
      <c r="K45" s="131"/>
      <c r="L45" s="131"/>
      <c r="M45" s="362" t="s">
        <v>91</v>
      </c>
      <c r="N45" s="572">
        <v>95.4</v>
      </c>
      <c r="O45" s="571">
        <v>95.4</v>
      </c>
      <c r="P45" s="571">
        <v>95.4</v>
      </c>
      <c r="Q45" s="569">
        <v>95.4</v>
      </c>
    </row>
    <row r="46" spans="1:19" s="1" customFormat="1" ht="14.45" customHeight="1" x14ac:dyDescent="0.25">
      <c r="A46" s="1135"/>
      <c r="B46" s="1136"/>
      <c r="C46" s="1157"/>
      <c r="D46" s="104"/>
      <c r="E46" s="1158"/>
      <c r="F46" s="667"/>
      <c r="G46" s="1326"/>
      <c r="H46" s="39"/>
      <c r="I46" s="177"/>
      <c r="J46" s="131"/>
      <c r="K46" s="131"/>
      <c r="L46" s="131"/>
      <c r="M46" s="366" t="s">
        <v>106</v>
      </c>
      <c r="N46" s="463">
        <v>3</v>
      </c>
      <c r="O46" s="457">
        <v>3</v>
      </c>
      <c r="P46" s="457">
        <v>3</v>
      </c>
      <c r="Q46" s="356">
        <v>3</v>
      </c>
    </row>
    <row r="47" spans="1:19" s="1" customFormat="1" ht="21.6" customHeight="1" x14ac:dyDescent="0.25">
      <c r="A47" s="720"/>
      <c r="B47" s="721"/>
      <c r="C47" s="722"/>
      <c r="D47" s="726" t="s">
        <v>22</v>
      </c>
      <c r="E47" s="1113" t="s">
        <v>100</v>
      </c>
      <c r="F47" s="169" t="s">
        <v>216</v>
      </c>
      <c r="G47" s="728" t="s">
        <v>20</v>
      </c>
      <c r="H47" s="561" t="s">
        <v>10</v>
      </c>
      <c r="I47" s="559">
        <f>59+15+20-1</f>
        <v>93</v>
      </c>
      <c r="J47" s="130"/>
      <c r="K47" s="560">
        <v>100</v>
      </c>
      <c r="L47" s="130">
        <v>100</v>
      </c>
      <c r="M47" s="461" t="s">
        <v>21</v>
      </c>
      <c r="N47" s="464">
        <v>130</v>
      </c>
      <c r="O47" s="458">
        <v>130</v>
      </c>
      <c r="P47" s="458">
        <v>130</v>
      </c>
      <c r="Q47" s="406">
        <v>130</v>
      </c>
    </row>
    <row r="48" spans="1:19" s="1" customFormat="1" ht="21.6" customHeight="1" x14ac:dyDescent="0.25">
      <c r="A48" s="720"/>
      <c r="B48" s="721"/>
      <c r="C48" s="722"/>
      <c r="D48" s="57"/>
      <c r="E48" s="1159"/>
      <c r="F48" s="80"/>
      <c r="G48" s="39"/>
      <c r="H48" s="39" t="s">
        <v>83</v>
      </c>
      <c r="I48" s="179"/>
      <c r="J48" s="274">
        <v>100</v>
      </c>
      <c r="K48" s="131"/>
      <c r="L48" s="539"/>
      <c r="M48" s="776" t="s">
        <v>169</v>
      </c>
      <c r="N48" s="156"/>
      <c r="O48" s="462"/>
      <c r="P48" s="416"/>
      <c r="Q48" s="376"/>
    </row>
    <row r="49" spans="1:17" s="1" customFormat="1" ht="21.6" customHeight="1" x14ac:dyDescent="0.25">
      <c r="A49" s="720"/>
      <c r="B49" s="743"/>
      <c r="C49" s="733"/>
      <c r="D49" s="71" t="s">
        <v>23</v>
      </c>
      <c r="E49" s="1113" t="s">
        <v>24</v>
      </c>
      <c r="F49" s="668" t="s">
        <v>216</v>
      </c>
      <c r="G49" s="1308" t="s">
        <v>141</v>
      </c>
      <c r="H49" s="561" t="s">
        <v>10</v>
      </c>
      <c r="I49" s="559">
        <f>22.5+3</f>
        <v>25.5</v>
      </c>
      <c r="J49" s="564">
        <v>28.4</v>
      </c>
      <c r="K49" s="128">
        <v>28.4</v>
      </c>
      <c r="L49" s="602">
        <v>28.4</v>
      </c>
      <c r="M49" s="1166" t="s">
        <v>25</v>
      </c>
      <c r="N49" s="109">
        <v>18</v>
      </c>
      <c r="O49" s="573">
        <v>19</v>
      </c>
      <c r="P49" s="394">
        <v>19</v>
      </c>
      <c r="Q49" s="109">
        <v>19</v>
      </c>
    </row>
    <row r="50" spans="1:17" s="1" customFormat="1" ht="21.6" customHeight="1" x14ac:dyDescent="0.25">
      <c r="A50" s="13"/>
      <c r="B50" s="743"/>
      <c r="C50" s="733"/>
      <c r="D50" s="70"/>
      <c r="E50" s="1178"/>
      <c r="F50" s="669"/>
      <c r="G50" s="1309"/>
      <c r="H50" s="156" t="s">
        <v>83</v>
      </c>
      <c r="I50" s="179">
        <v>9.6</v>
      </c>
      <c r="J50" s="265"/>
      <c r="K50" s="279"/>
      <c r="L50" s="539"/>
      <c r="M50" s="1179"/>
      <c r="N50" s="377"/>
      <c r="O50" s="739"/>
      <c r="P50" s="741"/>
      <c r="Q50" s="377"/>
    </row>
    <row r="51" spans="1:17" s="1" customFormat="1" ht="22.5" customHeight="1" x14ac:dyDescent="0.25">
      <c r="A51" s="13"/>
      <c r="B51" s="721"/>
      <c r="C51" s="722"/>
      <c r="D51" s="1293" t="s">
        <v>26</v>
      </c>
      <c r="E51" s="1180" t="s">
        <v>134</v>
      </c>
      <c r="F51" s="668" t="s">
        <v>216</v>
      </c>
      <c r="G51" s="1323" t="s">
        <v>138</v>
      </c>
      <c r="H51" s="745" t="s">
        <v>10</v>
      </c>
      <c r="I51" s="176">
        <f>43.7-15</f>
        <v>28.700000000000003</v>
      </c>
      <c r="J51" s="262">
        <v>43.7</v>
      </c>
      <c r="K51" s="128">
        <v>43.7</v>
      </c>
      <c r="L51" s="259">
        <v>43.7</v>
      </c>
      <c r="M51" s="747" t="s">
        <v>135</v>
      </c>
      <c r="N51" s="40">
        <v>55</v>
      </c>
      <c r="O51" s="385">
        <v>55</v>
      </c>
      <c r="P51" s="394">
        <v>55</v>
      </c>
      <c r="Q51" s="109">
        <v>55</v>
      </c>
    </row>
    <row r="52" spans="1:17" s="1" customFormat="1" ht="22.5" customHeight="1" x14ac:dyDescent="0.25">
      <c r="A52" s="13"/>
      <c r="B52" s="721"/>
      <c r="C52" s="722"/>
      <c r="D52" s="1294"/>
      <c r="E52" s="1181"/>
      <c r="F52" s="664" t="s">
        <v>133</v>
      </c>
      <c r="G52" s="1324"/>
      <c r="H52" s="731"/>
      <c r="I52" s="177"/>
      <c r="J52" s="265"/>
      <c r="K52" s="131"/>
      <c r="L52" s="329"/>
      <c r="M52" s="776"/>
      <c r="N52" s="376"/>
      <c r="O52" s="387"/>
      <c r="P52" s="741"/>
      <c r="Q52" s="632"/>
    </row>
    <row r="53" spans="1:17" s="1" customFormat="1" ht="41.25" customHeight="1" x14ac:dyDescent="0.25">
      <c r="A53" s="13"/>
      <c r="B53" s="721"/>
      <c r="C53" s="722"/>
      <c r="D53" s="726" t="s">
        <v>29</v>
      </c>
      <c r="E53" s="723" t="s">
        <v>153</v>
      </c>
      <c r="F53" s="169" t="s">
        <v>216</v>
      </c>
      <c r="G53" s="745" t="s">
        <v>20</v>
      </c>
      <c r="H53" s="40" t="s">
        <v>10</v>
      </c>
      <c r="I53" s="176">
        <f>17+1</f>
        <v>18</v>
      </c>
      <c r="J53" s="130">
        <v>5</v>
      </c>
      <c r="K53" s="130">
        <v>25</v>
      </c>
      <c r="L53" s="130">
        <v>5</v>
      </c>
      <c r="M53" s="465" t="s">
        <v>154</v>
      </c>
      <c r="N53" s="355">
        <v>1</v>
      </c>
      <c r="O53" s="386"/>
      <c r="P53" s="395">
        <v>1</v>
      </c>
      <c r="Q53" s="355"/>
    </row>
    <row r="54" spans="1:17" s="1" customFormat="1" ht="27" customHeight="1" x14ac:dyDescent="0.25">
      <c r="A54" s="13"/>
      <c r="B54" s="721"/>
      <c r="C54" s="722"/>
      <c r="D54" s="727"/>
      <c r="E54" s="754"/>
      <c r="F54" s="752"/>
      <c r="G54" s="731"/>
      <c r="H54" s="156"/>
      <c r="I54" s="179"/>
      <c r="J54" s="132"/>
      <c r="K54" s="132"/>
      <c r="L54" s="132"/>
      <c r="M54" s="466" t="s">
        <v>159</v>
      </c>
      <c r="N54" s="376">
        <v>1</v>
      </c>
      <c r="O54" s="387">
        <v>1</v>
      </c>
      <c r="P54" s="396">
        <v>1</v>
      </c>
      <c r="Q54" s="376">
        <v>1</v>
      </c>
    </row>
    <row r="55" spans="1:17" s="1" customFormat="1" ht="43.5" customHeight="1" x14ac:dyDescent="0.25">
      <c r="A55" s="13"/>
      <c r="B55" s="721"/>
      <c r="C55" s="722"/>
      <c r="D55" s="164" t="s">
        <v>148</v>
      </c>
      <c r="E55" s="723" t="s">
        <v>156</v>
      </c>
      <c r="F55" s="670" t="s">
        <v>216</v>
      </c>
      <c r="G55" s="755" t="s">
        <v>162</v>
      </c>
      <c r="H55" s="745" t="s">
        <v>10</v>
      </c>
      <c r="I55" s="176">
        <f>70-17</f>
        <v>53</v>
      </c>
      <c r="J55" s="617">
        <v>56</v>
      </c>
      <c r="K55" s="617">
        <v>64.599999999999994</v>
      </c>
      <c r="L55" s="618">
        <v>64.599999999999994</v>
      </c>
      <c r="M55" s="460" t="s">
        <v>160</v>
      </c>
      <c r="N55" s="109">
        <v>116</v>
      </c>
      <c r="O55" s="385">
        <v>116</v>
      </c>
      <c r="P55" s="394">
        <v>116</v>
      </c>
      <c r="Q55" s="109">
        <v>116</v>
      </c>
    </row>
    <row r="56" spans="1:17" s="1" customFormat="1" ht="68.099999999999994" customHeight="1" x14ac:dyDescent="0.25">
      <c r="A56" s="13"/>
      <c r="B56" s="721"/>
      <c r="C56" s="722"/>
      <c r="D56" s="185">
        <v>12</v>
      </c>
      <c r="E56" s="723" t="s">
        <v>161</v>
      </c>
      <c r="F56" s="751" t="s">
        <v>216</v>
      </c>
      <c r="G56" s="755" t="s">
        <v>186</v>
      </c>
      <c r="H56" s="769" t="s">
        <v>10</v>
      </c>
      <c r="I56" s="176">
        <v>2</v>
      </c>
      <c r="J56" s="130"/>
      <c r="K56" s="130"/>
      <c r="L56" s="130"/>
      <c r="M56" s="465" t="s">
        <v>170</v>
      </c>
      <c r="N56" s="109">
        <v>1</v>
      </c>
      <c r="O56" s="385"/>
      <c r="P56" s="394"/>
      <c r="Q56" s="109"/>
    </row>
    <row r="57" spans="1:17" s="1" customFormat="1" ht="15.6" customHeight="1" x14ac:dyDescent="0.25">
      <c r="A57" s="13"/>
      <c r="B57" s="721"/>
      <c r="C57" s="722"/>
      <c r="D57" s="185">
        <v>13</v>
      </c>
      <c r="E57" s="1113" t="s">
        <v>192</v>
      </c>
      <c r="F57" s="751" t="s">
        <v>216</v>
      </c>
      <c r="G57" s="1386" t="s">
        <v>97</v>
      </c>
      <c r="H57" s="745" t="s">
        <v>10</v>
      </c>
      <c r="I57" s="176">
        <v>35.799999999999997</v>
      </c>
      <c r="J57" s="564">
        <v>42.9</v>
      </c>
      <c r="K57" s="130"/>
      <c r="L57" s="130"/>
      <c r="M57" s="465" t="s">
        <v>193</v>
      </c>
      <c r="N57" s="109"/>
      <c r="O57" s="385">
        <v>1</v>
      </c>
      <c r="P57" s="394"/>
      <c r="Q57" s="109"/>
    </row>
    <row r="58" spans="1:17" s="1" customFormat="1" ht="15.6" customHeight="1" x14ac:dyDescent="0.25">
      <c r="A58" s="13"/>
      <c r="B58" s="721"/>
      <c r="C58" s="722"/>
      <c r="D58" s="698"/>
      <c r="E58" s="1115"/>
      <c r="F58" s="664"/>
      <c r="G58" s="1387"/>
      <c r="H58" s="566" t="s">
        <v>83</v>
      </c>
      <c r="I58" s="201"/>
      <c r="J58" s="131">
        <v>26.3</v>
      </c>
      <c r="K58" s="279"/>
      <c r="L58" s="539"/>
      <c r="M58" s="365"/>
      <c r="N58" s="156"/>
      <c r="O58" s="387"/>
      <c r="P58" s="396"/>
      <c r="Q58" s="632"/>
    </row>
    <row r="59" spans="1:17" s="1" customFormat="1" ht="42.95" customHeight="1" x14ac:dyDescent="0.25">
      <c r="A59" s="13"/>
      <c r="B59" s="721"/>
      <c r="C59" s="722"/>
      <c r="D59" s="185">
        <v>14</v>
      </c>
      <c r="E59" s="818" t="s">
        <v>242</v>
      </c>
      <c r="F59" s="751" t="s">
        <v>216</v>
      </c>
      <c r="G59" s="755" t="s">
        <v>225</v>
      </c>
      <c r="H59" s="745" t="s">
        <v>10</v>
      </c>
      <c r="I59" s="176"/>
      <c r="J59" s="130">
        <v>12.1</v>
      </c>
      <c r="K59" s="130"/>
      <c r="L59" s="251"/>
      <c r="M59" s="465" t="s">
        <v>98</v>
      </c>
      <c r="N59" s="109"/>
      <c r="O59" s="385">
        <v>1</v>
      </c>
      <c r="P59" s="394"/>
      <c r="Q59" s="109"/>
    </row>
    <row r="60" spans="1:17" s="1" customFormat="1" ht="16.5" customHeight="1" thickBot="1" x14ac:dyDescent="0.3">
      <c r="A60" s="14"/>
      <c r="B60" s="744"/>
      <c r="C60" s="115"/>
      <c r="D60" s="221"/>
      <c r="E60" s="220"/>
      <c r="F60" s="671"/>
      <c r="G60" s="218"/>
      <c r="H60" s="181" t="s">
        <v>31</v>
      </c>
      <c r="I60" s="183">
        <f>SUM(I16:I59)</f>
        <v>12184.400000000001</v>
      </c>
      <c r="J60" s="137">
        <f>SUM(J16:J59)</f>
        <v>13549.5</v>
      </c>
      <c r="K60" s="137">
        <f>SUM(K16:K59)</f>
        <v>12852.000000000004</v>
      </c>
      <c r="L60" s="137">
        <f>SUM(L16:L59)</f>
        <v>12765.500000000004</v>
      </c>
      <c r="M60" s="467"/>
      <c r="N60" s="378"/>
      <c r="O60" s="388"/>
      <c r="P60" s="397"/>
      <c r="Q60" s="378"/>
    </row>
    <row r="61" spans="1:17" s="1" customFormat="1" ht="26.25" customHeight="1" x14ac:dyDescent="0.25">
      <c r="A61" s="1168" t="s">
        <v>7</v>
      </c>
      <c r="B61" s="1170" t="s">
        <v>7</v>
      </c>
      <c r="C61" s="1172" t="s">
        <v>12</v>
      </c>
      <c r="D61" s="1363"/>
      <c r="E61" s="1174" t="s">
        <v>208</v>
      </c>
      <c r="F61" s="1176" t="s">
        <v>216</v>
      </c>
      <c r="G61" s="1333" t="s">
        <v>210</v>
      </c>
      <c r="H61" s="188" t="s">
        <v>10</v>
      </c>
      <c r="I61" s="190">
        <v>247.8</v>
      </c>
      <c r="J61" s="289">
        <v>284.8</v>
      </c>
      <c r="K61" s="290">
        <v>284.8</v>
      </c>
      <c r="L61" s="288">
        <v>284.8</v>
      </c>
      <c r="M61" s="530" t="s">
        <v>209</v>
      </c>
      <c r="N61" s="532">
        <v>9</v>
      </c>
      <c r="O61" s="531">
        <v>9</v>
      </c>
      <c r="P61" s="529">
        <v>9</v>
      </c>
      <c r="Q61" s="184">
        <v>9</v>
      </c>
    </row>
    <row r="62" spans="1:17" s="1" customFormat="1" ht="15.75" customHeight="1" thickBot="1" x14ac:dyDescent="0.3">
      <c r="A62" s="1169"/>
      <c r="B62" s="1171"/>
      <c r="C62" s="1173"/>
      <c r="D62" s="1364"/>
      <c r="E62" s="1175"/>
      <c r="F62" s="1177"/>
      <c r="G62" s="1365"/>
      <c r="H62" s="182" t="s">
        <v>31</v>
      </c>
      <c r="I62" s="183">
        <f>SUM(I61:I61)</f>
        <v>247.8</v>
      </c>
      <c r="J62" s="286">
        <f t="shared" ref="J62:L62" si="0">SUM(J61:J61)</f>
        <v>284.8</v>
      </c>
      <c r="K62" s="69">
        <f t="shared" si="0"/>
        <v>284.8</v>
      </c>
      <c r="L62" s="528">
        <f t="shared" si="0"/>
        <v>284.8</v>
      </c>
      <c r="M62" s="470"/>
      <c r="N62" s="380"/>
      <c r="O62" s="390"/>
      <c r="P62" s="399"/>
      <c r="Q62" s="380"/>
    </row>
    <row r="63" spans="1:17" s="1" customFormat="1" ht="18" customHeight="1" x14ac:dyDescent="0.25">
      <c r="A63" s="1168" t="s">
        <v>7</v>
      </c>
      <c r="B63" s="1170" t="s">
        <v>7</v>
      </c>
      <c r="C63" s="1172" t="s">
        <v>15</v>
      </c>
      <c r="D63" s="56"/>
      <c r="E63" s="1174" t="s">
        <v>32</v>
      </c>
      <c r="F63" s="1310"/>
      <c r="G63" s="154" t="s">
        <v>131</v>
      </c>
      <c r="H63" s="200" t="s">
        <v>226</v>
      </c>
      <c r="I63" s="166">
        <v>357.8</v>
      </c>
      <c r="J63" s="330"/>
      <c r="K63" s="278"/>
      <c r="L63" s="166"/>
      <c r="M63" s="469" t="s">
        <v>33</v>
      </c>
      <c r="N63" s="379">
        <v>31</v>
      </c>
      <c r="O63" s="389"/>
      <c r="P63" s="398"/>
      <c r="Q63" s="379"/>
    </row>
    <row r="64" spans="1:17" s="1" customFormat="1" ht="15" customHeight="1" x14ac:dyDescent="0.25">
      <c r="A64" s="1135"/>
      <c r="B64" s="1136"/>
      <c r="C64" s="1157"/>
      <c r="D64" s="110"/>
      <c r="E64" s="1114"/>
      <c r="F64" s="1311"/>
      <c r="G64" s="730" t="s">
        <v>139</v>
      </c>
      <c r="H64" s="199" t="s">
        <v>226</v>
      </c>
      <c r="I64" s="201">
        <v>34.700000000000003</v>
      </c>
      <c r="J64" s="274"/>
      <c r="K64" s="279"/>
      <c r="L64" s="271"/>
      <c r="M64" s="228"/>
      <c r="N64" s="376"/>
      <c r="O64" s="387"/>
      <c r="P64" s="396"/>
      <c r="Q64" s="376"/>
    </row>
    <row r="65" spans="1:17" s="1" customFormat="1" ht="15.95" customHeight="1" thickBot="1" x14ac:dyDescent="0.3">
      <c r="A65" s="1169"/>
      <c r="B65" s="1171"/>
      <c r="C65" s="1173"/>
      <c r="D65" s="226"/>
      <c r="E65" s="223"/>
      <c r="F65" s="672"/>
      <c r="G65" s="222"/>
      <c r="H65" s="182" t="s">
        <v>31</v>
      </c>
      <c r="I65" s="183"/>
      <c r="J65" s="275"/>
      <c r="K65" s="280"/>
      <c r="L65" s="65"/>
      <c r="M65" s="472"/>
      <c r="N65" s="380"/>
      <c r="O65" s="390"/>
      <c r="P65" s="399"/>
      <c r="Q65" s="380"/>
    </row>
    <row r="66" spans="1:17" s="1" customFormat="1" ht="15" customHeight="1" x14ac:dyDescent="0.25">
      <c r="A66" s="1168" t="s">
        <v>7</v>
      </c>
      <c r="B66" s="1192" t="s">
        <v>7</v>
      </c>
      <c r="C66" s="1172" t="s">
        <v>16</v>
      </c>
      <c r="D66" s="56"/>
      <c r="E66" s="1174" t="s">
        <v>75</v>
      </c>
      <c r="F66" s="1310"/>
      <c r="G66" s="1333" t="s">
        <v>180</v>
      </c>
      <c r="H66" s="734" t="s">
        <v>226</v>
      </c>
      <c r="I66" s="712">
        <f>363.2-4.8</f>
        <v>358.4</v>
      </c>
      <c r="J66" s="276"/>
      <c r="K66" s="278"/>
      <c r="L66" s="272"/>
      <c r="M66" s="1312" t="s">
        <v>76</v>
      </c>
      <c r="N66" s="379">
        <v>17</v>
      </c>
      <c r="O66" s="389"/>
      <c r="P66" s="398"/>
      <c r="Q66" s="379"/>
    </row>
    <row r="67" spans="1:17" s="1" customFormat="1" ht="13.5" customHeight="1" x14ac:dyDescent="0.25">
      <c r="A67" s="1135"/>
      <c r="B67" s="1183"/>
      <c r="C67" s="1157"/>
      <c r="D67" s="43"/>
      <c r="E67" s="1114"/>
      <c r="F67" s="1361"/>
      <c r="G67" s="1341"/>
      <c r="H67" s="202"/>
      <c r="I67" s="331"/>
      <c r="J67" s="332"/>
      <c r="K67" s="281"/>
      <c r="L67" s="203"/>
      <c r="M67" s="1152"/>
      <c r="N67" s="376"/>
      <c r="O67" s="387"/>
      <c r="P67" s="396"/>
      <c r="Q67" s="376"/>
    </row>
    <row r="68" spans="1:17" s="1" customFormat="1" ht="14.25" customHeight="1" x14ac:dyDescent="0.25">
      <c r="A68" s="1135"/>
      <c r="B68" s="1183"/>
      <c r="C68" s="1157"/>
      <c r="D68" s="225"/>
      <c r="E68" s="1115"/>
      <c r="F68" s="1311"/>
      <c r="G68" s="217" t="s">
        <v>139</v>
      </c>
      <c r="H68" s="774" t="s">
        <v>226</v>
      </c>
      <c r="I68" s="713">
        <f>13+24.5</f>
        <v>37.5</v>
      </c>
      <c r="J68" s="277"/>
      <c r="K68" s="282"/>
      <c r="L68" s="273"/>
      <c r="M68" s="764"/>
      <c r="N68" s="381"/>
      <c r="O68" s="391"/>
      <c r="P68" s="400"/>
      <c r="Q68" s="381"/>
    </row>
    <row r="69" spans="1:17" s="1" customFormat="1" ht="15.6" customHeight="1" thickBot="1" x14ac:dyDescent="0.3">
      <c r="A69" s="1169"/>
      <c r="B69" s="1184"/>
      <c r="C69" s="1173"/>
      <c r="D69" s="41"/>
      <c r="E69" s="224"/>
      <c r="F69" s="673"/>
      <c r="G69" s="153"/>
      <c r="H69" s="182" t="s">
        <v>31</v>
      </c>
      <c r="I69" s="69"/>
      <c r="J69" s="286"/>
      <c r="K69" s="137"/>
      <c r="L69" s="137"/>
      <c r="M69" s="468"/>
      <c r="N69" s="382"/>
      <c r="O69" s="231"/>
      <c r="P69" s="401"/>
      <c r="Q69" s="382"/>
    </row>
    <row r="70" spans="1:17" s="1" customFormat="1" ht="26.25" customHeight="1" x14ac:dyDescent="0.25">
      <c r="A70" s="1168" t="s">
        <v>7</v>
      </c>
      <c r="B70" s="1170" t="s">
        <v>7</v>
      </c>
      <c r="C70" s="1172" t="s">
        <v>18</v>
      </c>
      <c r="D70" s="107"/>
      <c r="E70" s="772" t="s">
        <v>34</v>
      </c>
      <c r="F70" s="674" t="s">
        <v>216</v>
      </c>
      <c r="G70" s="728" t="s">
        <v>139</v>
      </c>
      <c r="H70" s="188" t="s">
        <v>10</v>
      </c>
      <c r="I70" s="190">
        <v>23</v>
      </c>
      <c r="J70" s="285">
        <v>23</v>
      </c>
      <c r="K70" s="287">
        <v>23</v>
      </c>
      <c r="L70" s="283">
        <v>23</v>
      </c>
      <c r="M70" s="469"/>
      <c r="N70" s="383"/>
      <c r="O70" s="392"/>
      <c r="P70" s="773"/>
      <c r="Q70" s="383"/>
    </row>
    <row r="71" spans="1:17" s="1" customFormat="1" ht="15.75" customHeight="1" thickBot="1" x14ac:dyDescent="0.3">
      <c r="A71" s="1169"/>
      <c r="B71" s="1171"/>
      <c r="C71" s="1173"/>
      <c r="D71" s="41"/>
      <c r="E71" s="227"/>
      <c r="F71" s="673"/>
      <c r="G71" s="215"/>
      <c r="H71" s="182" t="s">
        <v>31</v>
      </c>
      <c r="I71" s="183">
        <f>SUM(I70:I70)</f>
        <v>23</v>
      </c>
      <c r="J71" s="286">
        <f>SUM(J70:J70)</f>
        <v>23</v>
      </c>
      <c r="K71" s="269">
        <f t="shared" ref="K71:L71" si="1">SUM(K70:K70)</f>
        <v>23</v>
      </c>
      <c r="L71" s="284">
        <f t="shared" si="1"/>
        <v>23</v>
      </c>
      <c r="M71" s="470"/>
      <c r="N71" s="380"/>
      <c r="O71" s="390"/>
      <c r="P71" s="399"/>
      <c r="Q71" s="380"/>
    </row>
    <row r="72" spans="1:17" s="1" customFormat="1" ht="28.5" customHeight="1" x14ac:dyDescent="0.25">
      <c r="A72" s="735" t="s">
        <v>7</v>
      </c>
      <c r="B72" s="66" t="s">
        <v>7</v>
      </c>
      <c r="C72" s="116" t="s">
        <v>19</v>
      </c>
      <c r="D72" s="56"/>
      <c r="E72" s="173" t="s">
        <v>35</v>
      </c>
      <c r="F72" s="675"/>
      <c r="G72" s="67"/>
      <c r="H72" s="188"/>
      <c r="I72" s="190"/>
      <c r="J72" s="285"/>
      <c r="K72" s="287"/>
      <c r="L72" s="283"/>
      <c r="M72" s="471"/>
      <c r="N72" s="384"/>
      <c r="O72" s="393"/>
      <c r="P72" s="402"/>
      <c r="Q72" s="384"/>
    </row>
    <row r="73" spans="1:17" s="1" customFormat="1" ht="15.75" customHeight="1" x14ac:dyDescent="0.25">
      <c r="A73" s="720"/>
      <c r="B73" s="15"/>
      <c r="C73" s="117"/>
      <c r="D73" s="87" t="s">
        <v>7</v>
      </c>
      <c r="E73" s="1113" t="s">
        <v>79</v>
      </c>
      <c r="F73" s="676" t="s">
        <v>115</v>
      </c>
      <c r="G73" s="1325" t="s">
        <v>234</v>
      </c>
      <c r="H73" s="40" t="s">
        <v>10</v>
      </c>
      <c r="I73" s="176">
        <f>63.3</f>
        <v>63.3</v>
      </c>
      <c r="J73" s="262">
        <v>75</v>
      </c>
      <c r="K73" s="128">
        <v>75</v>
      </c>
      <c r="L73" s="259">
        <v>75</v>
      </c>
      <c r="M73" s="1166" t="s">
        <v>238</v>
      </c>
      <c r="N73" s="109">
        <v>3</v>
      </c>
      <c r="O73" s="385">
        <v>3</v>
      </c>
      <c r="P73" s="394">
        <v>3</v>
      </c>
      <c r="Q73" s="109">
        <v>3</v>
      </c>
    </row>
    <row r="74" spans="1:17" s="1" customFormat="1" ht="51.75" customHeight="1" x14ac:dyDescent="0.25">
      <c r="A74" s="720"/>
      <c r="B74" s="15"/>
      <c r="C74" s="117"/>
      <c r="D74" s="110"/>
      <c r="E74" s="1158"/>
      <c r="F74" s="677" t="s">
        <v>216</v>
      </c>
      <c r="G74" s="1366"/>
      <c r="H74" s="189"/>
      <c r="I74" s="214"/>
      <c r="J74" s="187"/>
      <c r="K74" s="187"/>
      <c r="L74" s="187"/>
      <c r="M74" s="1167"/>
      <c r="N74" s="403"/>
      <c r="O74" s="408"/>
      <c r="P74" s="413"/>
      <c r="Q74" s="403"/>
    </row>
    <row r="75" spans="1:17" s="1" customFormat="1" ht="15" customHeight="1" x14ac:dyDescent="0.25">
      <c r="A75" s="720"/>
      <c r="B75" s="15"/>
      <c r="C75" s="117"/>
      <c r="D75" s="727"/>
      <c r="E75" s="1114"/>
      <c r="F75" s="244" t="s">
        <v>133</v>
      </c>
      <c r="G75" s="1375" t="s">
        <v>150</v>
      </c>
      <c r="H75" s="168" t="s">
        <v>10</v>
      </c>
      <c r="I75" s="556">
        <v>20.9</v>
      </c>
      <c r="J75" s="557">
        <v>50</v>
      </c>
      <c r="K75" s="538">
        <v>50</v>
      </c>
      <c r="L75" s="565">
        <v>50</v>
      </c>
      <c r="M75" s="473" t="s">
        <v>177</v>
      </c>
      <c r="N75" s="597"/>
      <c r="O75" s="598"/>
      <c r="P75" s="599"/>
      <c r="Q75" s="597"/>
    </row>
    <row r="76" spans="1:17" s="1" customFormat="1" ht="15.75" customHeight="1" x14ac:dyDescent="0.25">
      <c r="A76" s="720"/>
      <c r="B76" s="15"/>
      <c r="C76" s="117"/>
      <c r="D76" s="108"/>
      <c r="E76" s="1178"/>
      <c r="F76" s="678"/>
      <c r="G76" s="1326"/>
      <c r="H76" s="566" t="s">
        <v>83</v>
      </c>
      <c r="I76" s="179">
        <v>32.6</v>
      </c>
      <c r="J76" s="132"/>
      <c r="K76" s="132"/>
      <c r="L76" s="132"/>
      <c r="M76" s="474"/>
      <c r="N76" s="404"/>
      <c r="O76" s="409"/>
      <c r="P76" s="414"/>
      <c r="Q76" s="404"/>
    </row>
    <row r="77" spans="1:17" s="1" customFormat="1" ht="30" customHeight="1" x14ac:dyDescent="0.25">
      <c r="A77" s="720"/>
      <c r="B77" s="15"/>
      <c r="C77" s="117"/>
      <c r="D77" s="71" t="s">
        <v>12</v>
      </c>
      <c r="E77" s="1113" t="s">
        <v>136</v>
      </c>
      <c r="F77" s="679" t="s">
        <v>115</v>
      </c>
      <c r="G77" s="1325" t="s">
        <v>180</v>
      </c>
      <c r="H77" s="40" t="s">
        <v>10</v>
      </c>
      <c r="I77" s="177">
        <v>49.9</v>
      </c>
      <c r="J77" s="131">
        <v>52.9</v>
      </c>
      <c r="K77" s="131">
        <v>49.9</v>
      </c>
      <c r="L77" s="131">
        <v>49.9</v>
      </c>
      <c r="M77" s="757" t="s">
        <v>36</v>
      </c>
      <c r="N77" s="355">
        <v>9</v>
      </c>
      <c r="O77" s="386">
        <v>9</v>
      </c>
      <c r="P77" s="395">
        <v>9</v>
      </c>
      <c r="Q77" s="355">
        <v>9</v>
      </c>
    </row>
    <row r="78" spans="1:17" s="1" customFormat="1" ht="42.95" customHeight="1" x14ac:dyDescent="0.25">
      <c r="A78" s="720"/>
      <c r="B78" s="15"/>
      <c r="C78" s="118"/>
      <c r="D78" s="110"/>
      <c r="E78" s="1158"/>
      <c r="F78" s="244" t="s">
        <v>216</v>
      </c>
      <c r="G78" s="1341"/>
      <c r="H78" s="191"/>
      <c r="I78" s="333"/>
      <c r="J78" s="136"/>
      <c r="K78" s="136"/>
      <c r="L78" s="136"/>
      <c r="M78" s="475" t="s">
        <v>107</v>
      </c>
      <c r="N78" s="356">
        <v>22</v>
      </c>
      <c r="O78" s="410">
        <v>22</v>
      </c>
      <c r="P78" s="415">
        <v>22</v>
      </c>
      <c r="Q78" s="356">
        <v>22</v>
      </c>
    </row>
    <row r="79" spans="1:17" s="1" customFormat="1" ht="33.6" customHeight="1" x14ac:dyDescent="0.25">
      <c r="A79" s="720"/>
      <c r="B79" s="15"/>
      <c r="C79" s="118"/>
      <c r="D79" s="110"/>
      <c r="E79" s="1158"/>
      <c r="F79" s="244" t="s">
        <v>133</v>
      </c>
      <c r="G79" s="1341"/>
      <c r="H79" s="191"/>
      <c r="I79" s="333"/>
      <c r="J79" s="136"/>
      <c r="K79" s="136"/>
      <c r="L79" s="136"/>
      <c r="M79" s="475" t="s">
        <v>109</v>
      </c>
      <c r="N79" s="356">
        <v>315</v>
      </c>
      <c r="O79" s="410">
        <v>315</v>
      </c>
      <c r="P79" s="415">
        <v>315</v>
      </c>
      <c r="Q79" s="356">
        <v>315</v>
      </c>
    </row>
    <row r="80" spans="1:17" s="1" customFormat="1" ht="54.6" customHeight="1" x14ac:dyDescent="0.25">
      <c r="A80" s="720"/>
      <c r="B80" s="15"/>
      <c r="C80" s="118"/>
      <c r="D80" s="110"/>
      <c r="E80" s="1158"/>
      <c r="F80" s="84"/>
      <c r="G80" s="1341"/>
      <c r="H80" s="192"/>
      <c r="I80" s="334"/>
      <c r="J80" s="161"/>
      <c r="K80" s="161"/>
      <c r="L80" s="161"/>
      <c r="M80" s="476" t="s">
        <v>250</v>
      </c>
      <c r="N80" s="405">
        <v>350</v>
      </c>
      <c r="O80" s="411">
        <v>350</v>
      </c>
      <c r="P80" s="416">
        <v>350</v>
      </c>
      <c r="Q80" s="405">
        <v>350</v>
      </c>
    </row>
    <row r="81" spans="1:17" s="1" customFormat="1" ht="27.6" customHeight="1" x14ac:dyDescent="0.25">
      <c r="A81" s="720"/>
      <c r="B81" s="15"/>
      <c r="C81" s="118"/>
      <c r="D81" s="726" t="s">
        <v>15</v>
      </c>
      <c r="E81" s="1182" t="s">
        <v>113</v>
      </c>
      <c r="F81" s="574" t="s">
        <v>115</v>
      </c>
      <c r="G81" s="51"/>
      <c r="H81" s="157" t="s">
        <v>10</v>
      </c>
      <c r="I81" s="92">
        <f>32.4-10</f>
        <v>22.4</v>
      </c>
      <c r="J81" s="180">
        <v>22.4</v>
      </c>
      <c r="K81" s="165">
        <v>22.4</v>
      </c>
      <c r="L81" s="165">
        <v>22.4</v>
      </c>
      <c r="M81" s="477" t="s">
        <v>110</v>
      </c>
      <c r="N81" s="406">
        <v>35</v>
      </c>
      <c r="O81" s="412">
        <v>35</v>
      </c>
      <c r="P81" s="417">
        <v>35</v>
      </c>
      <c r="Q81" s="406">
        <v>35</v>
      </c>
    </row>
    <row r="82" spans="1:17" s="1" customFormat="1" ht="27" customHeight="1" x14ac:dyDescent="0.25">
      <c r="A82" s="720"/>
      <c r="B82" s="15"/>
      <c r="C82" s="118"/>
      <c r="D82" s="727"/>
      <c r="E82" s="1158"/>
      <c r="F82" s="664" t="s">
        <v>216</v>
      </c>
      <c r="G82" s="51"/>
      <c r="H82" s="158"/>
      <c r="I82" s="335"/>
      <c r="J82" s="254"/>
      <c r="K82" s="159"/>
      <c r="L82" s="159"/>
      <c r="M82" s="466" t="s">
        <v>116</v>
      </c>
      <c r="N82" s="407">
        <v>1</v>
      </c>
      <c r="O82" s="738">
        <v>1</v>
      </c>
      <c r="P82" s="740">
        <v>1</v>
      </c>
      <c r="Q82" s="407">
        <v>1</v>
      </c>
    </row>
    <row r="83" spans="1:17" s="1" customFormat="1" ht="17.45" customHeight="1" thickBot="1" x14ac:dyDescent="0.3">
      <c r="A83" s="729"/>
      <c r="B83" s="68"/>
      <c r="C83" s="737"/>
      <c r="D83" s="221"/>
      <c r="E83" s="220"/>
      <c r="F83" s="680"/>
      <c r="G83" s="218"/>
      <c r="H83" s="194" t="s">
        <v>31</v>
      </c>
      <c r="I83" s="183">
        <f>SUM(I73:I82)</f>
        <v>189.1</v>
      </c>
      <c r="J83" s="69">
        <f t="shared" ref="J83:L83" si="2">SUM(J73:J82)</f>
        <v>200.3</v>
      </c>
      <c r="K83" s="269">
        <f t="shared" si="2"/>
        <v>197.3</v>
      </c>
      <c r="L83" s="69">
        <f t="shared" si="2"/>
        <v>197.3</v>
      </c>
      <c r="M83" s="478"/>
      <c r="N83" s="378"/>
      <c r="O83" s="388"/>
      <c r="P83" s="397"/>
      <c r="Q83" s="378"/>
    </row>
    <row r="84" spans="1:17" s="3" customFormat="1" ht="17.100000000000001" customHeight="1" x14ac:dyDescent="0.25">
      <c r="A84" s="1135" t="s">
        <v>7</v>
      </c>
      <c r="B84" s="1183" t="s">
        <v>7</v>
      </c>
      <c r="C84" s="1157" t="s">
        <v>22</v>
      </c>
      <c r="D84" s="43"/>
      <c r="E84" s="758" t="s">
        <v>37</v>
      </c>
      <c r="F84" s="763" t="s">
        <v>216</v>
      </c>
      <c r="G84" s="61" t="s">
        <v>132</v>
      </c>
      <c r="H84" s="39" t="s">
        <v>10</v>
      </c>
      <c r="I84" s="207">
        <v>1876.7</v>
      </c>
      <c r="J84" s="131">
        <v>3101.9</v>
      </c>
      <c r="K84" s="131">
        <v>3710.8</v>
      </c>
      <c r="L84" s="131">
        <v>4418.3999999999996</v>
      </c>
      <c r="M84" s="479" t="s">
        <v>215</v>
      </c>
      <c r="N84" s="418">
        <v>4</v>
      </c>
      <c r="O84" s="421">
        <v>5</v>
      </c>
      <c r="P84" s="424">
        <v>6</v>
      </c>
      <c r="Q84" s="418">
        <v>7</v>
      </c>
    </row>
    <row r="85" spans="1:17" s="3" customFormat="1" ht="15.75" customHeight="1" thickBot="1" x14ac:dyDescent="0.3">
      <c r="A85" s="1169"/>
      <c r="B85" s="1184"/>
      <c r="C85" s="1173"/>
      <c r="D85" s="226"/>
      <c r="E85" s="230"/>
      <c r="F85" s="681"/>
      <c r="G85" s="229"/>
      <c r="H85" s="195" t="s">
        <v>31</v>
      </c>
      <c r="I85" s="336">
        <f t="shared" ref="I85:L85" si="3">I84</f>
        <v>1876.7</v>
      </c>
      <c r="J85" s="193">
        <f t="shared" si="3"/>
        <v>3101.9</v>
      </c>
      <c r="K85" s="193">
        <f t="shared" si="3"/>
        <v>3710.8</v>
      </c>
      <c r="L85" s="193">
        <f t="shared" si="3"/>
        <v>4418.3999999999996</v>
      </c>
      <c r="M85" s="480"/>
      <c r="N85" s="419"/>
      <c r="O85" s="422"/>
      <c r="P85" s="425"/>
      <c r="Q85" s="419"/>
    </row>
    <row r="86" spans="1:17" s="3" customFormat="1" ht="18" customHeight="1" x14ac:dyDescent="0.25">
      <c r="A86" s="1168" t="s">
        <v>7</v>
      </c>
      <c r="B86" s="1192" t="s">
        <v>7</v>
      </c>
      <c r="C86" s="1157" t="s">
        <v>23</v>
      </c>
      <c r="D86" s="742"/>
      <c r="E86" s="1174" t="s">
        <v>38</v>
      </c>
      <c r="F86" s="1193" t="s">
        <v>216</v>
      </c>
      <c r="G86" s="734" t="s">
        <v>131</v>
      </c>
      <c r="H86" s="196" t="s">
        <v>10</v>
      </c>
      <c r="I86" s="692">
        <f>99-50</f>
        <v>49</v>
      </c>
      <c r="J86" s="617"/>
      <c r="K86" s="617">
        <v>49</v>
      </c>
      <c r="L86" s="696">
        <v>49</v>
      </c>
      <c r="M86" s="481"/>
      <c r="N86" s="379"/>
      <c r="O86" s="389"/>
      <c r="P86" s="398"/>
      <c r="Q86" s="379"/>
    </row>
    <row r="87" spans="1:17" s="3" customFormat="1" ht="18" customHeight="1" x14ac:dyDescent="0.25">
      <c r="A87" s="1135"/>
      <c r="B87" s="1183"/>
      <c r="C87" s="1157"/>
      <c r="D87" s="110"/>
      <c r="E87" s="1115"/>
      <c r="F87" s="1194"/>
      <c r="G87" s="728"/>
      <c r="H87" s="463" t="s">
        <v>83</v>
      </c>
      <c r="I87" s="693"/>
      <c r="J87" s="694">
        <v>150</v>
      </c>
      <c r="K87" s="695"/>
      <c r="L87" s="633"/>
      <c r="M87" s="506"/>
      <c r="N87" s="376"/>
      <c r="O87" s="387"/>
      <c r="P87" s="396"/>
      <c r="Q87" s="376"/>
    </row>
    <row r="88" spans="1:17" s="3" customFormat="1" ht="15" customHeight="1" thickBot="1" x14ac:dyDescent="0.3">
      <c r="A88" s="1169"/>
      <c r="B88" s="1184"/>
      <c r="C88" s="1173"/>
      <c r="D88" s="226"/>
      <c r="E88" s="230"/>
      <c r="F88" s="681"/>
      <c r="G88" s="697"/>
      <c r="H88" s="194" t="s">
        <v>31</v>
      </c>
      <c r="I88" s="183">
        <f>+I86+I87</f>
        <v>49</v>
      </c>
      <c r="J88" s="137">
        <f>+J86+J87</f>
        <v>150</v>
      </c>
      <c r="K88" s="137">
        <f>+K86+K87</f>
        <v>49</v>
      </c>
      <c r="L88" s="137">
        <f>+L86+L87</f>
        <v>49</v>
      </c>
      <c r="M88" s="482"/>
      <c r="N88" s="380"/>
      <c r="O88" s="390"/>
      <c r="P88" s="399"/>
      <c r="Q88" s="380"/>
    </row>
    <row r="89" spans="1:17" s="1" customFormat="1" ht="54.95" customHeight="1" x14ac:dyDescent="0.2">
      <c r="A89" s="17" t="s">
        <v>7</v>
      </c>
      <c r="B89" s="18" t="s">
        <v>7</v>
      </c>
      <c r="C89" s="120" t="s">
        <v>26</v>
      </c>
      <c r="D89" s="73"/>
      <c r="E89" s="105" t="s">
        <v>39</v>
      </c>
      <c r="F89" s="686" t="s">
        <v>216</v>
      </c>
      <c r="G89" s="77"/>
      <c r="H89" s="197"/>
      <c r="I89" s="198"/>
      <c r="J89" s="289"/>
      <c r="K89" s="290"/>
      <c r="L89" s="288"/>
      <c r="M89" s="484"/>
      <c r="N89" s="420"/>
      <c r="O89" s="423"/>
      <c r="P89" s="426"/>
      <c r="Q89" s="420"/>
    </row>
    <row r="90" spans="1:17" s="1" customFormat="1" ht="15.75" customHeight="1" x14ac:dyDescent="0.25">
      <c r="A90" s="10"/>
      <c r="B90" s="11"/>
      <c r="C90" s="72"/>
      <c r="D90" s="87" t="s">
        <v>7</v>
      </c>
      <c r="E90" s="1113" t="s">
        <v>40</v>
      </c>
      <c r="F90" s="758"/>
      <c r="G90" s="1349" t="s">
        <v>143</v>
      </c>
      <c r="H90" s="40" t="s">
        <v>10</v>
      </c>
      <c r="I90" s="176">
        <f>15-1.2</f>
        <v>13.8</v>
      </c>
      <c r="J90" s="130">
        <v>28</v>
      </c>
      <c r="K90" s="560">
        <v>28</v>
      </c>
      <c r="L90" s="558">
        <v>28</v>
      </c>
      <c r="M90" s="1151" t="s">
        <v>77</v>
      </c>
      <c r="N90" s="109">
        <v>50</v>
      </c>
      <c r="O90" s="385">
        <v>50</v>
      </c>
      <c r="P90" s="394">
        <v>50</v>
      </c>
      <c r="Q90" s="109">
        <v>50</v>
      </c>
    </row>
    <row r="91" spans="1:17" s="1" customFormat="1" ht="15.75" customHeight="1" x14ac:dyDescent="0.25">
      <c r="A91" s="10"/>
      <c r="B91" s="11"/>
      <c r="C91" s="72"/>
      <c r="D91" s="108"/>
      <c r="E91" s="1114"/>
      <c r="F91" s="758"/>
      <c r="G91" s="1350"/>
      <c r="H91" s="463" t="s">
        <v>83</v>
      </c>
      <c r="I91" s="556">
        <f>10-8.2</f>
        <v>1.8000000000000007</v>
      </c>
      <c r="J91" s="264"/>
      <c r="K91" s="131"/>
      <c r="L91" s="565"/>
      <c r="M91" s="1152"/>
      <c r="N91" s="376"/>
      <c r="O91" s="387"/>
      <c r="P91" s="396"/>
      <c r="Q91" s="376"/>
    </row>
    <row r="92" spans="1:17" s="1" customFormat="1" ht="15.75" customHeight="1" x14ac:dyDescent="0.25">
      <c r="A92" s="10"/>
      <c r="B92" s="11"/>
      <c r="C92" s="72"/>
      <c r="D92" s="91"/>
      <c r="E92" s="1195"/>
      <c r="F92" s="758"/>
      <c r="G92" s="174"/>
      <c r="H92" s="156" t="s">
        <v>114</v>
      </c>
      <c r="I92" s="179">
        <v>20</v>
      </c>
      <c r="J92" s="274">
        <v>20</v>
      </c>
      <c r="K92" s="279">
        <v>20</v>
      </c>
      <c r="L92" s="132">
        <v>20</v>
      </c>
      <c r="M92" s="1185"/>
      <c r="N92" s="377"/>
      <c r="O92" s="739"/>
      <c r="P92" s="741"/>
      <c r="Q92" s="377"/>
    </row>
    <row r="93" spans="1:17" s="1" customFormat="1" ht="14.25" customHeight="1" x14ac:dyDescent="0.25">
      <c r="A93" s="10"/>
      <c r="B93" s="11"/>
      <c r="C93" s="72"/>
      <c r="D93" s="43" t="s">
        <v>12</v>
      </c>
      <c r="E93" s="1186" t="s">
        <v>41</v>
      </c>
      <c r="F93" s="758"/>
      <c r="G93" s="174"/>
      <c r="H93" s="92" t="s">
        <v>13</v>
      </c>
      <c r="I93" s="559">
        <f>35+4.5</f>
        <v>39.5</v>
      </c>
      <c r="J93" s="564"/>
      <c r="K93" s="131"/>
      <c r="L93" s="131"/>
      <c r="M93" s="1152" t="s">
        <v>84</v>
      </c>
      <c r="N93" s="376">
        <v>23</v>
      </c>
      <c r="O93" s="387">
        <v>23</v>
      </c>
      <c r="P93" s="396">
        <v>23</v>
      </c>
      <c r="Q93" s="376">
        <v>23</v>
      </c>
    </row>
    <row r="94" spans="1:17" s="1" customFormat="1" ht="14.25" customHeight="1" x14ac:dyDescent="0.25">
      <c r="A94" s="10"/>
      <c r="B94" s="11"/>
      <c r="C94" s="72"/>
      <c r="D94" s="43"/>
      <c r="E94" s="1186"/>
      <c r="F94" s="758"/>
      <c r="G94" s="174"/>
      <c r="H94" s="463" t="s">
        <v>10</v>
      </c>
      <c r="I94" s="177">
        <v>15</v>
      </c>
      <c r="J94" s="131"/>
      <c r="K94" s="266">
        <v>58</v>
      </c>
      <c r="L94" s="554">
        <v>58</v>
      </c>
      <c r="M94" s="1152"/>
      <c r="N94" s="376"/>
      <c r="O94" s="387"/>
      <c r="P94" s="396"/>
      <c r="Q94" s="376"/>
    </row>
    <row r="95" spans="1:17" s="1" customFormat="1" ht="14.25" customHeight="1" x14ac:dyDescent="0.25">
      <c r="A95" s="10"/>
      <c r="B95" s="11"/>
      <c r="C95" s="72"/>
      <c r="D95" s="43"/>
      <c r="E95" s="1359"/>
      <c r="F95" s="758"/>
      <c r="G95" s="174"/>
      <c r="H95" s="156" t="s">
        <v>83</v>
      </c>
      <c r="I95" s="201">
        <f>8.2+10</f>
        <v>18.2</v>
      </c>
      <c r="J95" s="274">
        <v>58</v>
      </c>
      <c r="K95" s="279"/>
      <c r="L95" s="539"/>
      <c r="M95" s="1154"/>
      <c r="N95" s="377"/>
      <c r="O95" s="739"/>
      <c r="P95" s="741"/>
      <c r="Q95" s="377"/>
    </row>
    <row r="96" spans="1:17" s="1" customFormat="1" ht="17.45" customHeight="1" x14ac:dyDescent="0.25">
      <c r="A96" s="10"/>
      <c r="B96" s="11"/>
      <c r="C96" s="72"/>
      <c r="D96" s="90" t="s">
        <v>15</v>
      </c>
      <c r="E96" s="1187" t="s">
        <v>42</v>
      </c>
      <c r="F96" s="758"/>
      <c r="G96" s="174"/>
      <c r="H96" s="39" t="s">
        <v>13</v>
      </c>
      <c r="I96" s="177">
        <f>5+15</f>
        <v>20</v>
      </c>
      <c r="J96" s="131"/>
      <c r="K96" s="560"/>
      <c r="L96" s="558"/>
      <c r="M96" s="749" t="s">
        <v>85</v>
      </c>
      <c r="N96" s="109">
        <v>3</v>
      </c>
      <c r="O96" s="385">
        <v>3</v>
      </c>
      <c r="P96" s="394">
        <v>3</v>
      </c>
      <c r="Q96" s="109">
        <v>3</v>
      </c>
    </row>
    <row r="97" spans="1:17" s="1" customFormat="1" ht="17.45" customHeight="1" x14ac:dyDescent="0.25">
      <c r="A97" s="10"/>
      <c r="B97" s="11"/>
      <c r="C97" s="72"/>
      <c r="D97" s="108"/>
      <c r="E97" s="1188"/>
      <c r="F97" s="758"/>
      <c r="G97" s="174"/>
      <c r="H97" s="549" t="s">
        <v>14</v>
      </c>
      <c r="I97" s="178">
        <f>65-15</f>
        <v>50</v>
      </c>
      <c r="J97" s="264">
        <v>69</v>
      </c>
      <c r="K97" s="538"/>
      <c r="L97" s="565"/>
      <c r="M97" s="764"/>
      <c r="N97" s="376"/>
      <c r="O97" s="387"/>
      <c r="P97" s="396"/>
      <c r="Q97" s="376"/>
    </row>
    <row r="98" spans="1:17" s="1" customFormat="1" ht="21.75" customHeight="1" x14ac:dyDescent="0.25">
      <c r="A98" s="10"/>
      <c r="B98" s="11"/>
      <c r="C98" s="72"/>
      <c r="D98" s="108"/>
      <c r="E98" s="1188"/>
      <c r="F98" s="758"/>
      <c r="G98" s="174"/>
      <c r="H98" s="555" t="s">
        <v>10</v>
      </c>
      <c r="I98" s="178"/>
      <c r="J98" s="264">
        <v>21</v>
      </c>
      <c r="K98" s="279">
        <v>40</v>
      </c>
      <c r="L98" s="554">
        <v>40</v>
      </c>
      <c r="M98" s="764"/>
      <c r="N98" s="376"/>
      <c r="O98" s="387"/>
      <c r="P98" s="396"/>
      <c r="Q98" s="376"/>
    </row>
    <row r="99" spans="1:17" s="1" customFormat="1" ht="19.5" customHeight="1" x14ac:dyDescent="0.25">
      <c r="A99" s="10"/>
      <c r="B99" s="11"/>
      <c r="C99" s="72"/>
      <c r="D99" s="71" t="s">
        <v>16</v>
      </c>
      <c r="E99" s="1113" t="s">
        <v>108</v>
      </c>
      <c r="F99" s="758"/>
      <c r="G99" s="1356"/>
      <c r="H99" s="39" t="s">
        <v>83</v>
      </c>
      <c r="I99" s="559">
        <v>5</v>
      </c>
      <c r="J99" s="621"/>
      <c r="K99" s="620"/>
      <c r="L99" s="622"/>
      <c r="M99" s="747" t="s">
        <v>86</v>
      </c>
      <c r="N99" s="109">
        <v>10</v>
      </c>
      <c r="O99" s="385">
        <v>10</v>
      </c>
      <c r="P99" s="394">
        <v>10</v>
      </c>
      <c r="Q99" s="109">
        <v>10</v>
      </c>
    </row>
    <row r="100" spans="1:17" s="1" customFormat="1" ht="36.6" customHeight="1" x14ac:dyDescent="0.25">
      <c r="A100" s="10"/>
      <c r="B100" s="20"/>
      <c r="C100" s="121"/>
      <c r="D100" s="74"/>
      <c r="E100" s="1115"/>
      <c r="F100" s="682"/>
      <c r="G100" s="1356"/>
      <c r="H100" s="213" t="s">
        <v>10</v>
      </c>
      <c r="I100" s="208"/>
      <c r="J100" s="264">
        <v>5</v>
      </c>
      <c r="K100" s="266">
        <v>5</v>
      </c>
      <c r="L100" s="539">
        <v>5</v>
      </c>
      <c r="M100" s="776"/>
      <c r="N100" s="377"/>
      <c r="O100" s="739"/>
      <c r="P100" s="741"/>
      <c r="Q100" s="377"/>
    </row>
    <row r="101" spans="1:17" s="1" customFormat="1" ht="27.6" customHeight="1" x14ac:dyDescent="0.25">
      <c r="A101" s="10"/>
      <c r="B101" s="20"/>
      <c r="C101" s="121"/>
      <c r="D101" s="809" t="s">
        <v>18</v>
      </c>
      <c r="E101" s="1113" t="s">
        <v>90</v>
      </c>
      <c r="F101" s="682"/>
      <c r="G101" s="762"/>
      <c r="H101" s="561" t="s">
        <v>10</v>
      </c>
      <c r="I101" s="559">
        <f>7.6+1.2</f>
        <v>8.7999999999999989</v>
      </c>
      <c r="J101" s="564">
        <f>49.7-41.4</f>
        <v>8.3000000000000043</v>
      </c>
      <c r="K101" s="130">
        <v>8.5</v>
      </c>
      <c r="L101" s="130">
        <v>8.5</v>
      </c>
      <c r="M101" s="228" t="s">
        <v>89</v>
      </c>
      <c r="N101" s="561">
        <v>116</v>
      </c>
      <c r="O101" s="798">
        <v>116</v>
      </c>
      <c r="P101" s="395">
        <v>116</v>
      </c>
      <c r="Q101" s="109">
        <v>116</v>
      </c>
    </row>
    <row r="102" spans="1:17" s="1" customFormat="1" ht="27.6" customHeight="1" x14ac:dyDescent="0.25">
      <c r="A102" s="10"/>
      <c r="B102" s="20"/>
      <c r="C102" s="121"/>
      <c r="D102" s="800"/>
      <c r="E102" s="1115"/>
      <c r="F102" s="682"/>
      <c r="G102" s="804"/>
      <c r="H102" s="156" t="s">
        <v>10</v>
      </c>
      <c r="I102" s="177"/>
      <c r="J102" s="265">
        <v>41.4</v>
      </c>
      <c r="K102" s="279"/>
      <c r="L102" s="539"/>
      <c r="M102" s="785" t="s">
        <v>251</v>
      </c>
      <c r="N102" s="376"/>
      <c r="O102" s="411">
        <v>100</v>
      </c>
      <c r="P102" s="803"/>
      <c r="Q102" s="167"/>
    </row>
    <row r="103" spans="1:17" s="1" customFormat="1" ht="25.5" customHeight="1" x14ac:dyDescent="0.25">
      <c r="A103" s="10"/>
      <c r="B103" s="11"/>
      <c r="C103" s="121"/>
      <c r="D103" s="1293" t="s">
        <v>19</v>
      </c>
      <c r="E103" s="1199" t="s">
        <v>43</v>
      </c>
      <c r="F103" s="758"/>
      <c r="G103" s="762"/>
      <c r="H103" s="40" t="s">
        <v>10</v>
      </c>
      <c r="I103" s="204">
        <v>2</v>
      </c>
      <c r="J103" s="810">
        <v>4.5</v>
      </c>
      <c r="K103" s="299">
        <v>4.5</v>
      </c>
      <c r="L103" s="811">
        <v>4.5</v>
      </c>
      <c r="M103" s="801" t="s">
        <v>44</v>
      </c>
      <c r="N103" s="802">
        <v>28</v>
      </c>
      <c r="O103" s="387">
        <v>30</v>
      </c>
      <c r="P103" s="396">
        <v>30</v>
      </c>
      <c r="Q103" s="799">
        <v>30</v>
      </c>
    </row>
    <row r="104" spans="1:17" s="1" customFormat="1" ht="15" customHeight="1" x14ac:dyDescent="0.25">
      <c r="A104" s="10"/>
      <c r="B104" s="11"/>
      <c r="C104" s="121"/>
      <c r="D104" s="1294"/>
      <c r="E104" s="1200"/>
      <c r="F104" s="758"/>
      <c r="G104" s="762"/>
      <c r="H104" s="156"/>
      <c r="I104" s="205"/>
      <c r="J104" s="134"/>
      <c r="K104" s="134"/>
      <c r="L104" s="134"/>
      <c r="M104" s="483"/>
      <c r="N104" s="377"/>
      <c r="O104" s="739"/>
      <c r="P104" s="741"/>
      <c r="Q104" s="377"/>
    </row>
    <row r="105" spans="1:17" s="1" customFormat="1" ht="42" customHeight="1" x14ac:dyDescent="0.25">
      <c r="A105" s="10"/>
      <c r="B105" s="20"/>
      <c r="C105" s="121"/>
      <c r="D105" s="74" t="s">
        <v>22</v>
      </c>
      <c r="E105" s="83" t="s">
        <v>45</v>
      </c>
      <c r="F105" s="682"/>
      <c r="G105" s="762"/>
      <c r="H105" s="156" t="s">
        <v>10</v>
      </c>
      <c r="I105" s="179">
        <v>2</v>
      </c>
      <c r="J105" s="132">
        <v>2</v>
      </c>
      <c r="K105" s="132">
        <v>2</v>
      </c>
      <c r="L105" s="132">
        <v>2</v>
      </c>
      <c r="M105" s="776" t="s">
        <v>46</v>
      </c>
      <c r="N105" s="377">
        <v>80</v>
      </c>
      <c r="O105" s="739">
        <v>80</v>
      </c>
      <c r="P105" s="741">
        <v>80</v>
      </c>
      <c r="Q105" s="377">
        <v>80</v>
      </c>
    </row>
    <row r="106" spans="1:17" s="1" customFormat="1" ht="15" customHeight="1" x14ac:dyDescent="0.25">
      <c r="A106" s="10"/>
      <c r="B106" s="20"/>
      <c r="C106" s="121"/>
      <c r="D106" s="81" t="s">
        <v>23</v>
      </c>
      <c r="E106" s="1113" t="s">
        <v>47</v>
      </c>
      <c r="F106" s="758"/>
      <c r="G106" s="52"/>
      <c r="H106" s="561" t="s">
        <v>83</v>
      </c>
      <c r="I106" s="559">
        <f>10-10</f>
        <v>0</v>
      </c>
      <c r="J106" s="3"/>
      <c r="K106" s="624"/>
      <c r="L106" s="622"/>
      <c r="M106" s="1151" t="s">
        <v>187</v>
      </c>
      <c r="N106" s="40">
        <v>3</v>
      </c>
      <c r="O106" s="385">
        <v>3</v>
      </c>
      <c r="P106" s="394">
        <v>3</v>
      </c>
      <c r="Q106" s="109">
        <v>3</v>
      </c>
    </row>
    <row r="107" spans="1:17" s="1" customFormat="1" ht="15" customHeight="1" x14ac:dyDescent="0.25">
      <c r="A107" s="10"/>
      <c r="B107" s="20"/>
      <c r="C107" s="122"/>
      <c r="D107" s="75"/>
      <c r="E107" s="1114"/>
      <c r="F107" s="758"/>
      <c r="G107" s="52"/>
      <c r="H107" s="39" t="s">
        <v>10</v>
      </c>
      <c r="I107" s="177"/>
      <c r="J107" s="689">
        <v>10</v>
      </c>
      <c r="K107" s="688">
        <v>10</v>
      </c>
      <c r="L107" s="778">
        <v>10</v>
      </c>
      <c r="M107" s="1360"/>
      <c r="N107" s="189"/>
      <c r="O107" s="387"/>
      <c r="P107" s="413"/>
      <c r="Q107" s="690"/>
    </row>
    <row r="108" spans="1:17" s="1" customFormat="1" ht="41.45" customHeight="1" x14ac:dyDescent="0.25">
      <c r="A108" s="10"/>
      <c r="B108" s="20"/>
      <c r="C108" s="122"/>
      <c r="D108" s="75"/>
      <c r="E108" s="1115"/>
      <c r="F108" s="758"/>
      <c r="G108" s="52"/>
      <c r="H108" s="213" t="s">
        <v>10</v>
      </c>
      <c r="I108" s="623"/>
      <c r="J108" s="274">
        <v>10</v>
      </c>
      <c r="K108" s="279"/>
      <c r="L108" s="539"/>
      <c r="M108" s="704" t="s">
        <v>252</v>
      </c>
      <c r="N108" s="566"/>
      <c r="O108" s="411">
        <v>1</v>
      </c>
      <c r="P108" s="416"/>
      <c r="Q108" s="167"/>
    </row>
    <row r="109" spans="1:17" s="1" customFormat="1" ht="17.25" customHeight="1" x14ac:dyDescent="0.25">
      <c r="A109" s="10"/>
      <c r="B109" s="20"/>
      <c r="C109" s="122"/>
      <c r="D109" s="726" t="s">
        <v>26</v>
      </c>
      <c r="E109" s="1160" t="s">
        <v>48</v>
      </c>
      <c r="F109" s="682"/>
      <c r="G109" s="1351" t="s">
        <v>143</v>
      </c>
      <c r="H109" s="92" t="s">
        <v>13</v>
      </c>
      <c r="I109" s="559">
        <f>4.1+35.9</f>
        <v>40</v>
      </c>
      <c r="J109" s="564"/>
      <c r="K109" s="130"/>
      <c r="L109" s="558"/>
      <c r="M109" s="1354" t="s">
        <v>101</v>
      </c>
      <c r="N109" s="428">
        <v>100</v>
      </c>
      <c r="O109" s="433"/>
      <c r="P109" s="437"/>
      <c r="Q109" s="428"/>
    </row>
    <row r="110" spans="1:17" s="1" customFormat="1" ht="14.25" customHeight="1" x14ac:dyDescent="0.25">
      <c r="A110" s="10"/>
      <c r="B110" s="20"/>
      <c r="C110" s="122"/>
      <c r="D110" s="727"/>
      <c r="E110" s="1343"/>
      <c r="F110" s="682"/>
      <c r="G110" s="1352"/>
      <c r="H110" s="175" t="s">
        <v>14</v>
      </c>
      <c r="I110" s="556">
        <f>55.9-35.9</f>
        <v>20</v>
      </c>
      <c r="J110" s="263"/>
      <c r="K110" s="266"/>
      <c r="L110" s="565"/>
      <c r="M110" s="1355"/>
      <c r="N110" s="702"/>
      <c r="O110" s="434"/>
      <c r="P110" s="438"/>
      <c r="Q110" s="429"/>
    </row>
    <row r="111" spans="1:17" s="1" customFormat="1" ht="27" customHeight="1" x14ac:dyDescent="0.25">
      <c r="A111" s="10"/>
      <c r="B111" s="20"/>
      <c r="C111" s="122"/>
      <c r="D111" s="727"/>
      <c r="E111" s="1343"/>
      <c r="F111" s="682"/>
      <c r="G111" s="1353"/>
      <c r="H111" s="549" t="s">
        <v>10</v>
      </c>
      <c r="I111" s="214"/>
      <c r="J111" s="557">
        <v>25</v>
      </c>
      <c r="K111" s="538"/>
      <c r="L111" s="708"/>
      <c r="M111" s="475" t="s">
        <v>235</v>
      </c>
      <c r="N111" s="709"/>
      <c r="O111" s="710">
        <v>100</v>
      </c>
      <c r="P111" s="438"/>
      <c r="Q111" s="429"/>
    </row>
    <row r="112" spans="1:17" s="1" customFormat="1" ht="27" customHeight="1" x14ac:dyDescent="0.25">
      <c r="A112" s="10"/>
      <c r="B112" s="20"/>
      <c r="C112" s="122"/>
      <c r="D112" s="727"/>
      <c r="E112" s="759"/>
      <c r="F112" s="682"/>
      <c r="G112" s="540" t="s">
        <v>139</v>
      </c>
      <c r="H112" s="541" t="s">
        <v>10</v>
      </c>
      <c r="I112" s="177">
        <v>12</v>
      </c>
      <c r="J112" s="131"/>
      <c r="K112" s="538"/>
      <c r="L112" s="242"/>
      <c r="M112" s="475" t="s">
        <v>213</v>
      </c>
      <c r="N112" s="429">
        <v>100</v>
      </c>
      <c r="O112" s="434"/>
      <c r="P112" s="536"/>
      <c r="Q112" s="429"/>
    </row>
    <row r="113" spans="1:18" s="1" customFormat="1" ht="39.950000000000003" customHeight="1" x14ac:dyDescent="0.25">
      <c r="A113" s="10"/>
      <c r="B113" s="20"/>
      <c r="C113" s="122"/>
      <c r="D113" s="110"/>
      <c r="E113" s="748"/>
      <c r="F113" s="682"/>
      <c r="G113" s="625" t="s">
        <v>144</v>
      </c>
      <c r="H113" s="213" t="s">
        <v>10</v>
      </c>
      <c r="I113" s="178">
        <v>5</v>
      </c>
      <c r="J113" s="274"/>
      <c r="K113" s="131"/>
      <c r="L113" s="539"/>
      <c r="M113" s="475" t="s">
        <v>253</v>
      </c>
      <c r="N113" s="429">
        <v>30</v>
      </c>
      <c r="O113" s="434"/>
      <c r="P113" s="596"/>
      <c r="Q113" s="429"/>
    </row>
    <row r="114" spans="1:18" s="1" customFormat="1" ht="21.6" customHeight="1" x14ac:dyDescent="0.25">
      <c r="A114" s="10"/>
      <c r="B114" s="11"/>
      <c r="C114" s="121"/>
      <c r="D114" s="1293" t="s">
        <v>29</v>
      </c>
      <c r="E114" s="1196" t="s">
        <v>128</v>
      </c>
      <c r="F114" s="169" t="s">
        <v>126</v>
      </c>
      <c r="G114" s="1325" t="s">
        <v>191</v>
      </c>
      <c r="H114" s="204"/>
      <c r="I114" s="204"/>
      <c r="J114" s="135"/>
      <c r="K114" s="135"/>
      <c r="L114" s="135"/>
      <c r="M114" s="747" t="s">
        <v>137</v>
      </c>
      <c r="N114" s="644"/>
      <c r="O114" s="645"/>
      <c r="P114" s="646"/>
      <c r="Q114" s="430"/>
    </row>
    <row r="115" spans="1:18" s="1" customFormat="1" ht="25.5" customHeight="1" x14ac:dyDescent="0.25">
      <c r="A115" s="10"/>
      <c r="B115" s="11"/>
      <c r="C115" s="121"/>
      <c r="D115" s="1295"/>
      <c r="E115" s="1113"/>
      <c r="F115" s="244" t="s">
        <v>216</v>
      </c>
      <c r="G115" s="1326"/>
      <c r="H115" s="205"/>
      <c r="I115" s="205"/>
      <c r="J115" s="134"/>
      <c r="K115" s="134"/>
      <c r="L115" s="542"/>
      <c r="M115" s="643" t="s">
        <v>230</v>
      </c>
      <c r="N115" s="642"/>
      <c r="O115" s="739">
        <v>14</v>
      </c>
      <c r="P115" s="741">
        <v>11</v>
      </c>
      <c r="Q115" s="167">
        <v>9</v>
      </c>
    </row>
    <row r="116" spans="1:18" s="1" customFormat="1" ht="15.75" customHeight="1" thickBot="1" x14ac:dyDescent="0.3">
      <c r="A116" s="729"/>
      <c r="B116" s="68"/>
      <c r="C116" s="119"/>
      <c r="D116" s="221"/>
      <c r="E116" s="220"/>
      <c r="F116" s="671"/>
      <c r="G116" s="218"/>
      <c r="H116" s="206" t="s">
        <v>31</v>
      </c>
      <c r="I116" s="336">
        <f>SUM(I90:I115)</f>
        <v>273.10000000000002</v>
      </c>
      <c r="J116" s="193">
        <f>SUM(J90:J115)</f>
        <v>302.20000000000005</v>
      </c>
      <c r="K116" s="147">
        <f t="shared" ref="K116:L116" si="4">SUM(K90:K115)</f>
        <v>176</v>
      </c>
      <c r="L116" s="294">
        <f t="shared" si="4"/>
        <v>176</v>
      </c>
      <c r="M116" s="467"/>
      <c r="N116" s="431"/>
      <c r="O116" s="435"/>
      <c r="P116" s="439"/>
      <c r="Q116" s="431"/>
    </row>
    <row r="117" spans="1:18" s="1" customFormat="1" ht="15.95" customHeight="1" x14ac:dyDescent="0.25">
      <c r="A117" s="1168" t="s">
        <v>7</v>
      </c>
      <c r="B117" s="1192" t="s">
        <v>7</v>
      </c>
      <c r="C117" s="1172" t="s">
        <v>29</v>
      </c>
      <c r="D117" s="233"/>
      <c r="E117" s="1174" t="s">
        <v>49</v>
      </c>
      <c r="F117" s="1197" t="s">
        <v>216</v>
      </c>
      <c r="G117" s="1333" t="s">
        <v>145</v>
      </c>
      <c r="H117" s="200" t="s">
        <v>10</v>
      </c>
      <c r="I117" s="207">
        <f>10-5</f>
        <v>5</v>
      </c>
      <c r="J117" s="609">
        <v>10</v>
      </c>
      <c r="K117" s="608">
        <v>10</v>
      </c>
      <c r="L117" s="610">
        <v>10</v>
      </c>
      <c r="M117" s="611" t="s">
        <v>223</v>
      </c>
      <c r="N117" s="200">
        <v>5</v>
      </c>
      <c r="O117" s="612">
        <v>3</v>
      </c>
      <c r="P117" s="398">
        <v>3</v>
      </c>
      <c r="Q117" s="613">
        <v>3</v>
      </c>
    </row>
    <row r="118" spans="1:18" s="1" customFormat="1" ht="15.95" customHeight="1" x14ac:dyDescent="0.25">
      <c r="A118" s="1135"/>
      <c r="B118" s="1183"/>
      <c r="C118" s="1157"/>
      <c r="D118" s="400"/>
      <c r="E118" s="1114"/>
      <c r="F118" s="1198"/>
      <c r="G118" s="1341"/>
      <c r="H118" s="39" t="s">
        <v>10</v>
      </c>
      <c r="I118" s="178"/>
      <c r="J118" s="614">
        <v>50</v>
      </c>
      <c r="K118" s="266"/>
      <c r="L118" s="691"/>
      <c r="M118" s="1153" t="s">
        <v>224</v>
      </c>
      <c r="N118" s="376"/>
      <c r="O118" s="387">
        <v>1</v>
      </c>
      <c r="P118" s="792"/>
      <c r="Q118" s="376"/>
    </row>
    <row r="119" spans="1:18" s="1" customFormat="1" ht="15.95" customHeight="1" x14ac:dyDescent="0.25">
      <c r="A119" s="1135"/>
      <c r="B119" s="1183"/>
      <c r="C119" s="1157"/>
      <c r="D119" s="235"/>
      <c r="E119" s="1115"/>
      <c r="F119" s="664"/>
      <c r="G119" s="1326"/>
      <c r="H119" s="566" t="s">
        <v>83</v>
      </c>
      <c r="I119" s="201"/>
      <c r="J119" s="274">
        <v>3</v>
      </c>
      <c r="K119" s="279"/>
      <c r="L119" s="539"/>
      <c r="M119" s="1154"/>
      <c r="N119" s="376"/>
      <c r="O119" s="387"/>
      <c r="P119" s="793"/>
      <c r="Q119" s="376"/>
    </row>
    <row r="120" spans="1:18" s="1" customFormat="1" ht="16.5" customHeight="1" thickBot="1" x14ac:dyDescent="0.3">
      <c r="A120" s="1169"/>
      <c r="B120" s="1184"/>
      <c r="C120" s="1340"/>
      <c r="D120" s="626"/>
      <c r="E120" s="236"/>
      <c r="F120" s="683"/>
      <c r="G120" s="228"/>
      <c r="H120" s="148" t="s">
        <v>31</v>
      </c>
      <c r="I120" s="338">
        <f>SUM(I117:I119)</f>
        <v>5</v>
      </c>
      <c r="J120" s="337">
        <f>SUM(J117:J119)</f>
        <v>63</v>
      </c>
      <c r="K120" s="151">
        <f>SUM(K117:K119)</f>
        <v>10</v>
      </c>
      <c r="L120" s="151">
        <f>SUM(L117:L119)</f>
        <v>10</v>
      </c>
      <c r="M120" s="485"/>
      <c r="N120" s="427"/>
      <c r="O120" s="432"/>
      <c r="P120" s="436"/>
      <c r="Q120" s="427"/>
    </row>
    <row r="121" spans="1:18" s="22" customFormat="1" ht="15.6" customHeight="1" x14ac:dyDescent="0.25">
      <c r="A121" s="1168" t="s">
        <v>7</v>
      </c>
      <c r="B121" s="1192" t="s">
        <v>7</v>
      </c>
      <c r="C121" s="1230" t="s">
        <v>148</v>
      </c>
      <c r="D121" s="1344"/>
      <c r="E121" s="1187" t="s">
        <v>120</v>
      </c>
      <c r="F121" s="660" t="s">
        <v>216</v>
      </c>
      <c r="G121" s="1325" t="s">
        <v>142</v>
      </c>
      <c r="H121" s="40" t="s">
        <v>11</v>
      </c>
      <c r="I121" s="176">
        <v>5.3</v>
      </c>
      <c r="J121" s="251">
        <v>5.2</v>
      </c>
      <c r="K121" s="603">
        <v>5.4</v>
      </c>
      <c r="L121" s="603">
        <v>5.4</v>
      </c>
      <c r="M121" s="1151" t="s">
        <v>70</v>
      </c>
      <c r="N121" s="109">
        <v>1</v>
      </c>
      <c r="O121" s="385">
        <v>1</v>
      </c>
      <c r="P121" s="394">
        <v>1</v>
      </c>
      <c r="Q121" s="109">
        <v>1</v>
      </c>
      <c r="R121" s="3"/>
    </row>
    <row r="122" spans="1:18" s="22" customFormat="1" ht="15.6" customHeight="1" x14ac:dyDescent="0.25">
      <c r="A122" s="1135"/>
      <c r="B122" s="1183"/>
      <c r="C122" s="1157"/>
      <c r="D122" s="1328"/>
      <c r="E122" s="1343"/>
      <c r="F122" s="684"/>
      <c r="G122" s="1326"/>
      <c r="H122" s="39"/>
      <c r="I122" s="179"/>
      <c r="J122" s="252"/>
      <c r="K122" s="162"/>
      <c r="L122" s="162"/>
      <c r="M122" s="1218"/>
      <c r="N122" s="376"/>
      <c r="O122" s="387"/>
      <c r="P122" s="396"/>
      <c r="Q122" s="376"/>
    </row>
    <row r="123" spans="1:18" s="22" customFormat="1" ht="15.95" customHeight="1" thickBot="1" x14ac:dyDescent="0.3">
      <c r="A123" s="1169"/>
      <c r="B123" s="1184"/>
      <c r="C123" s="1215"/>
      <c r="D123" s="232"/>
      <c r="E123" s="234"/>
      <c r="F123" s="685"/>
      <c r="G123" s="229"/>
      <c r="H123" s="149" t="s">
        <v>31</v>
      </c>
      <c r="I123" s="336">
        <f t="shared" ref="I123:L123" si="5">SUM(I121:I121)</f>
        <v>5.3</v>
      </c>
      <c r="J123" s="147">
        <f t="shared" si="5"/>
        <v>5.2</v>
      </c>
      <c r="K123" s="150">
        <f t="shared" si="5"/>
        <v>5.4</v>
      </c>
      <c r="L123" s="150">
        <f t="shared" si="5"/>
        <v>5.4</v>
      </c>
      <c r="M123" s="468"/>
      <c r="N123" s="380"/>
      <c r="O123" s="390"/>
      <c r="P123" s="399"/>
      <c r="Q123" s="380"/>
    </row>
    <row r="124" spans="1:18" s="1" customFormat="1" ht="15" customHeight="1" thickBot="1" x14ac:dyDescent="0.3">
      <c r="A124" s="729" t="s">
        <v>7</v>
      </c>
      <c r="B124" s="744" t="s">
        <v>7</v>
      </c>
      <c r="C124" s="1205" t="s">
        <v>50</v>
      </c>
      <c r="D124" s="1206"/>
      <c r="E124" s="1206"/>
      <c r="F124" s="1206"/>
      <c r="G124" s="1206"/>
      <c r="H124" s="1207"/>
      <c r="I124" s="209">
        <f>I123+I120+I116+I88+I85+I83+I71+I69+I65+I62+I60</f>
        <v>14853.400000000001</v>
      </c>
      <c r="J124" s="268">
        <f t="shared" ref="J124:L124" si="6">J123+J120+J116+J88+J85+J83+J71+J69+J65+J62+J60</f>
        <v>17679.900000000001</v>
      </c>
      <c r="K124" s="255">
        <f t="shared" si="6"/>
        <v>17308.300000000003</v>
      </c>
      <c r="L124" s="301">
        <f t="shared" si="6"/>
        <v>17929.400000000001</v>
      </c>
      <c r="M124" s="1208"/>
      <c r="N124" s="1209"/>
      <c r="O124" s="1209"/>
      <c r="P124" s="1209"/>
      <c r="Q124" s="1210"/>
    </row>
    <row r="125" spans="1:18" s="1" customFormat="1" ht="17.25" customHeight="1" thickBot="1" x14ac:dyDescent="0.3">
      <c r="A125" s="23" t="s">
        <v>7</v>
      </c>
      <c r="B125" s="24" t="s">
        <v>12</v>
      </c>
      <c r="C125" s="1211" t="s">
        <v>51</v>
      </c>
      <c r="D125" s="1212"/>
      <c r="E125" s="1212"/>
      <c r="F125" s="1212"/>
      <c r="G125" s="1212"/>
      <c r="H125" s="1212"/>
      <c r="I125" s="1212"/>
      <c r="J125" s="1212"/>
      <c r="K125" s="1212"/>
      <c r="L125" s="1212"/>
      <c r="M125" s="1212"/>
      <c r="N125" s="1212"/>
      <c r="O125" s="1212"/>
      <c r="P125" s="1212"/>
      <c r="Q125" s="1213"/>
    </row>
    <row r="126" spans="1:18" s="1" customFormat="1" ht="17.100000000000001" customHeight="1" x14ac:dyDescent="0.25">
      <c r="A126" s="821" t="s">
        <v>7</v>
      </c>
      <c r="B126" s="822" t="s">
        <v>12</v>
      </c>
      <c r="C126" s="722" t="s">
        <v>7</v>
      </c>
      <c r="D126" s="727"/>
      <c r="E126" s="1114" t="s">
        <v>78</v>
      </c>
      <c r="F126" s="244" t="s">
        <v>216</v>
      </c>
      <c r="G126" s="1341" t="s">
        <v>140</v>
      </c>
      <c r="H126" s="728" t="s">
        <v>10</v>
      </c>
      <c r="I126" s="794">
        <f>599.2-30</f>
        <v>569.20000000000005</v>
      </c>
      <c r="J126" s="844">
        <f>839.7-105</f>
        <v>734.7</v>
      </c>
      <c r="K126" s="795">
        <f>606.2-45</f>
        <v>561.20000000000005</v>
      </c>
      <c r="L126" s="845">
        <f>606.2-75</f>
        <v>531.20000000000005</v>
      </c>
      <c r="M126" s="833" t="s">
        <v>72</v>
      </c>
      <c r="N126" s="842">
        <v>432</v>
      </c>
      <c r="O126" s="374">
        <v>432</v>
      </c>
      <c r="P126" s="374">
        <v>432</v>
      </c>
      <c r="Q126" s="370">
        <v>432</v>
      </c>
    </row>
    <row r="127" spans="1:18" s="1" customFormat="1" ht="17.100000000000001" customHeight="1" x14ac:dyDescent="0.25">
      <c r="A127" s="720"/>
      <c r="B127" s="743"/>
      <c r="C127" s="722"/>
      <c r="D127" s="108"/>
      <c r="E127" s="1114"/>
      <c r="F127" s="170"/>
      <c r="G127" s="1342"/>
      <c r="H127" s="730" t="s">
        <v>83</v>
      </c>
      <c r="I127" s="177">
        <v>120</v>
      </c>
      <c r="J127" s="264"/>
      <c r="K127" s="131"/>
      <c r="L127" s="242"/>
      <c r="M127" s="548" t="s">
        <v>96</v>
      </c>
      <c r="N127" s="840">
        <v>514</v>
      </c>
      <c r="O127" s="823">
        <v>514</v>
      </c>
      <c r="P127" s="823">
        <v>514</v>
      </c>
      <c r="Q127" s="820">
        <v>514</v>
      </c>
    </row>
    <row r="128" spans="1:18" s="1" customFormat="1" ht="17.100000000000001" customHeight="1" x14ac:dyDescent="0.25">
      <c r="A128" s="720"/>
      <c r="B128" s="743"/>
      <c r="C128" s="722"/>
      <c r="D128" s="108"/>
      <c r="E128" s="1114"/>
      <c r="F128" s="170"/>
      <c r="G128" s="1342"/>
      <c r="H128" s="730"/>
      <c r="I128" s="178"/>
      <c r="J128" s="264"/>
      <c r="K128" s="266"/>
      <c r="L128" s="825"/>
      <c r="M128" s="832" t="s">
        <v>73</v>
      </c>
      <c r="N128" s="841">
        <v>55</v>
      </c>
      <c r="O128" s="375">
        <v>50</v>
      </c>
      <c r="P128" s="375">
        <v>50</v>
      </c>
      <c r="Q128" s="371">
        <v>50</v>
      </c>
    </row>
    <row r="129" spans="1:19" s="1" customFormat="1" ht="17.100000000000001" customHeight="1" x14ac:dyDescent="0.25">
      <c r="A129" s="720"/>
      <c r="B129" s="743"/>
      <c r="C129" s="722"/>
      <c r="D129" s="108"/>
      <c r="E129" s="1114"/>
      <c r="F129" s="170"/>
      <c r="G129" s="1342"/>
      <c r="H129" s="728"/>
      <c r="I129" s="177"/>
      <c r="J129" s="131"/>
      <c r="K129" s="131"/>
      <c r="L129" s="242"/>
      <c r="M129" s="832" t="s">
        <v>71</v>
      </c>
      <c r="N129" s="841">
        <v>3</v>
      </c>
      <c r="O129" s="375">
        <v>5</v>
      </c>
      <c r="P129" s="375">
        <v>5</v>
      </c>
      <c r="Q129" s="371">
        <v>5</v>
      </c>
    </row>
    <row r="130" spans="1:19" s="1" customFormat="1" ht="17.100000000000001" customHeight="1" x14ac:dyDescent="0.25">
      <c r="A130" s="720"/>
      <c r="B130" s="743"/>
      <c r="C130" s="722"/>
      <c r="D130" s="108"/>
      <c r="E130" s="748"/>
      <c r="F130" s="170"/>
      <c r="G130" s="732"/>
      <c r="H130" s="728"/>
      <c r="I130" s="177"/>
      <c r="J130" s="131"/>
      <c r="K130" s="131"/>
      <c r="L130" s="242"/>
      <c r="M130" s="833" t="s">
        <v>87</v>
      </c>
      <c r="N130" s="842">
        <v>1</v>
      </c>
      <c r="O130" s="374">
        <v>1</v>
      </c>
      <c r="P130" s="374"/>
      <c r="Q130" s="370"/>
    </row>
    <row r="131" spans="1:19" s="1" customFormat="1" ht="17.100000000000001" customHeight="1" x14ac:dyDescent="0.25">
      <c r="A131" s="720"/>
      <c r="B131" s="743"/>
      <c r="C131" s="722"/>
      <c r="D131" s="108"/>
      <c r="E131" s="748"/>
      <c r="F131" s="170"/>
      <c r="G131" s="732"/>
      <c r="H131" s="728"/>
      <c r="I131" s="177"/>
      <c r="J131" s="131"/>
      <c r="K131" s="131"/>
      <c r="L131" s="242"/>
      <c r="M131" s="832" t="s">
        <v>88</v>
      </c>
      <c r="N131" s="841">
        <v>15</v>
      </c>
      <c r="O131" s="375">
        <v>15</v>
      </c>
      <c r="P131" s="375">
        <v>15</v>
      </c>
      <c r="Q131" s="371">
        <v>15</v>
      </c>
    </row>
    <row r="132" spans="1:19" s="1" customFormat="1" ht="17.25" customHeight="1" x14ac:dyDescent="0.25">
      <c r="A132" s="720"/>
      <c r="B132" s="743"/>
      <c r="C132" s="722"/>
      <c r="D132" s="110"/>
      <c r="E132" s="765"/>
      <c r="F132" s="106"/>
      <c r="G132" s="732"/>
      <c r="H132" s="728"/>
      <c r="I132" s="177"/>
      <c r="J132" s="131"/>
      <c r="K132" s="131"/>
      <c r="L132" s="242"/>
      <c r="M132" s="1304" t="s">
        <v>254</v>
      </c>
      <c r="N132" s="1306">
        <v>66</v>
      </c>
      <c r="O132" s="1357"/>
      <c r="P132" s="1345"/>
      <c r="Q132" s="1347"/>
    </row>
    <row r="133" spans="1:19" s="1" customFormat="1" ht="22.5" customHeight="1" x14ac:dyDescent="0.25">
      <c r="A133" s="720"/>
      <c r="B133" s="743"/>
      <c r="C133" s="733"/>
      <c r="D133" s="108"/>
      <c r="E133" s="765"/>
      <c r="F133" s="160"/>
      <c r="G133" s="732"/>
      <c r="H133" s="728"/>
      <c r="I133" s="177"/>
      <c r="J133" s="131"/>
      <c r="K133" s="131"/>
      <c r="L133" s="242"/>
      <c r="M133" s="1305"/>
      <c r="N133" s="1307"/>
      <c r="O133" s="1358"/>
      <c r="P133" s="1346"/>
      <c r="Q133" s="1348"/>
    </row>
    <row r="134" spans="1:19" s="1" customFormat="1" ht="42" customHeight="1" x14ac:dyDescent="0.25">
      <c r="A134" s="720"/>
      <c r="B134" s="743"/>
      <c r="C134" s="722"/>
      <c r="D134" s="108"/>
      <c r="E134" s="765"/>
      <c r="F134" s="160"/>
      <c r="G134" s="732"/>
      <c r="H134" s="728"/>
      <c r="I134" s="177"/>
      <c r="J134" s="131"/>
      <c r="K134" s="131"/>
      <c r="L134" s="242"/>
      <c r="M134" s="832" t="s">
        <v>255</v>
      </c>
      <c r="N134" s="175">
        <v>58</v>
      </c>
      <c r="O134" s="372"/>
      <c r="P134" s="372"/>
      <c r="Q134" s="368"/>
    </row>
    <row r="135" spans="1:19" s="1" customFormat="1" ht="17.100000000000001" customHeight="1" x14ac:dyDescent="0.25">
      <c r="A135" s="720"/>
      <c r="B135" s="743"/>
      <c r="C135" s="722"/>
      <c r="D135" s="108"/>
      <c r="E135" s="765"/>
      <c r="F135" s="160"/>
      <c r="G135" s="732"/>
      <c r="H135" s="728"/>
      <c r="I135" s="177"/>
      <c r="J135" s="263"/>
      <c r="K135" s="127"/>
      <c r="L135" s="826"/>
      <c r="M135" s="832" t="s">
        <v>256</v>
      </c>
      <c r="N135" s="175">
        <v>1</v>
      </c>
      <c r="O135" s="372"/>
      <c r="P135" s="372"/>
      <c r="Q135" s="368"/>
    </row>
    <row r="136" spans="1:19" s="1" customFormat="1" ht="17.100000000000001" customHeight="1" x14ac:dyDescent="0.25">
      <c r="A136" s="720"/>
      <c r="B136" s="743"/>
      <c r="C136" s="722"/>
      <c r="D136" s="108"/>
      <c r="E136" s="765"/>
      <c r="F136" s="160"/>
      <c r="G136" s="732"/>
      <c r="H136" s="746"/>
      <c r="I136" s="177"/>
      <c r="J136" s="291"/>
      <c r="K136" s="293"/>
      <c r="L136" s="827"/>
      <c r="M136" s="548" t="s">
        <v>233</v>
      </c>
      <c r="N136" s="175"/>
      <c r="O136" s="838">
        <v>2</v>
      </c>
      <c r="P136" s="711">
        <v>1</v>
      </c>
      <c r="Q136" s="368"/>
    </row>
    <row r="137" spans="1:19" s="1" customFormat="1" ht="27" customHeight="1" x14ac:dyDescent="0.25">
      <c r="A137" s="720"/>
      <c r="B137" s="743"/>
      <c r="C137" s="722"/>
      <c r="D137" s="108"/>
      <c r="E137" s="766"/>
      <c r="F137" s="160"/>
      <c r="G137" s="732"/>
      <c r="H137" s="728" t="s">
        <v>10</v>
      </c>
      <c r="I137" s="201">
        <v>35</v>
      </c>
      <c r="J137" s="274"/>
      <c r="K137" s="279"/>
      <c r="L137" s="828"/>
      <c r="M137" s="834" t="s">
        <v>188</v>
      </c>
      <c r="N137" s="843">
        <v>1</v>
      </c>
      <c r="O137" s="373"/>
      <c r="P137" s="373"/>
      <c r="Q137" s="369"/>
    </row>
    <row r="138" spans="1:19" s="1" customFormat="1" ht="15" customHeight="1" x14ac:dyDescent="0.25">
      <c r="A138" s="720"/>
      <c r="B138" s="743"/>
      <c r="C138" s="722"/>
      <c r="D138" s="108"/>
      <c r="E138" s="1219" t="s">
        <v>185</v>
      </c>
      <c r="F138" s="714" t="s">
        <v>126</v>
      </c>
      <c r="G138" s="1325" t="s">
        <v>231</v>
      </c>
      <c r="H138" s="745" t="s">
        <v>10</v>
      </c>
      <c r="I138" s="176"/>
      <c r="J138" s="131">
        <v>110</v>
      </c>
      <c r="K138" s="127">
        <v>29.5</v>
      </c>
      <c r="L138" s="242">
        <v>29.5</v>
      </c>
      <c r="M138" s="835" t="s">
        <v>240</v>
      </c>
      <c r="N138" s="819"/>
      <c r="O138" s="839">
        <v>1</v>
      </c>
      <c r="P138" s="824"/>
      <c r="Q138" s="829"/>
    </row>
    <row r="139" spans="1:19" s="1" customFormat="1" ht="15" customHeight="1" x14ac:dyDescent="0.25">
      <c r="A139" s="720"/>
      <c r="B139" s="743"/>
      <c r="C139" s="722"/>
      <c r="D139" s="108"/>
      <c r="E139" s="1220"/>
      <c r="F139" s="715" t="s">
        <v>218</v>
      </c>
      <c r="G139" s="1341"/>
      <c r="H139" s="728"/>
      <c r="I139" s="177"/>
      <c r="J139" s="131"/>
      <c r="K139" s="127"/>
      <c r="L139" s="242"/>
      <c r="M139" s="836" t="s">
        <v>257</v>
      </c>
      <c r="N139" s="92"/>
      <c r="O139" s="846"/>
      <c r="P139" s="267">
        <v>15</v>
      </c>
      <c r="Q139" s="787">
        <v>15</v>
      </c>
      <c r="S139" s="3"/>
    </row>
    <row r="140" spans="1:19" s="1" customFormat="1" ht="18" customHeight="1" thickBot="1" x14ac:dyDescent="0.3">
      <c r="A140" s="729"/>
      <c r="B140" s="744"/>
      <c r="C140" s="171"/>
      <c r="D140" s="62"/>
      <c r="E140" s="791"/>
      <c r="F140" s="849" t="s">
        <v>133</v>
      </c>
      <c r="G140" s="790"/>
      <c r="H140" s="181" t="s">
        <v>31</v>
      </c>
      <c r="I140" s="183">
        <f>SUM(I126:I139)</f>
        <v>724.2</v>
      </c>
      <c r="J140" s="137">
        <f>SUM(J126:J139)</f>
        <v>844.7</v>
      </c>
      <c r="K140" s="269">
        <f>SUM(K126:K139)</f>
        <v>590.70000000000005</v>
      </c>
      <c r="L140" s="69">
        <f>SUM(L126:L139)</f>
        <v>560.70000000000005</v>
      </c>
      <c r="M140" s="837"/>
      <c r="N140" s="847"/>
      <c r="O140" s="848"/>
      <c r="P140" s="830"/>
      <c r="Q140" s="831"/>
    </row>
    <row r="141" spans="1:19" s="1" customFormat="1" ht="15" customHeight="1" thickBot="1" x14ac:dyDescent="0.3">
      <c r="A141" s="729" t="s">
        <v>7</v>
      </c>
      <c r="B141" s="744" t="s">
        <v>12</v>
      </c>
      <c r="C141" s="1205" t="s">
        <v>50</v>
      </c>
      <c r="D141" s="1206"/>
      <c r="E141" s="1206"/>
      <c r="F141" s="1206"/>
      <c r="G141" s="1206"/>
      <c r="H141" s="1206"/>
      <c r="I141" s="209">
        <f t="shared" ref="I141:L141" si="7">I140</f>
        <v>724.2</v>
      </c>
      <c r="J141" s="268">
        <f>J140</f>
        <v>844.7</v>
      </c>
      <c r="K141" s="270">
        <f t="shared" si="7"/>
        <v>590.70000000000005</v>
      </c>
      <c r="L141" s="255">
        <f t="shared" si="7"/>
        <v>560.70000000000005</v>
      </c>
      <c r="M141" s="1208"/>
      <c r="N141" s="1209"/>
      <c r="O141" s="1209"/>
      <c r="P141" s="1209"/>
      <c r="Q141" s="1210"/>
    </row>
    <row r="142" spans="1:19" s="1" customFormat="1" ht="17.25" customHeight="1" thickBot="1" x14ac:dyDescent="0.3">
      <c r="A142" s="23" t="s">
        <v>7</v>
      </c>
      <c r="B142" s="24" t="s">
        <v>15</v>
      </c>
      <c r="C142" s="1211" t="s">
        <v>92</v>
      </c>
      <c r="D142" s="1212"/>
      <c r="E142" s="1212"/>
      <c r="F142" s="1212"/>
      <c r="G142" s="1212"/>
      <c r="H142" s="1212"/>
      <c r="I142" s="1212"/>
      <c r="J142" s="1212"/>
      <c r="K142" s="1212"/>
      <c r="L142" s="1212"/>
      <c r="M142" s="1212"/>
      <c r="N142" s="1212"/>
      <c r="O142" s="1212"/>
      <c r="P142" s="1212"/>
      <c r="Q142" s="1213"/>
      <c r="R142" s="256"/>
    </row>
    <row r="143" spans="1:19" s="1" customFormat="1" ht="27" customHeight="1" x14ac:dyDescent="0.25">
      <c r="A143" s="102" t="s">
        <v>7</v>
      </c>
      <c r="B143" s="103" t="s">
        <v>15</v>
      </c>
      <c r="C143" s="94" t="s">
        <v>7</v>
      </c>
      <c r="D143" s="60"/>
      <c r="E143" s="28" t="s">
        <v>280</v>
      </c>
      <c r="F143" s="76"/>
      <c r="G143" s="61"/>
      <c r="H143" s="61"/>
      <c r="I143" s="339"/>
      <c r="J143" s="140"/>
      <c r="K143" s="347"/>
      <c r="L143" s="140"/>
      <c r="M143" s="493"/>
      <c r="N143" s="418"/>
      <c r="O143" s="421"/>
      <c r="P143" s="424"/>
      <c r="Q143" s="418"/>
    </row>
    <row r="144" spans="1:19" s="3" customFormat="1" ht="15.75" customHeight="1" x14ac:dyDescent="0.25">
      <c r="A144" s="1201"/>
      <c r="B144" s="1203"/>
      <c r="C144" s="1137"/>
      <c r="D144" s="104" t="s">
        <v>7</v>
      </c>
      <c r="E144" s="1219" t="s">
        <v>104</v>
      </c>
      <c r="F144" s="99" t="s">
        <v>126</v>
      </c>
      <c r="G144" s="1337" t="s">
        <v>97</v>
      </c>
      <c r="H144" s="92" t="s">
        <v>83</v>
      </c>
      <c r="I144" s="176">
        <v>5.4</v>
      </c>
      <c r="J144" s="130"/>
      <c r="K144" s="128"/>
      <c r="L144" s="558"/>
      <c r="M144" s="494" t="s">
        <v>118</v>
      </c>
      <c r="N144" s="355">
        <v>7</v>
      </c>
      <c r="O144" s="386"/>
      <c r="P144" s="395"/>
      <c r="Q144" s="355"/>
    </row>
    <row r="145" spans="1:17" s="3" customFormat="1" ht="15" customHeight="1" x14ac:dyDescent="0.25">
      <c r="A145" s="1201"/>
      <c r="B145" s="1203"/>
      <c r="C145" s="1137"/>
      <c r="D145" s="104"/>
      <c r="E145" s="1336"/>
      <c r="F145" s="97" t="s">
        <v>115</v>
      </c>
      <c r="G145" s="1325"/>
      <c r="H145" s="175" t="s">
        <v>93</v>
      </c>
      <c r="I145" s="556">
        <v>282.2</v>
      </c>
      <c r="J145" s="557"/>
      <c r="K145" s="266"/>
      <c r="L145" s="127"/>
      <c r="M145" s="495" t="s">
        <v>94</v>
      </c>
      <c r="N145" s="487">
        <v>266</v>
      </c>
      <c r="O145" s="509"/>
      <c r="P145" s="515"/>
      <c r="Q145" s="487"/>
    </row>
    <row r="146" spans="1:17" s="3" customFormat="1" ht="23.45" customHeight="1" x14ac:dyDescent="0.25">
      <c r="A146" s="1201"/>
      <c r="B146" s="1203"/>
      <c r="C146" s="1137"/>
      <c r="D146" s="753"/>
      <c r="E146" s="1336"/>
      <c r="F146" s="97" t="s">
        <v>133</v>
      </c>
      <c r="G146" s="770"/>
      <c r="H146" s="555" t="s">
        <v>10</v>
      </c>
      <c r="I146" s="201">
        <v>8.8000000000000007</v>
      </c>
      <c r="J146" s="131"/>
      <c r="K146" s="279"/>
      <c r="L146" s="539"/>
      <c r="M146" s="496" t="s">
        <v>155</v>
      </c>
      <c r="N146" s="488">
        <v>20</v>
      </c>
      <c r="O146" s="510"/>
      <c r="P146" s="516"/>
      <c r="Q146" s="488"/>
    </row>
    <row r="147" spans="1:17" s="3" customFormat="1" ht="15" customHeight="1" x14ac:dyDescent="0.25">
      <c r="A147" s="1201"/>
      <c r="B147" s="1203"/>
      <c r="C147" s="1137"/>
      <c r="D147" s="104" t="s">
        <v>12</v>
      </c>
      <c r="E147" s="1219" t="s">
        <v>263</v>
      </c>
      <c r="F147" s="99" t="s">
        <v>126</v>
      </c>
      <c r="G147" s="1296" t="s">
        <v>97</v>
      </c>
      <c r="H147" s="92" t="s">
        <v>10</v>
      </c>
      <c r="I147" s="559">
        <f>20-10</f>
        <v>10</v>
      </c>
      <c r="J147" s="617"/>
      <c r="K147" s="560"/>
      <c r="L147" s="558"/>
      <c r="M147" s="497" t="s">
        <v>98</v>
      </c>
      <c r="N147" s="489">
        <v>1</v>
      </c>
      <c r="O147" s="511"/>
      <c r="P147" s="517"/>
      <c r="Q147" s="489"/>
    </row>
    <row r="148" spans="1:17" s="3" customFormat="1" ht="15" customHeight="1" x14ac:dyDescent="0.25">
      <c r="A148" s="1201"/>
      <c r="B148" s="1203"/>
      <c r="C148" s="1137"/>
      <c r="D148" s="104"/>
      <c r="E148" s="1220"/>
      <c r="F148" s="662" t="s">
        <v>216</v>
      </c>
      <c r="G148" s="1296"/>
      <c r="H148" s="175" t="s">
        <v>83</v>
      </c>
      <c r="I148" s="177">
        <v>39</v>
      </c>
      <c r="J148" s="264"/>
      <c r="K148" s="127"/>
      <c r="L148" s="127"/>
      <c r="M148" s="494" t="s">
        <v>163</v>
      </c>
      <c r="N148" s="490">
        <v>1</v>
      </c>
      <c r="O148" s="512"/>
      <c r="P148" s="518"/>
      <c r="Q148" s="490"/>
    </row>
    <row r="149" spans="1:17" s="3" customFormat="1" ht="26.45" customHeight="1" x14ac:dyDescent="0.25">
      <c r="A149" s="1201"/>
      <c r="B149" s="1203"/>
      <c r="C149" s="1137"/>
      <c r="D149" s="70"/>
      <c r="E149" s="1178"/>
      <c r="F149" s="663" t="s">
        <v>115</v>
      </c>
      <c r="G149" s="1338"/>
      <c r="H149" s="78"/>
      <c r="I149" s="179"/>
      <c r="J149" s="132"/>
      <c r="K149" s="129"/>
      <c r="L149" s="129"/>
      <c r="M149" s="498" t="s">
        <v>164</v>
      </c>
      <c r="N149" s="491">
        <v>1</v>
      </c>
      <c r="O149" s="513"/>
      <c r="P149" s="519"/>
      <c r="Q149" s="491"/>
    </row>
    <row r="150" spans="1:17" s="3" customFormat="1" ht="14.45" customHeight="1" x14ac:dyDescent="0.25">
      <c r="A150" s="1201"/>
      <c r="B150" s="1203"/>
      <c r="C150" s="1137"/>
      <c r="D150" s="104" t="s">
        <v>15</v>
      </c>
      <c r="E150" s="1219" t="s">
        <v>264</v>
      </c>
      <c r="F150" s="99" t="s">
        <v>126</v>
      </c>
      <c r="G150" s="1296" t="s">
        <v>97</v>
      </c>
      <c r="H150" s="92" t="s">
        <v>10</v>
      </c>
      <c r="I150" s="176"/>
      <c r="J150" s="805">
        <v>1</v>
      </c>
      <c r="K150" s="128">
        <v>6</v>
      </c>
      <c r="L150" s="602">
        <v>1</v>
      </c>
      <c r="M150" s="494" t="s">
        <v>163</v>
      </c>
      <c r="N150" s="490"/>
      <c r="O150" s="512">
        <v>1</v>
      </c>
      <c r="P150" s="518">
        <v>1</v>
      </c>
      <c r="Q150" s="490">
        <v>1</v>
      </c>
    </row>
    <row r="151" spans="1:17" s="3" customFormat="1" ht="14.45" customHeight="1" x14ac:dyDescent="0.25">
      <c r="A151" s="1201"/>
      <c r="B151" s="1203"/>
      <c r="C151" s="1137"/>
      <c r="D151" s="104"/>
      <c r="E151" s="1220"/>
      <c r="F151" s="662" t="s">
        <v>216</v>
      </c>
      <c r="G151" s="1296"/>
      <c r="H151" s="27"/>
      <c r="I151" s="177"/>
      <c r="J151" s="263"/>
      <c r="K151" s="127"/>
      <c r="L151" s="691"/>
      <c r="M151" s="473" t="s">
        <v>164</v>
      </c>
      <c r="N151" s="806"/>
      <c r="O151" s="807"/>
      <c r="P151" s="808">
        <v>1</v>
      </c>
      <c r="Q151" s="806"/>
    </row>
    <row r="152" spans="1:17" s="3" customFormat="1" ht="14.45" customHeight="1" x14ac:dyDescent="0.25">
      <c r="A152" s="1201"/>
      <c r="B152" s="1203"/>
      <c r="C152" s="1137"/>
      <c r="D152" s="70"/>
      <c r="E152" s="1178"/>
      <c r="F152" s="663" t="s">
        <v>115</v>
      </c>
      <c r="G152" s="1338"/>
      <c r="H152" s="78"/>
      <c r="I152" s="179"/>
      <c r="J152" s="132"/>
      <c r="K152" s="129"/>
      <c r="L152" s="129"/>
      <c r="M152" s="365"/>
      <c r="N152" s="637"/>
      <c r="O152" s="638"/>
      <c r="P152" s="639"/>
      <c r="Q152" s="789"/>
    </row>
    <row r="153" spans="1:17" s="3" customFormat="1" ht="18.95" customHeight="1" x14ac:dyDescent="0.25">
      <c r="A153" s="1201"/>
      <c r="B153" s="1203"/>
      <c r="C153" s="1137"/>
      <c r="D153" s="95" t="s">
        <v>16</v>
      </c>
      <c r="E153" s="1219" t="s">
        <v>129</v>
      </c>
      <c r="F153" s="99" t="s">
        <v>126</v>
      </c>
      <c r="G153" s="1299" t="s">
        <v>227</v>
      </c>
      <c r="H153" s="647"/>
      <c r="I153" s="176"/>
      <c r="J153" s="262"/>
      <c r="K153" s="128"/>
      <c r="L153" s="602"/>
      <c r="M153" s="497" t="s">
        <v>130</v>
      </c>
      <c r="N153" s="492">
        <v>1</v>
      </c>
      <c r="O153" s="514"/>
      <c r="P153" s="520"/>
      <c r="Q153" s="641"/>
    </row>
    <row r="154" spans="1:17" s="3" customFormat="1" ht="18.95" customHeight="1" x14ac:dyDescent="0.25">
      <c r="A154" s="1201"/>
      <c r="B154" s="1203"/>
      <c r="C154" s="1137"/>
      <c r="D154" s="648"/>
      <c r="E154" s="1221"/>
      <c r="F154" s="661" t="s">
        <v>216</v>
      </c>
      <c r="G154" s="1303"/>
      <c r="H154" s="652"/>
      <c r="I154" s="179"/>
      <c r="J154" s="265"/>
      <c r="K154" s="127"/>
      <c r="L154" s="329"/>
      <c r="M154" s="788"/>
      <c r="N154" s="637"/>
      <c r="O154" s="638"/>
      <c r="P154" s="639"/>
      <c r="Q154" s="789"/>
    </row>
    <row r="155" spans="1:17" s="3" customFormat="1" ht="14.45" customHeight="1" x14ac:dyDescent="0.25">
      <c r="A155" s="1201"/>
      <c r="B155" s="1203"/>
      <c r="C155" s="1137"/>
      <c r="D155" s="636" t="s">
        <v>18</v>
      </c>
      <c r="E155" s="1219" t="s">
        <v>265</v>
      </c>
      <c r="F155" s="716" t="s">
        <v>218</v>
      </c>
      <c r="G155" s="1299" t="s">
        <v>227</v>
      </c>
      <c r="H155" s="27" t="s">
        <v>10</v>
      </c>
      <c r="I155" s="177"/>
      <c r="J155" s="131">
        <v>49</v>
      </c>
      <c r="K155" s="128">
        <v>84</v>
      </c>
      <c r="L155" s="127">
        <v>84</v>
      </c>
      <c r="M155" s="1222" t="s">
        <v>258</v>
      </c>
      <c r="N155" s="640"/>
      <c r="O155" s="651">
        <v>1</v>
      </c>
      <c r="P155" s="650">
        <v>1</v>
      </c>
      <c r="Q155" s="641">
        <v>1</v>
      </c>
    </row>
    <row r="156" spans="1:17" s="3" customFormat="1" ht="26.45" customHeight="1" x14ac:dyDescent="0.25">
      <c r="A156" s="1201"/>
      <c r="B156" s="1203"/>
      <c r="C156" s="1137"/>
      <c r="D156" s="636"/>
      <c r="E156" s="1220"/>
      <c r="F156" s="717"/>
      <c r="G156" s="1300"/>
      <c r="H156" s="27"/>
      <c r="I156" s="177"/>
      <c r="J156" s="291"/>
      <c r="K156" s="293"/>
      <c r="L156" s="127"/>
      <c r="M156" s="1223"/>
      <c r="N156" s="640"/>
      <c r="O156" s="653"/>
      <c r="P156" s="654"/>
      <c r="Q156" s="655"/>
    </row>
    <row r="157" spans="1:17" s="3" customFormat="1" ht="18.95" customHeight="1" x14ac:dyDescent="0.25">
      <c r="A157" s="1201"/>
      <c r="B157" s="1203"/>
      <c r="C157" s="1137"/>
      <c r="D157" s="636"/>
      <c r="E157" s="1221"/>
      <c r="F157" s="717"/>
      <c r="G157" s="1303"/>
      <c r="H157" s="555" t="s">
        <v>10</v>
      </c>
      <c r="I157" s="201"/>
      <c r="J157" s="131">
        <v>2.5</v>
      </c>
      <c r="K157" s="127"/>
      <c r="L157" s="539"/>
      <c r="M157" s="658" t="s">
        <v>232</v>
      </c>
      <c r="N157" s="649"/>
      <c r="O157" s="651">
        <v>1</v>
      </c>
      <c r="P157" s="650"/>
      <c r="Q157" s="640"/>
    </row>
    <row r="158" spans="1:17" s="3" customFormat="1" ht="28.7" customHeight="1" x14ac:dyDescent="0.25">
      <c r="A158" s="1201"/>
      <c r="B158" s="1203"/>
      <c r="C158" s="1137"/>
      <c r="D158" s="95" t="s">
        <v>19</v>
      </c>
      <c r="E158" s="1219" t="s">
        <v>184</v>
      </c>
      <c r="F158" s="635" t="s">
        <v>216</v>
      </c>
      <c r="G158" s="718" t="s">
        <v>143</v>
      </c>
      <c r="H158" s="92"/>
      <c r="I158" s="176"/>
      <c r="J158" s="262"/>
      <c r="K158" s="128"/>
      <c r="L158" s="128"/>
      <c r="M158" s="465" t="s">
        <v>229</v>
      </c>
      <c r="N158" s="492">
        <v>20</v>
      </c>
      <c r="O158" s="514">
        <v>40</v>
      </c>
      <c r="P158" s="520">
        <v>60</v>
      </c>
      <c r="Q158" s="641">
        <v>80</v>
      </c>
    </row>
    <row r="159" spans="1:17" s="3" customFormat="1" ht="27.6" customHeight="1" x14ac:dyDescent="0.25">
      <c r="A159" s="1201"/>
      <c r="B159" s="1203"/>
      <c r="C159" s="1137"/>
      <c r="D159" s="636"/>
      <c r="E159" s="1221"/>
      <c r="F159" s="634"/>
      <c r="G159" s="770" t="s">
        <v>228</v>
      </c>
      <c r="H159" s="78"/>
      <c r="I159" s="177"/>
      <c r="J159" s="131"/>
      <c r="K159" s="127"/>
      <c r="L159" s="329"/>
      <c r="M159" s="365"/>
      <c r="N159" s="637"/>
      <c r="O159" s="638"/>
      <c r="P159" s="639"/>
      <c r="Q159" s="640"/>
    </row>
    <row r="160" spans="1:17" s="3" customFormat="1" ht="15.75" customHeight="1" x14ac:dyDescent="0.25">
      <c r="A160" s="1201"/>
      <c r="B160" s="1203"/>
      <c r="C160" s="1137"/>
      <c r="D160" s="726" t="s">
        <v>22</v>
      </c>
      <c r="E160" s="1160" t="s">
        <v>183</v>
      </c>
      <c r="F160" s="100" t="s">
        <v>216</v>
      </c>
      <c r="G160" s="1296" t="s">
        <v>227</v>
      </c>
      <c r="H160" s="1298"/>
      <c r="I160" s="176"/>
      <c r="J160" s="130"/>
      <c r="K160" s="128"/>
      <c r="L160" s="128"/>
      <c r="M160" s="465" t="s">
        <v>182</v>
      </c>
      <c r="N160" s="499">
        <v>1</v>
      </c>
      <c r="O160" s="521">
        <v>1</v>
      </c>
      <c r="P160" s="520"/>
      <c r="Q160" s="492"/>
    </row>
    <row r="161" spans="1:21" s="3" customFormat="1" ht="17.45" customHeight="1" x14ac:dyDescent="0.25">
      <c r="A161" s="1201"/>
      <c r="B161" s="1203"/>
      <c r="C161" s="1137"/>
      <c r="D161" s="753"/>
      <c r="E161" s="1162"/>
      <c r="F161" s="243"/>
      <c r="G161" s="1297"/>
      <c r="H161" s="1298"/>
      <c r="I161" s="179"/>
      <c r="J161" s="132"/>
      <c r="K161" s="129"/>
      <c r="L161" s="129"/>
      <c r="M161" s="364"/>
      <c r="N161" s="656"/>
      <c r="O161" s="657"/>
      <c r="P161" s="518"/>
      <c r="Q161" s="490"/>
    </row>
    <row r="162" spans="1:21" s="22" customFormat="1" ht="17.25" customHeight="1" thickBot="1" x14ac:dyDescent="0.3">
      <c r="A162" s="1202"/>
      <c r="B162" s="1204"/>
      <c r="C162" s="1137"/>
      <c r="D162" s="211"/>
      <c r="E162" s="237"/>
      <c r="F162" s="239"/>
      <c r="G162" s="238"/>
      <c r="H162" s="152" t="s">
        <v>31</v>
      </c>
      <c r="I162" s="340">
        <f>SUM(I144:I161)</f>
        <v>345.4</v>
      </c>
      <c r="J162" s="137">
        <f>SUM(J144:J161)</f>
        <v>52.5</v>
      </c>
      <c r="K162" s="137">
        <f>SUM(K144:K161)</f>
        <v>90</v>
      </c>
      <c r="L162" s="65">
        <f>SUM(L144:L161)</f>
        <v>85</v>
      </c>
      <c r="M162" s="467"/>
      <c r="N162" s="378"/>
      <c r="O162" s="388"/>
      <c r="P162" s="397"/>
      <c r="Q162" s="378"/>
      <c r="R162" s="703"/>
      <c r="S162" s="704"/>
      <c r="T162" s="704"/>
      <c r="U162" s="704"/>
    </row>
    <row r="163" spans="1:21" s="1" customFormat="1" ht="15.75" customHeight="1" thickBot="1" x14ac:dyDescent="0.3">
      <c r="A163" s="729" t="s">
        <v>7</v>
      </c>
      <c r="B163" s="768" t="s">
        <v>15</v>
      </c>
      <c r="C163" s="1231" t="s">
        <v>50</v>
      </c>
      <c r="D163" s="1232"/>
      <c r="E163" s="1232"/>
      <c r="F163" s="1232"/>
      <c r="G163" s="1232"/>
      <c r="H163" s="1233"/>
      <c r="I163" s="209">
        <f t="shared" ref="I163:L163" si="8">I162</f>
        <v>345.4</v>
      </c>
      <c r="J163" s="255">
        <f t="shared" si="8"/>
        <v>52.5</v>
      </c>
      <c r="K163" s="138">
        <f t="shared" si="8"/>
        <v>90</v>
      </c>
      <c r="L163" s="138">
        <f t="shared" si="8"/>
        <v>85</v>
      </c>
      <c r="M163" s="1234"/>
      <c r="N163" s="1339"/>
      <c r="O163" s="1235"/>
      <c r="P163" s="1235"/>
      <c r="Q163" s="1236"/>
      <c r="R163" s="703"/>
      <c r="S163" s="704"/>
      <c r="T163" s="704"/>
      <c r="U163" s="704"/>
    </row>
    <row r="164" spans="1:21" s="1" customFormat="1" ht="16.5" customHeight="1" thickBot="1" x14ac:dyDescent="0.3">
      <c r="A164" s="23" t="s">
        <v>7</v>
      </c>
      <c r="B164" s="59" t="s">
        <v>16</v>
      </c>
      <c r="C164" s="1237" t="s">
        <v>52</v>
      </c>
      <c r="D164" s="1238"/>
      <c r="E164" s="1238"/>
      <c r="F164" s="1238"/>
      <c r="G164" s="1238"/>
      <c r="H164" s="1238"/>
      <c r="I164" s="1238"/>
      <c r="J164" s="1238"/>
      <c r="K164" s="1238"/>
      <c r="L164" s="1238"/>
      <c r="M164" s="1238"/>
      <c r="N164" s="1238"/>
      <c r="O164" s="1239"/>
      <c r="P164" s="1239"/>
      <c r="Q164" s="1240"/>
      <c r="R164" s="703"/>
      <c r="S164" s="704"/>
      <c r="T164" s="704"/>
      <c r="U164" s="704"/>
    </row>
    <row r="165" spans="1:21" s="1" customFormat="1" ht="40.700000000000003" customHeight="1" x14ac:dyDescent="0.25">
      <c r="A165" s="735" t="s">
        <v>7</v>
      </c>
      <c r="B165" s="103" t="s">
        <v>16</v>
      </c>
      <c r="C165" s="736" t="s">
        <v>7</v>
      </c>
      <c r="D165" s="107"/>
      <c r="E165" s="28" t="s">
        <v>53</v>
      </c>
      <c r="F165" s="591"/>
      <c r="G165" s="734"/>
      <c r="H165" s="188"/>
      <c r="I165" s="344"/>
      <c r="J165" s="210"/>
      <c r="K165" s="210"/>
      <c r="L165" s="210"/>
      <c r="M165" s="502"/>
      <c r="N165" s="418"/>
      <c r="O165" s="421"/>
      <c r="P165" s="424"/>
      <c r="Q165" s="418"/>
    </row>
    <row r="166" spans="1:21" s="1" customFormat="1" ht="20.100000000000001" customHeight="1" x14ac:dyDescent="0.25">
      <c r="A166" s="720"/>
      <c r="B166" s="743"/>
      <c r="C166" s="733"/>
      <c r="D166" s="1293" t="s">
        <v>7</v>
      </c>
      <c r="E166" s="1113" t="s">
        <v>103</v>
      </c>
      <c r="F166" s="659" t="s">
        <v>216</v>
      </c>
      <c r="G166" s="1299" t="s">
        <v>144</v>
      </c>
      <c r="H166" s="580" t="s">
        <v>10</v>
      </c>
      <c r="I166" s="581"/>
      <c r="J166" s="564">
        <v>36</v>
      </c>
      <c r="K166" s="560">
        <v>36</v>
      </c>
      <c r="L166" s="131">
        <v>36</v>
      </c>
      <c r="M166" s="760" t="s">
        <v>102</v>
      </c>
      <c r="N166" s="499">
        <v>40</v>
      </c>
      <c r="O166" s="521">
        <v>60</v>
      </c>
      <c r="P166" s="267">
        <v>60</v>
      </c>
      <c r="Q166" s="499">
        <v>60</v>
      </c>
    </row>
    <row r="167" spans="1:21" s="1" customFormat="1" ht="20.100000000000001" customHeight="1" x14ac:dyDescent="0.25">
      <c r="A167" s="720"/>
      <c r="B167" s="743"/>
      <c r="C167" s="733"/>
      <c r="D167" s="1295"/>
      <c r="E167" s="1114"/>
      <c r="F167" s="96"/>
      <c r="G167" s="1300"/>
      <c r="H167" s="189" t="s">
        <v>83</v>
      </c>
      <c r="I167" s="214">
        <v>4.7</v>
      </c>
      <c r="J167" s="544"/>
      <c r="K167" s="136"/>
      <c r="L167" s="563"/>
      <c r="M167" s="367"/>
      <c r="N167" s="501"/>
      <c r="O167" s="756"/>
      <c r="P167" s="524"/>
      <c r="Q167" s="501"/>
    </row>
    <row r="168" spans="1:21" s="1" customFormat="1" ht="20.100000000000001" customHeight="1" x14ac:dyDescent="0.25">
      <c r="A168" s="720"/>
      <c r="B168" s="743"/>
      <c r="C168" s="733"/>
      <c r="D168" s="1295"/>
      <c r="E168" s="1114"/>
      <c r="F168" s="96"/>
      <c r="G168" s="1301"/>
      <c r="H168" s="39" t="s">
        <v>14</v>
      </c>
      <c r="I168" s="214">
        <v>10</v>
      </c>
      <c r="J168" s="544"/>
      <c r="K168" s="562"/>
      <c r="L168" s="563"/>
      <c r="M168" s="761"/>
      <c r="N168" s="501"/>
      <c r="O168" s="756"/>
      <c r="P168" s="524"/>
      <c r="Q168" s="501"/>
    </row>
    <row r="169" spans="1:21" s="1" customFormat="1" ht="18.600000000000001" customHeight="1" x14ac:dyDescent="0.25">
      <c r="A169" s="720"/>
      <c r="B169" s="743"/>
      <c r="C169" s="722"/>
      <c r="D169" s="727"/>
      <c r="E169" s="725"/>
      <c r="F169" s="163"/>
      <c r="G169" s="1302" t="s">
        <v>139</v>
      </c>
      <c r="H169" s="543" t="s">
        <v>10</v>
      </c>
      <c r="I169" s="177">
        <v>38</v>
      </c>
      <c r="J169" s="133"/>
      <c r="K169" s="545"/>
      <c r="L169" s="546"/>
      <c r="M169" s="537" t="s">
        <v>102</v>
      </c>
      <c r="N169" s="549">
        <v>100</v>
      </c>
      <c r="O169" s="550"/>
      <c r="P169" s="547"/>
      <c r="Q169" s="552"/>
    </row>
    <row r="170" spans="1:21" s="1" customFormat="1" ht="18.600000000000001" customHeight="1" x14ac:dyDescent="0.25">
      <c r="A170" s="720"/>
      <c r="B170" s="743"/>
      <c r="C170" s="722"/>
      <c r="D170" s="727"/>
      <c r="E170" s="725"/>
      <c r="F170" s="163"/>
      <c r="G170" s="1303"/>
      <c r="H170" s="156"/>
      <c r="I170" s="177"/>
      <c r="J170" s="133"/>
      <c r="K170" s="298"/>
      <c r="L170" s="542"/>
      <c r="M170" s="548" t="s">
        <v>214</v>
      </c>
      <c r="N170" s="78">
        <v>300</v>
      </c>
      <c r="O170" s="756"/>
      <c r="P170" s="551"/>
      <c r="Q170" s="501"/>
    </row>
    <row r="171" spans="1:21" s="1" customFormat="1" ht="15.75" customHeight="1" x14ac:dyDescent="0.25">
      <c r="A171" s="720"/>
      <c r="B171" s="743"/>
      <c r="C171" s="722"/>
      <c r="D171" s="1293" t="s">
        <v>12</v>
      </c>
      <c r="E171" s="1219" t="s">
        <v>165</v>
      </c>
      <c r="F171" s="590"/>
      <c r="G171" s="1299" t="s">
        <v>144</v>
      </c>
      <c r="H171" s="39" t="s">
        <v>14</v>
      </c>
      <c r="I171" s="176">
        <v>3.6</v>
      </c>
      <c r="J171" s="135"/>
      <c r="K171" s="299"/>
      <c r="L171" s="133"/>
      <c r="M171" s="760" t="s">
        <v>166</v>
      </c>
      <c r="N171" s="499">
        <v>25</v>
      </c>
      <c r="O171" s="521"/>
      <c r="P171" s="267"/>
      <c r="Q171" s="499"/>
    </row>
    <row r="172" spans="1:21" s="1" customFormat="1" ht="15" customHeight="1" x14ac:dyDescent="0.25">
      <c r="A172" s="720"/>
      <c r="B172" s="743"/>
      <c r="C172" s="722"/>
      <c r="D172" s="1294"/>
      <c r="E172" s="1221"/>
      <c r="F172" s="586"/>
      <c r="G172" s="1300"/>
      <c r="H172" s="212"/>
      <c r="I172" s="212"/>
      <c r="J172" s="3"/>
      <c r="K172" s="292"/>
      <c r="L172" s="297"/>
      <c r="M172" s="476"/>
      <c r="N172" s="500"/>
      <c r="O172" s="522"/>
      <c r="P172" s="523"/>
      <c r="Q172" s="500"/>
    </row>
    <row r="173" spans="1:21" s="1" customFormat="1" ht="17.25" customHeight="1" x14ac:dyDescent="0.25">
      <c r="A173" s="720"/>
      <c r="B173" s="743"/>
      <c r="C173" s="722"/>
      <c r="D173" s="1293" t="s">
        <v>15</v>
      </c>
      <c r="E173" s="1219" t="s">
        <v>173</v>
      </c>
      <c r="F173" s="96"/>
      <c r="G173" s="1300"/>
      <c r="H173" s="40" t="s">
        <v>14</v>
      </c>
      <c r="I173" s="176">
        <v>10.5</v>
      </c>
      <c r="J173" s="135"/>
      <c r="K173" s="299"/>
      <c r="L173" s="295"/>
      <c r="M173" s="367" t="s">
        <v>167</v>
      </c>
      <c r="N173" s="501">
        <v>250</v>
      </c>
      <c r="O173" s="756"/>
      <c r="P173" s="524"/>
      <c r="Q173" s="501"/>
    </row>
    <row r="174" spans="1:21" s="1" customFormat="1" ht="13.5" customHeight="1" x14ac:dyDescent="0.25">
      <c r="A174" s="720"/>
      <c r="B174" s="743"/>
      <c r="C174" s="722"/>
      <c r="D174" s="1295"/>
      <c r="E174" s="1221"/>
      <c r="F174" s="96"/>
      <c r="G174" s="1300"/>
      <c r="H174" s="208"/>
      <c r="I174" s="212"/>
      <c r="J174" s="296"/>
      <c r="K174" s="300"/>
      <c r="L174" s="3"/>
      <c r="M174" s="367"/>
      <c r="N174" s="501"/>
      <c r="O174" s="756"/>
      <c r="P174" s="524"/>
      <c r="Q174" s="501"/>
    </row>
    <row r="175" spans="1:21" s="1" customFormat="1" ht="15" customHeight="1" x14ac:dyDescent="0.25">
      <c r="A175" s="720"/>
      <c r="B175" s="743"/>
      <c r="C175" s="722"/>
      <c r="D175" s="1293" t="s">
        <v>16</v>
      </c>
      <c r="E175" s="1219" t="s">
        <v>217</v>
      </c>
      <c r="F175" s="169" t="s">
        <v>218</v>
      </c>
      <c r="G175" s="771"/>
      <c r="H175" s="592" t="s">
        <v>10</v>
      </c>
      <c r="I175" s="595"/>
      <c r="J175" s="604">
        <v>12</v>
      </c>
      <c r="K175" s="605"/>
      <c r="L175" s="593"/>
      <c r="M175" s="583" t="s">
        <v>219</v>
      </c>
      <c r="N175" s="584"/>
      <c r="O175" s="585">
        <v>1</v>
      </c>
      <c r="P175" s="553"/>
      <c r="Q175" s="584"/>
    </row>
    <row r="176" spans="1:21" s="1" customFormat="1" ht="15.6" customHeight="1" x14ac:dyDescent="0.25">
      <c r="A176" s="720"/>
      <c r="B176" s="743"/>
      <c r="C176" s="722"/>
      <c r="D176" s="1294"/>
      <c r="E176" s="1221"/>
      <c r="F176" s="586"/>
      <c r="G176" s="771"/>
      <c r="H176" s="587" t="s">
        <v>10</v>
      </c>
      <c r="I176" s="594"/>
      <c r="J176" s="277"/>
      <c r="K176" s="282">
        <v>100</v>
      </c>
      <c r="L176" s="588"/>
      <c r="M176" s="367" t="s">
        <v>220</v>
      </c>
      <c r="N176" s="501"/>
      <c r="O176" s="756"/>
      <c r="P176" s="524">
        <v>100</v>
      </c>
      <c r="Q176" s="501"/>
    </row>
    <row r="177" spans="1:46" s="1" customFormat="1" ht="14.45" customHeight="1" x14ac:dyDescent="0.25">
      <c r="A177" s="720"/>
      <c r="B177" s="743"/>
      <c r="C177" s="722"/>
      <c r="D177" s="1293" t="s">
        <v>18</v>
      </c>
      <c r="E177" s="1219" t="s">
        <v>221</v>
      </c>
      <c r="F177" s="659" t="s">
        <v>218</v>
      </c>
      <c r="G177" s="771"/>
      <c r="H177" s="767" t="s">
        <v>10</v>
      </c>
      <c r="I177" s="1334"/>
      <c r="J177" s="604">
        <v>1</v>
      </c>
      <c r="K177" s="605"/>
      <c r="L177" s="582"/>
      <c r="M177" s="786" t="s">
        <v>222</v>
      </c>
      <c r="N177" s="499"/>
      <c r="O177" s="521">
        <v>1</v>
      </c>
      <c r="P177" s="267"/>
      <c r="Q177" s="787"/>
    </row>
    <row r="178" spans="1:46" s="1" customFormat="1" ht="14.45" customHeight="1" x14ac:dyDescent="0.25">
      <c r="A178" s="720"/>
      <c r="B178" s="743"/>
      <c r="C178" s="722"/>
      <c r="D178" s="1294"/>
      <c r="E178" s="1221"/>
      <c r="F178" s="659" t="s">
        <v>133</v>
      </c>
      <c r="G178" s="771"/>
      <c r="H178" s="587"/>
      <c r="I178" s="1335"/>
      <c r="J178" s="606"/>
      <c r="K178" s="607"/>
      <c r="L178" s="588"/>
      <c r="M178" s="476"/>
      <c r="N178" s="78"/>
      <c r="O178" s="756"/>
      <c r="P178" s="524"/>
      <c r="Q178" s="501"/>
    </row>
    <row r="179" spans="1:46" s="22" customFormat="1" ht="15" customHeight="1" thickBot="1" x14ac:dyDescent="0.3">
      <c r="A179" s="729"/>
      <c r="B179" s="744"/>
      <c r="C179" s="123"/>
      <c r="D179" s="221"/>
      <c r="E179" s="186"/>
      <c r="F179" s="219"/>
      <c r="G179" s="218"/>
      <c r="H179" s="181" t="s">
        <v>31</v>
      </c>
      <c r="I179" s="183">
        <f>SUM(I167:I178)</f>
        <v>66.800000000000011</v>
      </c>
      <c r="J179" s="137">
        <f>SUM(J166:J178)</f>
        <v>49</v>
      </c>
      <c r="K179" s="269">
        <f>SUM(K166:K178)</f>
        <v>136</v>
      </c>
      <c r="L179" s="69">
        <f>SUM(L166:L178)</f>
        <v>36</v>
      </c>
      <c r="M179" s="467"/>
      <c r="N179" s="378"/>
      <c r="O179" s="388"/>
      <c r="P179" s="397"/>
      <c r="Q179" s="378"/>
    </row>
    <row r="180" spans="1:46" s="22" customFormat="1" ht="20.100000000000001" customHeight="1" x14ac:dyDescent="0.25">
      <c r="A180" s="1168" t="s">
        <v>7</v>
      </c>
      <c r="B180" s="1192" t="s">
        <v>16</v>
      </c>
      <c r="C180" s="1230" t="s">
        <v>12</v>
      </c>
      <c r="D180" s="1327"/>
      <c r="E180" s="1216" t="s">
        <v>266</v>
      </c>
      <c r="F180" s="660" t="s">
        <v>216</v>
      </c>
      <c r="G180" s="1333" t="s">
        <v>239</v>
      </c>
      <c r="H180" s="40" t="s">
        <v>10</v>
      </c>
      <c r="I180" s="176">
        <v>12</v>
      </c>
      <c r="J180" s="251"/>
      <c r="K180" s="128"/>
      <c r="L180" s="251"/>
      <c r="M180" s="469" t="s">
        <v>176</v>
      </c>
      <c r="N180" s="109">
        <v>1</v>
      </c>
      <c r="O180" s="385"/>
      <c r="P180" s="394"/>
      <c r="Q180" s="109"/>
    </row>
    <row r="181" spans="1:46" s="22" customFormat="1" ht="48.95" customHeight="1" x14ac:dyDescent="0.25">
      <c r="A181" s="1135"/>
      <c r="B181" s="1183"/>
      <c r="C181" s="1157"/>
      <c r="D181" s="1328"/>
      <c r="E181" s="1159"/>
      <c r="F181" s="244" t="s">
        <v>126</v>
      </c>
      <c r="G181" s="1326"/>
      <c r="H181" s="39"/>
      <c r="I181" s="179"/>
      <c r="J181" s="132"/>
      <c r="K181" s="129"/>
      <c r="L181" s="129"/>
      <c r="M181" s="785" t="s">
        <v>237</v>
      </c>
      <c r="N181" s="534"/>
      <c r="O181" s="411">
        <v>1</v>
      </c>
      <c r="P181" s="533"/>
      <c r="Q181" s="167"/>
    </row>
    <row r="182" spans="1:46" s="22" customFormat="1" ht="17.45" customHeight="1" thickBot="1" x14ac:dyDescent="0.3">
      <c r="A182" s="1169"/>
      <c r="B182" s="1184"/>
      <c r="C182" s="1215"/>
      <c r="D182" s="232"/>
      <c r="E182" s="589"/>
      <c r="F182" s="240"/>
      <c r="G182" s="229"/>
      <c r="H182" s="149" t="s">
        <v>31</v>
      </c>
      <c r="I182" s="336">
        <f>SUM(I180:I181)</f>
        <v>12</v>
      </c>
      <c r="J182" s="147">
        <f>SUM(J180:J181)</f>
        <v>0</v>
      </c>
      <c r="K182" s="150">
        <f>SUM(K180:K181)</f>
        <v>0</v>
      </c>
      <c r="L182" s="150">
        <f>SUM(L180:L181)</f>
        <v>0</v>
      </c>
      <c r="M182" s="783"/>
      <c r="N182" s="380"/>
      <c r="O182" s="784"/>
      <c r="P182" s="399"/>
      <c r="Q182" s="216"/>
    </row>
    <row r="183" spans="1:46" s="1" customFormat="1" ht="15.75" customHeight="1" thickBot="1" x14ac:dyDescent="0.3">
      <c r="A183" s="23" t="s">
        <v>7</v>
      </c>
      <c r="B183" s="25" t="s">
        <v>16</v>
      </c>
      <c r="C183" s="1231" t="s">
        <v>50</v>
      </c>
      <c r="D183" s="1232"/>
      <c r="E183" s="1232"/>
      <c r="F183" s="1232"/>
      <c r="G183" s="1232"/>
      <c r="H183" s="1232"/>
      <c r="I183" s="209">
        <f>I179+I182</f>
        <v>78.800000000000011</v>
      </c>
      <c r="J183" s="341">
        <f>J179+J182</f>
        <v>49</v>
      </c>
      <c r="K183" s="255">
        <f>K179+K182</f>
        <v>136</v>
      </c>
      <c r="L183" s="138">
        <f>L179+L182</f>
        <v>36</v>
      </c>
      <c r="M183" s="1281"/>
      <c r="N183" s="1331"/>
      <c r="O183" s="1282"/>
      <c r="P183" s="1282"/>
      <c r="Q183" s="1283"/>
      <c r="R183" s="256"/>
    </row>
    <row r="184" spans="1:46" s="3" customFormat="1" ht="15.75" customHeight="1" thickBot="1" x14ac:dyDescent="0.3">
      <c r="A184" s="23" t="s">
        <v>7</v>
      </c>
      <c r="B184" s="1284" t="s">
        <v>54</v>
      </c>
      <c r="C184" s="1285"/>
      <c r="D184" s="1285"/>
      <c r="E184" s="1285"/>
      <c r="F184" s="1285"/>
      <c r="G184" s="1285"/>
      <c r="H184" s="1286"/>
      <c r="I184" s="345">
        <f>SUM(I183,I141,I124,I163,)</f>
        <v>16001.800000000001</v>
      </c>
      <c r="J184" s="342">
        <f>SUM(J183,J141,J124,J163,)</f>
        <v>18626.100000000002</v>
      </c>
      <c r="K184" s="141">
        <f>SUM(K183,K141,K124,K163,)</f>
        <v>18125.000000000004</v>
      </c>
      <c r="L184" s="141">
        <f>SUM(L183,L141,L124,L163,)</f>
        <v>18611.100000000002</v>
      </c>
      <c r="M184" s="1287"/>
      <c r="N184" s="1332"/>
      <c r="O184" s="1239"/>
      <c r="P184" s="1239"/>
      <c r="Q184" s="1240"/>
    </row>
    <row r="185" spans="1:46" s="3" customFormat="1" ht="15.75" customHeight="1" thickBot="1" x14ac:dyDescent="0.3">
      <c r="A185" s="29" t="s">
        <v>15</v>
      </c>
      <c r="B185" s="1288" t="s">
        <v>55</v>
      </c>
      <c r="C185" s="1289"/>
      <c r="D185" s="1289"/>
      <c r="E185" s="1289"/>
      <c r="F185" s="1289"/>
      <c r="G185" s="1289"/>
      <c r="H185" s="1290"/>
      <c r="I185" s="346">
        <f t="shared" ref="I185:L185" si="9">I184</f>
        <v>16001.800000000001</v>
      </c>
      <c r="J185" s="343">
        <f t="shared" si="9"/>
        <v>18626.100000000002</v>
      </c>
      <c r="K185" s="142">
        <f t="shared" si="9"/>
        <v>18125.000000000004</v>
      </c>
      <c r="L185" s="142">
        <f t="shared" si="9"/>
        <v>18611.100000000002</v>
      </c>
      <c r="M185" s="1227"/>
      <c r="N185" s="1228"/>
      <c r="O185" s="1228"/>
      <c r="P185" s="1228"/>
      <c r="Q185" s="1229"/>
    </row>
    <row r="186" spans="1:46" s="16" customFormat="1" ht="16.5" customHeight="1" x14ac:dyDescent="0.25">
      <c r="A186" s="1252" t="s">
        <v>246</v>
      </c>
      <c r="B186" s="1252"/>
      <c r="C186" s="1252"/>
      <c r="D186" s="1252"/>
      <c r="E186" s="1252"/>
      <c r="F186" s="1252"/>
      <c r="G186" s="1252"/>
      <c r="H186" s="1252"/>
      <c r="I186" s="1252"/>
      <c r="J186" s="1252"/>
      <c r="K186" s="1252"/>
      <c r="L186" s="1252"/>
      <c r="M186" s="1252"/>
      <c r="N186" s="1252"/>
      <c r="O186" s="53"/>
      <c r="P186" s="53"/>
      <c r="Q186" s="53"/>
      <c r="R186" s="53"/>
    </row>
    <row r="187" spans="1:46" s="526" customFormat="1" ht="45" customHeight="1" x14ac:dyDescent="0.25">
      <c r="A187" s="1270" t="s">
        <v>245</v>
      </c>
      <c r="B187" s="1270"/>
      <c r="C187" s="1270"/>
      <c r="D187" s="1270"/>
      <c r="E187" s="1270"/>
      <c r="F187" s="1270"/>
      <c r="G187" s="1270"/>
      <c r="H187" s="1270"/>
      <c r="I187" s="1270"/>
      <c r="J187" s="1270"/>
      <c r="K187" s="1270"/>
      <c r="L187" s="1270"/>
      <c r="M187" s="1270"/>
      <c r="N187" s="1270"/>
      <c r="O187" s="1270"/>
      <c r="P187" s="1270"/>
      <c r="Q187" s="1270"/>
      <c r="R187" s="525"/>
      <c r="S187" s="525"/>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s="16" customFormat="1" ht="14.1" customHeight="1" x14ac:dyDescent="0.25">
      <c r="A188" s="53"/>
      <c r="B188" s="30"/>
      <c r="C188" s="124"/>
      <c r="D188" s="30"/>
      <c r="E188" s="30"/>
      <c r="F188" s="30"/>
      <c r="G188" s="30"/>
      <c r="H188" s="30"/>
      <c r="I188" s="55"/>
      <c r="J188" s="55"/>
      <c r="K188" s="55"/>
      <c r="L188" s="55"/>
      <c r="M188" s="53"/>
      <c r="N188" s="53"/>
      <c r="O188" s="53"/>
      <c r="P188" s="53"/>
      <c r="Q188" s="53"/>
    </row>
    <row r="189" spans="1:46" s="3" customFormat="1" ht="18.75" customHeight="1" x14ac:dyDescent="0.25">
      <c r="A189" s="21"/>
      <c r="B189" s="30"/>
      <c r="C189" s="1271" t="s">
        <v>56</v>
      </c>
      <c r="D189" s="1271"/>
      <c r="E189" s="1271"/>
      <c r="F189" s="1271"/>
      <c r="G189" s="1271"/>
      <c r="H189" s="1271"/>
      <c r="I189" s="1271"/>
      <c r="J189" s="1271"/>
      <c r="K189" s="1271"/>
      <c r="L189" s="1271"/>
      <c r="M189" s="26"/>
      <c r="N189" s="89"/>
      <c r="O189" s="89"/>
      <c r="P189" s="89"/>
      <c r="Q189" s="89"/>
    </row>
    <row r="190" spans="1:46" s="3" customFormat="1" ht="12" customHeight="1" thickBot="1" x14ac:dyDescent="0.3">
      <c r="A190" s="21"/>
      <c r="B190" s="19"/>
      <c r="C190" s="125"/>
      <c r="D190" s="19"/>
      <c r="E190" s="19"/>
      <c r="F190" s="31"/>
      <c r="G190" s="19"/>
      <c r="H190" s="26"/>
      <c r="I190" s="26"/>
      <c r="J190" s="26"/>
      <c r="K190" s="26"/>
      <c r="L190" s="26"/>
      <c r="M190" s="26"/>
      <c r="N190" s="89"/>
      <c r="O190" s="89"/>
      <c r="P190" s="89"/>
      <c r="Q190" s="89"/>
    </row>
    <row r="191" spans="1:46" s="3" customFormat="1" ht="81" customHeight="1" thickBot="1" x14ac:dyDescent="0.3">
      <c r="A191" s="33"/>
      <c r="B191" s="33"/>
      <c r="C191" s="1272" t="s">
        <v>57</v>
      </c>
      <c r="D191" s="1273"/>
      <c r="E191" s="1273"/>
      <c r="F191" s="1273"/>
      <c r="G191" s="1273"/>
      <c r="H191" s="1274"/>
      <c r="I191" s="348" t="s">
        <v>199</v>
      </c>
      <c r="J191" s="349" t="s">
        <v>197</v>
      </c>
      <c r="K191" s="350" t="s">
        <v>244</v>
      </c>
      <c r="L191" s="351" t="s">
        <v>198</v>
      </c>
      <c r="M191" s="21"/>
      <c r="N191" s="32"/>
      <c r="O191" s="32"/>
      <c r="P191" s="32"/>
      <c r="Q191" s="32"/>
    </row>
    <row r="192" spans="1:46" s="3" customFormat="1" ht="12.75" x14ac:dyDescent="0.25">
      <c r="A192" s="33"/>
      <c r="B192" s="33"/>
      <c r="C192" s="1275" t="s">
        <v>247</v>
      </c>
      <c r="D192" s="1329"/>
      <c r="E192" s="1276"/>
      <c r="F192" s="1276"/>
      <c r="G192" s="1277"/>
      <c r="H192" s="1277"/>
      <c r="I192" s="47">
        <f>I193+I202+I203+I204+I205</f>
        <v>15719.599999999995</v>
      </c>
      <c r="J192" s="311">
        <f>J193+J202+J203+J204+J205</f>
        <v>18626.099999999999</v>
      </c>
      <c r="K192" s="320">
        <f>K193+K202+K203+K204+K205</f>
        <v>18125</v>
      </c>
      <c r="L192" s="302">
        <f>L193+L202+L203+L204+L205</f>
        <v>18611.099999999999</v>
      </c>
      <c r="M192" s="53"/>
      <c r="N192" s="53"/>
      <c r="O192" s="53"/>
      <c r="P192" s="53"/>
      <c r="Q192" s="53"/>
    </row>
    <row r="193" spans="1:17" s="3" customFormat="1" ht="12.75" customHeight="1" x14ac:dyDescent="0.25">
      <c r="A193" s="33"/>
      <c r="B193" s="33"/>
      <c r="C193" s="1278" t="s">
        <v>58</v>
      </c>
      <c r="D193" s="1279"/>
      <c r="E193" s="1279"/>
      <c r="F193" s="1279"/>
      <c r="G193" s="1279"/>
      <c r="H193" s="1280"/>
      <c r="I193" s="48">
        <f>SUM(I194:I201)</f>
        <v>14742.299999999996</v>
      </c>
      <c r="J193" s="312">
        <f>SUM(J194:J201)</f>
        <v>17358.699999999997</v>
      </c>
      <c r="K193" s="321">
        <f>SUM(K194:K201)</f>
        <v>18125</v>
      </c>
      <c r="L193" s="303">
        <f>SUM(L194:L201)</f>
        <v>18611.099999999999</v>
      </c>
      <c r="M193" s="53"/>
      <c r="N193" s="53"/>
      <c r="O193" s="53"/>
      <c r="P193" s="53"/>
      <c r="Q193" s="53"/>
    </row>
    <row r="194" spans="1:17" s="3" customFormat="1" ht="12.75" customHeight="1" x14ac:dyDescent="0.25">
      <c r="A194" s="33"/>
      <c r="B194" s="33"/>
      <c r="C194" s="1259" t="s">
        <v>59</v>
      </c>
      <c r="D194" s="1330"/>
      <c r="E194" s="1260"/>
      <c r="F194" s="1260"/>
      <c r="G194" s="1261"/>
      <c r="H194" s="1261"/>
      <c r="I194" s="143">
        <f>SUMIF(H16:H185,"SB",I16:I185)</f>
        <v>12840.599999999997</v>
      </c>
      <c r="J194" s="313">
        <f>SUMIF(H16:H185,"SB",J16:J185)</f>
        <v>15713.599999999997</v>
      </c>
      <c r="K194" s="322">
        <f>SUMIF(H16:H185,"SB",K16:K185)</f>
        <v>16479.7</v>
      </c>
      <c r="L194" s="304">
        <f>SUMIF(H16:H185,"SB",L16:L185)</f>
        <v>16965.8</v>
      </c>
      <c r="M194" s="21"/>
      <c r="N194" s="32"/>
      <c r="O194" s="32"/>
      <c r="P194" s="32"/>
      <c r="Q194" s="32"/>
    </row>
    <row r="195" spans="1:17" s="3" customFormat="1" ht="12.75" customHeight="1" x14ac:dyDescent="0.25">
      <c r="A195" s="33"/>
      <c r="B195" s="33"/>
      <c r="C195" s="1253" t="s">
        <v>60</v>
      </c>
      <c r="D195" s="1262"/>
      <c r="E195" s="1262"/>
      <c r="F195" s="1262"/>
      <c r="G195" s="1262"/>
      <c r="H195" s="1263"/>
      <c r="I195" s="143">
        <f>SUMIF(H16:H185,"SB(VR)",I16:I185)</f>
        <v>15</v>
      </c>
      <c r="J195" s="313">
        <f>SUMIF(H16:H185,"SB(VR)",J16:J185)</f>
        <v>20</v>
      </c>
      <c r="K195" s="322">
        <f>SUMIF(H16:H185,"SB(VR)",K16:K185)</f>
        <v>20</v>
      </c>
      <c r="L195" s="304">
        <f>SUMIF(H16:H185,"SB(VR)",L16:L185)</f>
        <v>20</v>
      </c>
      <c r="M195" s="21"/>
      <c r="N195" s="32"/>
      <c r="O195" s="32"/>
      <c r="P195" s="32"/>
      <c r="Q195" s="32"/>
    </row>
    <row r="196" spans="1:17" s="3" customFormat="1" ht="12.75" customHeight="1" x14ac:dyDescent="0.25">
      <c r="A196" s="33"/>
      <c r="B196" s="33"/>
      <c r="C196" s="1264" t="s">
        <v>61</v>
      </c>
      <c r="D196" s="1265"/>
      <c r="E196" s="1265"/>
      <c r="F196" s="1265"/>
      <c r="G196" s="1265"/>
      <c r="H196" s="1266"/>
      <c r="I196" s="143">
        <f>SUMIF(H16:H185,"SB(VB)",I16:I185)</f>
        <v>1109.3999999999999</v>
      </c>
      <c r="J196" s="313">
        <f>SUMIF(H16:H185,"SB(VB)",J16:J185)</f>
        <v>797.30000000000007</v>
      </c>
      <c r="K196" s="322">
        <f>SUMIF(H16:H185,"SB(VB)",K16:K185)</f>
        <v>797.5</v>
      </c>
      <c r="L196" s="304">
        <f>SUMIF(H16:H185,"SB(VB)",L16:L185)</f>
        <v>797.5</v>
      </c>
      <c r="M196" s="101"/>
      <c r="N196" s="32"/>
      <c r="O196" s="32"/>
      <c r="P196" s="32"/>
      <c r="Q196" s="32"/>
    </row>
    <row r="197" spans="1:17" s="3" customFormat="1" ht="14.1" customHeight="1" x14ac:dyDescent="0.25">
      <c r="A197" s="33"/>
      <c r="B197" s="33"/>
      <c r="C197" s="1264" t="s">
        <v>175</v>
      </c>
      <c r="D197" s="1265"/>
      <c r="E197" s="1265"/>
      <c r="F197" s="1265"/>
      <c r="G197" s="1265"/>
      <c r="H197" s="1266"/>
      <c r="I197" s="143">
        <f>SUMIF(H16:H185,"SB(S)",I16:I185)</f>
        <v>557.30000000000007</v>
      </c>
      <c r="J197" s="313">
        <f>SUMIF(H16:H185,"SB(S)",J16:J185)</f>
        <v>657.80000000000007</v>
      </c>
      <c r="K197" s="322">
        <f>SUMIF(H16:H185,"SB(S)",K16:K185)</f>
        <v>657.80000000000007</v>
      </c>
      <c r="L197" s="304">
        <f>SUMIF(H16:H185,"SB(S)",L16:L185)</f>
        <v>657.80000000000007</v>
      </c>
      <c r="M197" s="101"/>
      <c r="N197" s="32"/>
      <c r="O197" s="32"/>
      <c r="P197" s="32"/>
      <c r="Q197" s="32"/>
    </row>
    <row r="198" spans="1:17" s="3" customFormat="1" ht="12.75" customHeight="1" x14ac:dyDescent="0.25">
      <c r="A198" s="33"/>
      <c r="B198" s="33"/>
      <c r="C198" s="1264" t="s">
        <v>62</v>
      </c>
      <c r="D198" s="1265"/>
      <c r="E198" s="1265"/>
      <c r="F198" s="1265"/>
      <c r="G198" s="1265"/>
      <c r="H198" s="1266"/>
      <c r="I198" s="143">
        <f>SUMIF(H16:H185,"SB(P)",I16:I185)</f>
        <v>0</v>
      </c>
      <c r="J198" s="313">
        <f>SUMIF(H16:H185,"SB(P)",J16:J185)</f>
        <v>0</v>
      </c>
      <c r="K198" s="322">
        <f>SUMIF(H16:H185,"SB(P)",K16:K185)</f>
        <v>0</v>
      </c>
      <c r="L198" s="304">
        <f>SUMIF(H16:H185,"SB(P)",L16:L185)</f>
        <v>0</v>
      </c>
      <c r="M198" s="98"/>
      <c r="N198" s="89"/>
      <c r="O198" s="89"/>
      <c r="P198" s="89"/>
      <c r="Q198" s="89"/>
    </row>
    <row r="199" spans="1:17" s="1" customFormat="1" ht="12.75" customHeight="1" x14ac:dyDescent="0.25">
      <c r="A199" s="33"/>
      <c r="B199" s="33"/>
      <c r="C199" s="1267" t="s">
        <v>63</v>
      </c>
      <c r="D199" s="1316"/>
      <c r="E199" s="1268"/>
      <c r="F199" s="1268"/>
      <c r="G199" s="1269"/>
      <c r="H199" s="1269"/>
      <c r="I199" s="144">
        <f>SUMIF(H16:H185,"SB(SP)",I16:I185)</f>
        <v>200</v>
      </c>
      <c r="J199" s="314">
        <f>SUMIF(H16:H185,"SB(SP)",J16:J185)</f>
        <v>150</v>
      </c>
      <c r="K199" s="323">
        <f>SUMIF(H16:H185,"SB(SP)",K16:K185)</f>
        <v>150</v>
      </c>
      <c r="L199" s="305">
        <f>SUMIF(H16:H185,"SB(SP)",L16:L185)</f>
        <v>150</v>
      </c>
      <c r="M199" s="58"/>
      <c r="N199" s="34"/>
      <c r="O199" s="34"/>
      <c r="P199" s="34"/>
      <c r="Q199" s="34"/>
    </row>
    <row r="200" spans="1:17" s="1" customFormat="1" ht="12.75" customHeight="1" x14ac:dyDescent="0.25">
      <c r="A200" s="33"/>
      <c r="B200" s="33"/>
      <c r="C200" s="1317" t="s">
        <v>119</v>
      </c>
      <c r="D200" s="1318"/>
      <c r="E200" s="1318"/>
      <c r="F200" s="1318"/>
      <c r="G200" s="1318"/>
      <c r="H200" s="1318"/>
      <c r="I200" s="145">
        <f>SUMIF(H16:H185,"SB(ES)",I16:I185)</f>
        <v>0</v>
      </c>
      <c r="J200" s="315">
        <f>SUMIF(H16:H185,"SB(ES)",J16:J185)</f>
        <v>0</v>
      </c>
      <c r="K200" s="324">
        <f>SUMIF(H16:H185,"SB(ES)",K16:K185)</f>
        <v>0</v>
      </c>
      <c r="L200" s="306">
        <f>SUMIF(H16:H185,"SB(ES)",L16:L185)</f>
        <v>0</v>
      </c>
      <c r="M200" s="33"/>
      <c r="N200" s="34"/>
      <c r="O200" s="34"/>
      <c r="P200" s="34"/>
      <c r="Q200" s="34"/>
    </row>
    <row r="201" spans="1:17" s="1" customFormat="1" ht="16.5" customHeight="1" x14ac:dyDescent="0.25">
      <c r="A201" s="33"/>
      <c r="B201" s="33"/>
      <c r="C201" s="1253" t="s">
        <v>267</v>
      </c>
      <c r="D201" s="1254"/>
      <c r="E201" s="1254"/>
      <c r="F201" s="1254"/>
      <c r="G201" s="1254"/>
      <c r="H201" s="1255"/>
      <c r="I201" s="144">
        <f>SUMIF(H16:H185,"SB(KPP)",I16:I185)</f>
        <v>20</v>
      </c>
      <c r="J201" s="314">
        <f>SUMIF(H16:H185,"SB(KPP)",J16:J185)</f>
        <v>20</v>
      </c>
      <c r="K201" s="323">
        <f>SUMIF(H16:H185,"SB(KPP)",K16:K185)</f>
        <v>20</v>
      </c>
      <c r="L201" s="305">
        <f>SUMIF(H16:H185,"SB(KPP)",L16:L185)</f>
        <v>20</v>
      </c>
      <c r="M201" s="33"/>
      <c r="N201" s="34"/>
      <c r="O201" s="34"/>
      <c r="P201" s="34"/>
      <c r="Q201" s="34"/>
    </row>
    <row r="202" spans="1:17" s="1" customFormat="1" ht="12.75" customHeight="1" x14ac:dyDescent="0.25">
      <c r="A202" s="33"/>
      <c r="B202" s="33"/>
      <c r="C202" s="1256" t="s">
        <v>200</v>
      </c>
      <c r="D202" s="1313"/>
      <c r="E202" s="1257"/>
      <c r="F202" s="1257"/>
      <c r="G202" s="1258"/>
      <c r="H202" s="1258"/>
      <c r="I202" s="146">
        <f>SUMIF(H16:H185,"SB(L)",I16:I185)</f>
        <v>798.30000000000007</v>
      </c>
      <c r="J202" s="316">
        <f>SUMIF(H16:H185,"SB(L)",J16:J185)</f>
        <v>1188.4000000000001</v>
      </c>
      <c r="K202" s="325">
        <f>SUMIF(H16:H185,"SB(L)",K16:K185)</f>
        <v>0</v>
      </c>
      <c r="L202" s="307">
        <f>SUMIF(H16:H185,"SB(L)",L16:L185)</f>
        <v>0</v>
      </c>
      <c r="M202" s="33"/>
      <c r="N202" s="34"/>
      <c r="O202" s="34"/>
      <c r="P202" s="34"/>
      <c r="Q202" s="34"/>
    </row>
    <row r="203" spans="1:17" s="1" customFormat="1" ht="12.75" customHeight="1" x14ac:dyDescent="0.25">
      <c r="A203" s="33"/>
      <c r="B203" s="33"/>
      <c r="C203" s="1256" t="s">
        <v>64</v>
      </c>
      <c r="D203" s="1313"/>
      <c r="E203" s="1257"/>
      <c r="F203" s="1257"/>
      <c r="G203" s="1258"/>
      <c r="H203" s="1258"/>
      <c r="I203" s="146">
        <f>SUMIF(H16:H185,"SB(SPL)",I16:I185)</f>
        <v>160</v>
      </c>
      <c r="J203" s="316">
        <f>SUMIF(H16:H185,"SB(SPL)",J16:J185)</f>
        <v>69</v>
      </c>
      <c r="K203" s="325">
        <f>SUMIF(I16:I185,"SB(SPL)",K16:K185)</f>
        <v>0</v>
      </c>
      <c r="L203" s="307">
        <f>SUMIF(H16:H185,"SB(SPL)",L16:L185)</f>
        <v>0</v>
      </c>
      <c r="M203" s="33"/>
      <c r="N203" s="34"/>
      <c r="O203" s="34"/>
      <c r="P203" s="34"/>
      <c r="Q203" s="34"/>
    </row>
    <row r="204" spans="1:17" s="1" customFormat="1" ht="12.75" customHeight="1" x14ac:dyDescent="0.25">
      <c r="A204" s="33"/>
      <c r="B204" s="33"/>
      <c r="C204" s="1256" t="s">
        <v>65</v>
      </c>
      <c r="D204" s="1313"/>
      <c r="E204" s="1257"/>
      <c r="F204" s="1257"/>
      <c r="G204" s="1258"/>
      <c r="H204" s="1258"/>
      <c r="I204" s="146">
        <f>SUMIF(H16:H185,"SB(VRL)",I16:I185)</f>
        <v>19</v>
      </c>
      <c r="J204" s="316">
        <f>SUMIF(H16:H185,"SB(VRL)",J16:J185)</f>
        <v>10</v>
      </c>
      <c r="K204" s="325">
        <f>SUMIF(H16:H185,"SB(VRL)",K16:K185)</f>
        <v>0</v>
      </c>
      <c r="L204" s="307">
        <f>SUMIF(H16:H185,"SB(VRL)",L16:L185)</f>
        <v>0</v>
      </c>
      <c r="M204" s="33"/>
      <c r="N204" s="34"/>
      <c r="O204" s="34"/>
      <c r="P204" s="34"/>
      <c r="Q204" s="34"/>
    </row>
    <row r="205" spans="1:17" s="1" customFormat="1" ht="13.5" customHeight="1" x14ac:dyDescent="0.25">
      <c r="A205" s="33"/>
      <c r="B205" s="33"/>
      <c r="C205" s="1256" t="s">
        <v>69</v>
      </c>
      <c r="D205" s="1313"/>
      <c r="E205" s="1257"/>
      <c r="F205" s="1257"/>
      <c r="G205" s="1258"/>
      <c r="H205" s="1258"/>
      <c r="I205" s="146">
        <f>SUMIF(H16:H185,"SB(ŽPL)",I16:I185)</f>
        <v>0</v>
      </c>
      <c r="J205" s="316">
        <f>SUMIF(H16:H185,"SB(ŽPL)",J16:J185)</f>
        <v>0</v>
      </c>
      <c r="K205" s="325">
        <f>SUMIF(H16:H185,"SB(ŽPL)",K16:K185)</f>
        <v>0</v>
      </c>
      <c r="L205" s="307">
        <f>SUMIF(H16:H185,"SB(ŽPL)",L16:L185)</f>
        <v>0</v>
      </c>
      <c r="M205" s="33"/>
      <c r="N205" s="34"/>
      <c r="O205" s="34"/>
      <c r="P205" s="34"/>
      <c r="Q205" s="34"/>
    </row>
    <row r="206" spans="1:17" s="1" customFormat="1" ht="12.75" customHeight="1" x14ac:dyDescent="0.25">
      <c r="A206" s="63"/>
      <c r="B206" s="63"/>
      <c r="C206" s="1241" t="s">
        <v>66</v>
      </c>
      <c r="D206" s="1314"/>
      <c r="E206" s="1242"/>
      <c r="F206" s="1242"/>
      <c r="G206" s="1315"/>
      <c r="H206" s="1243"/>
      <c r="I206" s="42">
        <f t="shared" ref="I206" si="10">I209+I207+I208</f>
        <v>282.2</v>
      </c>
      <c r="J206" s="317">
        <f t="shared" ref="J206:K206" si="11">J209+J207+J208</f>
        <v>0</v>
      </c>
      <c r="K206" s="326">
        <f t="shared" si="11"/>
        <v>0</v>
      </c>
      <c r="L206" s="308">
        <f t="shared" ref="L206" si="12">L209+L207+L208</f>
        <v>0</v>
      </c>
      <c r="M206" s="33"/>
      <c r="N206" s="34"/>
      <c r="O206" s="34"/>
      <c r="P206" s="34"/>
      <c r="Q206" s="34"/>
    </row>
    <row r="207" spans="1:17" s="26" customFormat="1" x14ac:dyDescent="0.25">
      <c r="A207" s="172"/>
      <c r="B207" s="82"/>
      <c r="C207" s="1244" t="s">
        <v>99</v>
      </c>
      <c r="D207" s="1245"/>
      <c r="E207" s="1245"/>
      <c r="F207" s="1245"/>
      <c r="G207" s="1245"/>
      <c r="H207" s="1246"/>
      <c r="I207" s="49">
        <f>SUMIF(H16:H185,"ES",I16:I185)</f>
        <v>282.2</v>
      </c>
      <c r="J207" s="318">
        <f>SUMIF(H16:H185,"ES",J16:J185)</f>
        <v>0</v>
      </c>
      <c r="K207" s="327">
        <f>SUMIF(H16:H185,"ES",K16:K185)</f>
        <v>0</v>
      </c>
      <c r="L207" s="309">
        <f>SUMIF(H16:H185,"ES",L16:L185)</f>
        <v>0</v>
      </c>
      <c r="M207" s="63"/>
      <c r="N207" s="33"/>
      <c r="O207" s="33"/>
      <c r="P207" s="33"/>
      <c r="Q207" s="33"/>
    </row>
    <row r="208" spans="1:17" s="26" customFormat="1" x14ac:dyDescent="0.25">
      <c r="A208" s="172"/>
      <c r="B208" s="172"/>
      <c r="C208" s="1244" t="s">
        <v>151</v>
      </c>
      <c r="D208" s="1245"/>
      <c r="E208" s="1245"/>
      <c r="F208" s="1245"/>
      <c r="G208" s="1245"/>
      <c r="H208" s="1246"/>
      <c r="I208" s="49">
        <f>SUMIF(H16:H185,"Kt",I16:I185)</f>
        <v>0</v>
      </c>
      <c r="J208" s="318">
        <f>SUMIF(H16:H185,"Kt",J16:J185)</f>
        <v>0</v>
      </c>
      <c r="K208" s="327">
        <f>SUMIF(H16:H185,"Kt",K16:K185)</f>
        <v>0</v>
      </c>
      <c r="L208" s="309">
        <f>SUMIF(H16:H185,"Kt",L16:L185)</f>
        <v>0</v>
      </c>
      <c r="M208" s="63"/>
      <c r="N208" s="33"/>
      <c r="O208" s="33"/>
      <c r="P208" s="33"/>
      <c r="Q208" s="33"/>
    </row>
    <row r="209" spans="1:17" s="1" customFormat="1" ht="16.5" customHeight="1" x14ac:dyDescent="0.25">
      <c r="A209" s="63"/>
      <c r="B209" s="63"/>
      <c r="C209" s="1319" t="s">
        <v>67</v>
      </c>
      <c r="D209" s="1320"/>
      <c r="E209" s="1321"/>
      <c r="F209" s="1321"/>
      <c r="G209" s="1322"/>
      <c r="H209" s="1322"/>
      <c r="I209" s="49">
        <f>SUMIF(H16:H185,"LRVB",I16:I185)</f>
        <v>0</v>
      </c>
      <c r="J209" s="318">
        <f>SUMIF(H16:H185,"LRVB",J16:J185)</f>
        <v>0</v>
      </c>
      <c r="K209" s="327">
        <f>SUMIF(H16:H185,"LRVB",K16:K185)</f>
        <v>0</v>
      </c>
      <c r="L209" s="309">
        <f>SUMIF(H16:H185,"LRVB",L16:L185)</f>
        <v>0</v>
      </c>
      <c r="M209" s="33"/>
      <c r="N209" s="34"/>
      <c r="O209" s="34"/>
      <c r="P209" s="34"/>
      <c r="Q209" s="34"/>
    </row>
    <row r="210" spans="1:17" s="1" customFormat="1" ht="13.5" customHeight="1" thickBot="1" x14ac:dyDescent="0.3">
      <c r="A210" s="63"/>
      <c r="B210" s="63"/>
      <c r="C210" s="1247" t="s">
        <v>68</v>
      </c>
      <c r="D210" s="1248"/>
      <c r="E210" s="1248"/>
      <c r="F210" s="1248"/>
      <c r="G210" s="1248"/>
      <c r="H210" s="1249"/>
      <c r="I210" s="50">
        <f>I206+I192</f>
        <v>16001.799999999996</v>
      </c>
      <c r="J210" s="319">
        <f>J206+J192</f>
        <v>18626.099999999999</v>
      </c>
      <c r="K210" s="328">
        <f>K206+K192</f>
        <v>18125</v>
      </c>
      <c r="L210" s="310">
        <f>L206+L192</f>
        <v>18611.099999999999</v>
      </c>
      <c r="M210" s="33"/>
      <c r="N210" s="34"/>
      <c r="O210" s="34"/>
      <c r="P210" s="34"/>
      <c r="Q210" s="34"/>
    </row>
    <row r="211" spans="1:17" s="36" customFormat="1" ht="12.75" x14ac:dyDescent="0.25">
      <c r="A211" s="35"/>
      <c r="B211" s="35"/>
      <c r="C211" s="126"/>
      <c r="D211" s="35"/>
      <c r="E211" s="35"/>
      <c r="F211" s="35"/>
      <c r="G211" s="245"/>
      <c r="H211" s="245"/>
      <c r="I211" s="246"/>
      <c r="J211" s="246"/>
      <c r="K211" s="246"/>
      <c r="L211" s="246"/>
      <c r="M211" s="63"/>
      <c r="N211" s="35"/>
      <c r="O211" s="35"/>
      <c r="P211" s="35"/>
      <c r="Q211" s="35"/>
    </row>
    <row r="212" spans="1:17" s="36" customFormat="1" ht="12.75" x14ac:dyDescent="0.25">
      <c r="A212" s="35"/>
      <c r="B212" s="35"/>
      <c r="C212" s="126"/>
      <c r="D212" s="35"/>
      <c r="E212" s="33"/>
      <c r="F212" s="37"/>
      <c r="G212" s="35"/>
      <c r="H212" s="35"/>
      <c r="I212" s="46"/>
      <c r="J212" s="46"/>
      <c r="K212" s="46"/>
      <c r="L212" s="46"/>
      <c r="M212" s="63"/>
      <c r="N212" s="38"/>
      <c r="O212" s="38"/>
      <c r="P212" s="38"/>
      <c r="Q212" s="38"/>
    </row>
    <row r="213" spans="1:17" s="36" customFormat="1" ht="12.75" x14ac:dyDescent="0.25">
      <c r="A213" s="35"/>
      <c r="B213" s="35"/>
      <c r="C213" s="126"/>
      <c r="D213" s="35"/>
      <c r="E213" s="33"/>
      <c r="F213" s="37"/>
      <c r="G213" s="35"/>
      <c r="H213" s="35"/>
      <c r="I213" s="35"/>
      <c r="J213" s="35"/>
      <c r="K213" s="35"/>
      <c r="L213" s="35"/>
      <c r="M213" s="35"/>
      <c r="N213" s="38"/>
      <c r="O213" s="38"/>
      <c r="P213" s="38"/>
      <c r="Q213" s="38"/>
    </row>
    <row r="214" spans="1:17" x14ac:dyDescent="0.25">
      <c r="I214" s="45"/>
      <c r="J214" s="45"/>
      <c r="K214" s="45"/>
      <c r="L214" s="45"/>
    </row>
    <row r="215" spans="1:17" x14ac:dyDescent="0.25">
      <c r="I215" s="45"/>
      <c r="J215" s="45"/>
      <c r="K215" s="45"/>
      <c r="L215" s="45"/>
    </row>
    <row r="216" spans="1:17" x14ac:dyDescent="0.25">
      <c r="I216" s="54"/>
      <c r="J216" s="54"/>
      <c r="K216" s="54"/>
      <c r="L216" s="54"/>
    </row>
  </sheetData>
  <mergeCells count="227">
    <mergeCell ref="O21:O22"/>
    <mergeCell ref="P21:P22"/>
    <mergeCell ref="Q21:Q22"/>
    <mergeCell ref="A21:A25"/>
    <mergeCell ref="B21:B25"/>
    <mergeCell ref="C21:C25"/>
    <mergeCell ref="E37:E38"/>
    <mergeCell ref="E32:E35"/>
    <mergeCell ref="D32:D35"/>
    <mergeCell ref="G29:G31"/>
    <mergeCell ref="E21:E25"/>
    <mergeCell ref="G21:G25"/>
    <mergeCell ref="M21:M22"/>
    <mergeCell ref="N21:N22"/>
    <mergeCell ref="A84:A85"/>
    <mergeCell ref="G75:G76"/>
    <mergeCell ref="E77:E80"/>
    <mergeCell ref="G77:G80"/>
    <mergeCell ref="A40:A46"/>
    <mergeCell ref="B40:B46"/>
    <mergeCell ref="C40:C46"/>
    <mergeCell ref="E40:E46"/>
    <mergeCell ref="G66:G67"/>
    <mergeCell ref="A70:A71"/>
    <mergeCell ref="G40:G46"/>
    <mergeCell ref="B70:B71"/>
    <mergeCell ref="E47:E48"/>
    <mergeCell ref="C70:C71"/>
    <mergeCell ref="A63:A65"/>
    <mergeCell ref="B63:B65"/>
    <mergeCell ref="C63:C65"/>
    <mergeCell ref="E51:E52"/>
    <mergeCell ref="D51:D52"/>
    <mergeCell ref="E57:E58"/>
    <mergeCell ref="G57:G58"/>
    <mergeCell ref="A61:A62"/>
    <mergeCell ref="A66:A69"/>
    <mergeCell ref="B66:B69"/>
    <mergeCell ref="O9:Q9"/>
    <mergeCell ref="N9:N10"/>
    <mergeCell ref="M8:Q8"/>
    <mergeCell ref="A11:Q11"/>
    <mergeCell ref="A12:Q12"/>
    <mergeCell ref="B13:Q13"/>
    <mergeCell ref="C14:Q14"/>
    <mergeCell ref="N19:N20"/>
    <mergeCell ref="M9:M10"/>
    <mergeCell ref="G8:G10"/>
    <mergeCell ref="H8:H10"/>
    <mergeCell ref="I8:I10"/>
    <mergeCell ref="A8:A10"/>
    <mergeCell ref="B8:B10"/>
    <mergeCell ref="C8:C10"/>
    <mergeCell ref="D8:D10"/>
    <mergeCell ref="E8:E10"/>
    <mergeCell ref="F8:F10"/>
    <mergeCell ref="L8:L10"/>
    <mergeCell ref="J8:J10"/>
    <mergeCell ref="K8:K10"/>
    <mergeCell ref="G16:G20"/>
    <mergeCell ref="O19:O20"/>
    <mergeCell ref="P19:P20"/>
    <mergeCell ref="P7:Q7"/>
    <mergeCell ref="M1:Q1"/>
    <mergeCell ref="A3:Q3"/>
    <mergeCell ref="A4:Q4"/>
    <mergeCell ref="A5:Q5"/>
    <mergeCell ref="M124:Q124"/>
    <mergeCell ref="B61:B62"/>
    <mergeCell ref="C61:C62"/>
    <mergeCell ref="E61:E62"/>
    <mergeCell ref="D61:D62"/>
    <mergeCell ref="F61:F62"/>
    <mergeCell ref="G61:G62"/>
    <mergeCell ref="B84:B85"/>
    <mergeCell ref="E73:E74"/>
    <mergeCell ref="G73:G74"/>
    <mergeCell ref="M73:M74"/>
    <mergeCell ref="E75:E76"/>
    <mergeCell ref="G32:G34"/>
    <mergeCell ref="E26:E28"/>
    <mergeCell ref="G26:G27"/>
    <mergeCell ref="M26:M27"/>
    <mergeCell ref="N26:N27"/>
    <mergeCell ref="E16:E18"/>
    <mergeCell ref="F16:F18"/>
    <mergeCell ref="C142:Q142"/>
    <mergeCell ref="O132:O133"/>
    <mergeCell ref="O26:O27"/>
    <mergeCell ref="P26:P27"/>
    <mergeCell ref="Q26:Q27"/>
    <mergeCell ref="D114:D115"/>
    <mergeCell ref="E114:E115"/>
    <mergeCell ref="C84:C85"/>
    <mergeCell ref="E63:E64"/>
    <mergeCell ref="E93:E95"/>
    <mergeCell ref="E96:E98"/>
    <mergeCell ref="M106:M107"/>
    <mergeCell ref="M118:M119"/>
    <mergeCell ref="E117:E119"/>
    <mergeCell ref="G117:G119"/>
    <mergeCell ref="C66:C69"/>
    <mergeCell ref="E66:E68"/>
    <mergeCell ref="F66:F68"/>
    <mergeCell ref="E81:E82"/>
    <mergeCell ref="E101:E102"/>
    <mergeCell ref="A86:A88"/>
    <mergeCell ref="B86:B88"/>
    <mergeCell ref="C86:C88"/>
    <mergeCell ref="G90:G91"/>
    <mergeCell ref="E109:E111"/>
    <mergeCell ref="G109:G111"/>
    <mergeCell ref="M109:M110"/>
    <mergeCell ref="E99:E100"/>
    <mergeCell ref="G99:G100"/>
    <mergeCell ref="D103:D104"/>
    <mergeCell ref="E103:E104"/>
    <mergeCell ref="E106:E108"/>
    <mergeCell ref="F86:F87"/>
    <mergeCell ref="E90:E92"/>
    <mergeCell ref="M90:M92"/>
    <mergeCell ref="M93:M95"/>
    <mergeCell ref="E86:E87"/>
    <mergeCell ref="A117:A120"/>
    <mergeCell ref="B117:B120"/>
    <mergeCell ref="C117:C120"/>
    <mergeCell ref="F117:F118"/>
    <mergeCell ref="C124:H124"/>
    <mergeCell ref="E138:E139"/>
    <mergeCell ref="G138:G139"/>
    <mergeCell ref="E126:E129"/>
    <mergeCell ref="G126:G129"/>
    <mergeCell ref="G121:G122"/>
    <mergeCell ref="A121:A123"/>
    <mergeCell ref="B121:B123"/>
    <mergeCell ref="C121:C123"/>
    <mergeCell ref="E121:E122"/>
    <mergeCell ref="D121:D122"/>
    <mergeCell ref="C125:Q125"/>
    <mergeCell ref="P132:P133"/>
    <mergeCell ref="Q132:Q133"/>
    <mergeCell ref="E177:E178"/>
    <mergeCell ref="I177:I178"/>
    <mergeCell ref="A144:A162"/>
    <mergeCell ref="B144:B162"/>
    <mergeCell ref="C144:C162"/>
    <mergeCell ref="E144:E146"/>
    <mergeCell ref="G144:G145"/>
    <mergeCell ref="E147:E149"/>
    <mergeCell ref="G147:G149"/>
    <mergeCell ref="E158:E159"/>
    <mergeCell ref="E153:E154"/>
    <mergeCell ref="G153:G154"/>
    <mergeCell ref="E155:E157"/>
    <mergeCell ref="G155:G157"/>
    <mergeCell ref="C164:Q164"/>
    <mergeCell ref="M163:Q163"/>
    <mergeCell ref="M155:M156"/>
    <mergeCell ref="E150:E152"/>
    <mergeCell ref="G150:G152"/>
    <mergeCell ref="A180:A182"/>
    <mergeCell ref="B180:B182"/>
    <mergeCell ref="C180:C182"/>
    <mergeCell ref="E180:E181"/>
    <mergeCell ref="D180:D181"/>
    <mergeCell ref="C192:H192"/>
    <mergeCell ref="C193:H193"/>
    <mergeCell ref="C194:H194"/>
    <mergeCell ref="C183:H183"/>
    <mergeCell ref="A186:N186"/>
    <mergeCell ref="M183:Q183"/>
    <mergeCell ref="M184:Q184"/>
    <mergeCell ref="M185:Q185"/>
    <mergeCell ref="A187:Q187"/>
    <mergeCell ref="C191:H191"/>
    <mergeCell ref="B184:H184"/>
    <mergeCell ref="B185:H185"/>
    <mergeCell ref="G180:G181"/>
    <mergeCell ref="C189:L189"/>
    <mergeCell ref="C210:H210"/>
    <mergeCell ref="M16:M17"/>
    <mergeCell ref="F63:F64"/>
    <mergeCell ref="M66:M67"/>
    <mergeCell ref="C201:H201"/>
    <mergeCell ref="C202:H202"/>
    <mergeCell ref="C203:H203"/>
    <mergeCell ref="C204:H204"/>
    <mergeCell ref="C205:H205"/>
    <mergeCell ref="C206:H206"/>
    <mergeCell ref="C195:H195"/>
    <mergeCell ref="C196:H196"/>
    <mergeCell ref="C197:H197"/>
    <mergeCell ref="C198:H198"/>
    <mergeCell ref="C199:H199"/>
    <mergeCell ref="C200:H200"/>
    <mergeCell ref="C209:H209"/>
    <mergeCell ref="C207:H207"/>
    <mergeCell ref="C208:H208"/>
    <mergeCell ref="G51:G52"/>
    <mergeCell ref="M19:M20"/>
    <mergeCell ref="C163:H163"/>
    <mergeCell ref="D177:D178"/>
    <mergeCell ref="G114:G115"/>
    <mergeCell ref="Q19:Q20"/>
    <mergeCell ref="M49:M50"/>
    <mergeCell ref="G35:G36"/>
    <mergeCell ref="D175:D176"/>
    <mergeCell ref="E175:E176"/>
    <mergeCell ref="D166:D168"/>
    <mergeCell ref="E166:E168"/>
    <mergeCell ref="E160:E161"/>
    <mergeCell ref="G160:G161"/>
    <mergeCell ref="H160:H161"/>
    <mergeCell ref="D171:D172"/>
    <mergeCell ref="E171:E172"/>
    <mergeCell ref="D173:D174"/>
    <mergeCell ref="E173:E174"/>
    <mergeCell ref="G166:G168"/>
    <mergeCell ref="G171:G174"/>
    <mergeCell ref="G169:G170"/>
    <mergeCell ref="M121:M122"/>
    <mergeCell ref="M132:M133"/>
    <mergeCell ref="N132:N133"/>
    <mergeCell ref="C141:H141"/>
    <mergeCell ref="M141:Q141"/>
    <mergeCell ref="E49:E50"/>
    <mergeCell ref="G49:G50"/>
  </mergeCells>
  <printOptions horizontalCentered="1"/>
  <pageMargins left="0.39370078740157483" right="0.39370078740157483" top="0.39370078740157483" bottom="0.39370078740157483" header="0" footer="0"/>
  <pageSetup paperSize="9" scale="50" orientation="portrait" r:id="rId1"/>
  <rowBreaks count="3" manualBreakCount="3">
    <brk id="65" max="16" man="1"/>
    <brk id="123" max="16" man="1"/>
    <brk id="188" max="16" man="1"/>
  </rowBreaks>
  <ignoredErrors>
    <ignoredError sqref="N26:P27 Q26" twoDigitTextYear="1"/>
    <ignoredError sqref="I8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3 programa</vt:lpstr>
      <vt:lpstr>Aiškinamoji lentelė</vt:lpstr>
      <vt:lpstr>'3 programa'!Print_Area</vt:lpstr>
      <vt:lpstr>'Aiškinamoji lentelė'!Print_Area</vt:lpstr>
      <vt:lpstr>'3 programa'!Print_Titles</vt:lpstr>
      <vt:lpstr>'Aiškinamoji lentelė'!Print_Titles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Inga Mikalauskienė</cp:lastModifiedBy>
  <cp:lastPrinted>2022-09-27T06:24:23Z</cp:lastPrinted>
  <dcterms:created xsi:type="dcterms:W3CDTF">2015-10-15T13:35:41Z</dcterms:created>
  <dcterms:modified xsi:type="dcterms:W3CDTF">2022-09-27T06:24:35Z</dcterms:modified>
</cp:coreProperties>
</file>