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uosnis\Kmsa\Savivaldybės administracija\BENDROSIOS VALDYMO FUNKCIJOS\Strateginio planavimo skyrius\SVP KEITIMAI\2022-2024 SVP keitimas\2022-2024 SVP keitimas (spalis)\Sprendimas\"/>
    </mc:Choice>
  </mc:AlternateContent>
  <bookViews>
    <workbookView xWindow="-120" yWindow="-120" windowWidth="23450" windowHeight="9720"/>
  </bookViews>
  <sheets>
    <sheet name="7 programa" sheetId="24" r:id="rId1"/>
    <sheet name="Lyginamasis variantas" sheetId="25" state="hidden" r:id="rId2"/>
    <sheet name="Aiškinamoji lentelė" sheetId="23" state="hidden" r:id="rId3"/>
  </sheets>
  <definedNames>
    <definedName name="_xlnm.Print_Area" localSheetId="0">'7 programa'!$A$1:$M$301</definedName>
    <definedName name="_xlnm.Print_Area" localSheetId="2">'Aiškinamoji lentelė'!$A$1:$Q$302</definedName>
    <definedName name="_xlnm.Print_Area" localSheetId="1">'Lyginamasis variantas'!$A$1:$Q$302</definedName>
    <definedName name="_xlnm.Print_Titles" localSheetId="0">'7 programa'!$9:$11</definedName>
    <definedName name="_xlnm.Print_Titles" localSheetId="2">'Aiškinamoji lentelė'!$8:$10</definedName>
    <definedName name="_xlnm.Print_Titles" localSheetId="1">'Lyginamasis variantas'!$9:$11</definedName>
  </definedNames>
  <calcPr calcId="162913" fullPrecision="0"/>
</workbook>
</file>

<file path=xl/calcChain.xml><?xml version="1.0" encoding="utf-8"?>
<calcChain xmlns="http://schemas.openxmlformats.org/spreadsheetml/2006/main">
  <c r="I262" i="24" l="1"/>
  <c r="H262" i="24"/>
  <c r="G264" i="24"/>
  <c r="G262" i="24"/>
  <c r="H219" i="24"/>
  <c r="G220" i="24"/>
  <c r="G219" i="24"/>
  <c r="H195" i="24"/>
  <c r="G196" i="24"/>
  <c r="H163" i="24"/>
  <c r="G163" i="24"/>
  <c r="H138" i="24"/>
  <c r="G140" i="24"/>
  <c r="G138" i="24"/>
  <c r="L131" i="24"/>
  <c r="G21" i="24"/>
  <c r="I16" i="24"/>
  <c r="H16" i="24"/>
  <c r="G16" i="24"/>
  <c r="I219" i="24" l="1"/>
  <c r="G223" i="24"/>
  <c r="G195" i="24"/>
  <c r="L19" i="23" l="1"/>
  <c r="K62" i="23"/>
  <c r="L299" i="25" l="1"/>
  <c r="L298" i="25"/>
  <c r="L297" i="25"/>
  <c r="L296" i="25"/>
  <c r="L294" i="25"/>
  <c r="L293" i="25"/>
  <c r="L292" i="25"/>
  <c r="L291" i="25"/>
  <c r="L290" i="25"/>
  <c r="L289" i="25"/>
  <c r="L288" i="25"/>
  <c r="L287" i="25"/>
  <c r="L286" i="25"/>
  <c r="L285" i="25"/>
  <c r="L284" i="25"/>
  <c r="L283" i="25"/>
  <c r="L282" i="25"/>
  <c r="L281" i="25"/>
  <c r="L280" i="25"/>
  <c r="I299" i="25"/>
  <c r="I298" i="25"/>
  <c r="I297" i="25"/>
  <c r="I296" i="25"/>
  <c r="I294" i="25"/>
  <c r="I292" i="25"/>
  <c r="I291" i="25"/>
  <c r="I289" i="25"/>
  <c r="I288" i="25"/>
  <c r="I287" i="25"/>
  <c r="I286" i="25"/>
  <c r="I285" i="25"/>
  <c r="I284" i="25"/>
  <c r="I283" i="25"/>
  <c r="I282" i="25"/>
  <c r="I281" i="25"/>
  <c r="I280" i="25"/>
  <c r="I279" i="25"/>
  <c r="M270" i="25"/>
  <c r="J270" i="25"/>
  <c r="M254" i="25"/>
  <c r="M255" i="25" s="1"/>
  <c r="J254" i="25"/>
  <c r="J255" i="25" s="1"/>
  <c r="M240" i="25"/>
  <c r="J240" i="25"/>
  <c r="M211" i="25"/>
  <c r="M212" i="25" s="1"/>
  <c r="J211" i="25"/>
  <c r="J212" i="25" s="1"/>
  <c r="M187" i="25"/>
  <c r="J187" i="25"/>
  <c r="M157" i="25"/>
  <c r="J157" i="25"/>
  <c r="I65" i="25"/>
  <c r="L28" i="25"/>
  <c r="L16" i="25"/>
  <c r="L279" i="25" s="1"/>
  <c r="L270" i="25"/>
  <c r="L254" i="25"/>
  <c r="L255" i="25" s="1"/>
  <c r="L240" i="25"/>
  <c r="L211" i="25"/>
  <c r="L212" i="25" s="1"/>
  <c r="L187" i="25"/>
  <c r="L157" i="25"/>
  <c r="L155" i="25"/>
  <c r="L94" i="25"/>
  <c r="I16" i="25"/>
  <c r="I135" i="25" s="1"/>
  <c r="I270" i="25"/>
  <c r="I254" i="25"/>
  <c r="I255" i="25" s="1"/>
  <c r="I240" i="25"/>
  <c r="I211" i="25"/>
  <c r="I212" i="25" s="1"/>
  <c r="I187" i="25"/>
  <c r="I188" i="25" s="1"/>
  <c r="I157" i="25"/>
  <c r="I132" i="25"/>
  <c r="I104" i="25"/>
  <c r="I94" i="25"/>
  <c r="L135" i="25" l="1"/>
  <c r="M16" i="25"/>
  <c r="J16" i="25"/>
  <c r="L295" i="25"/>
  <c r="L188" i="25"/>
  <c r="L271" i="25" s="1"/>
  <c r="L272" i="25" s="1"/>
  <c r="L278" i="25"/>
  <c r="L277" i="25" s="1"/>
  <c r="I295" i="25"/>
  <c r="I278" i="25"/>
  <c r="I271" i="25"/>
  <c r="I272" i="25" s="1"/>
  <c r="J279" i="25" l="1"/>
  <c r="J278" i="25" s="1"/>
  <c r="J277" i="25" s="1"/>
  <c r="J300" i="25" s="1"/>
  <c r="J135" i="25"/>
  <c r="J188" i="25" s="1"/>
  <c r="J271" i="25" s="1"/>
  <c r="J272" i="25" s="1"/>
  <c r="M135" i="25"/>
  <c r="M188" i="25" s="1"/>
  <c r="M271" i="25" s="1"/>
  <c r="M272" i="25" s="1"/>
  <c r="M279" i="25"/>
  <c r="M278" i="25" s="1"/>
  <c r="M277" i="25" s="1"/>
  <c r="M300" i="25" s="1"/>
  <c r="L300" i="25"/>
  <c r="K299" i="25"/>
  <c r="H299" i="25"/>
  <c r="G299" i="25"/>
  <c r="K298" i="25"/>
  <c r="H298" i="25"/>
  <c r="G298" i="25"/>
  <c r="K297" i="25"/>
  <c r="H297" i="25"/>
  <c r="G297" i="25"/>
  <c r="K296" i="25"/>
  <c r="H296" i="25"/>
  <c r="G296" i="25"/>
  <c r="K294" i="25"/>
  <c r="H294" i="25"/>
  <c r="G294" i="25"/>
  <c r="K293" i="25"/>
  <c r="H293" i="25"/>
  <c r="G293" i="25"/>
  <c r="K292" i="25"/>
  <c r="H292" i="25"/>
  <c r="G292" i="25"/>
  <c r="K291" i="25"/>
  <c r="H291" i="25"/>
  <c r="G291" i="25"/>
  <c r="K290" i="25"/>
  <c r="H290" i="25"/>
  <c r="G290" i="25"/>
  <c r="K289" i="25"/>
  <c r="H289" i="25"/>
  <c r="G289" i="25"/>
  <c r="K288" i="25"/>
  <c r="H288" i="25"/>
  <c r="G288" i="25"/>
  <c r="K287" i="25"/>
  <c r="H287" i="25"/>
  <c r="G287" i="25"/>
  <c r="K286" i="25"/>
  <c r="H286" i="25"/>
  <c r="G286" i="25"/>
  <c r="K285" i="25"/>
  <c r="H285" i="25"/>
  <c r="G285" i="25"/>
  <c r="K284" i="25"/>
  <c r="H284" i="25"/>
  <c r="G284" i="25"/>
  <c r="K283" i="25"/>
  <c r="H283" i="25"/>
  <c r="G283" i="25"/>
  <c r="K282" i="25"/>
  <c r="H282" i="25"/>
  <c r="G282" i="25"/>
  <c r="K281" i="25"/>
  <c r="H281" i="25"/>
  <c r="G281" i="25"/>
  <c r="K280" i="25"/>
  <c r="H280" i="25"/>
  <c r="G280" i="25"/>
  <c r="K279" i="25"/>
  <c r="H279" i="25"/>
  <c r="G279" i="25"/>
  <c r="K270" i="25"/>
  <c r="H270" i="25"/>
  <c r="G270" i="25"/>
  <c r="O261" i="25"/>
  <c r="U260" i="25"/>
  <c r="T260" i="25"/>
  <c r="S260" i="25"/>
  <c r="U259" i="25"/>
  <c r="T259" i="25"/>
  <c r="S259" i="25"/>
  <c r="U258" i="25"/>
  <c r="T258" i="25"/>
  <c r="S258" i="25"/>
  <c r="U257" i="25"/>
  <c r="T257" i="25"/>
  <c r="S257" i="25"/>
  <c r="S261" i="25" s="1"/>
  <c r="S262" i="25" s="1"/>
  <c r="K254" i="25"/>
  <c r="H254" i="25"/>
  <c r="G254" i="25"/>
  <c r="S243" i="25"/>
  <c r="S244" i="25" s="1"/>
  <c r="U242" i="25"/>
  <c r="T242" i="25"/>
  <c r="S242" i="25"/>
  <c r="U241" i="25"/>
  <c r="U243" i="25" s="1"/>
  <c r="U244" i="25" s="1"/>
  <c r="T241" i="25"/>
  <c r="S241" i="25"/>
  <c r="K240" i="25"/>
  <c r="H240" i="25"/>
  <c r="H255" i="25" s="1"/>
  <c r="G240" i="25"/>
  <c r="G237" i="25"/>
  <c r="G236" i="25"/>
  <c r="U220" i="25"/>
  <c r="T220" i="25"/>
  <c r="S220" i="25"/>
  <c r="U219" i="25"/>
  <c r="T219" i="25"/>
  <c r="S219" i="25"/>
  <c r="U218" i="25"/>
  <c r="T218" i="25"/>
  <c r="S218" i="25"/>
  <c r="U217" i="25"/>
  <c r="T217" i="25"/>
  <c r="S217" i="25"/>
  <c r="U216" i="25"/>
  <c r="T216" i="25"/>
  <c r="S216" i="25"/>
  <c r="U215" i="25"/>
  <c r="T215" i="25"/>
  <c r="S215" i="25"/>
  <c r="U214" i="25"/>
  <c r="T214" i="25"/>
  <c r="S214" i="25"/>
  <c r="S221" i="25" s="1"/>
  <c r="S222" i="25" s="1"/>
  <c r="K211" i="25"/>
  <c r="K212" i="25" s="1"/>
  <c r="H211" i="25"/>
  <c r="H212" i="25" s="1"/>
  <c r="G211" i="25"/>
  <c r="G212" i="25" s="1"/>
  <c r="U191" i="25"/>
  <c r="T191" i="25"/>
  <c r="S191" i="25"/>
  <c r="U190" i="25"/>
  <c r="T190" i="25"/>
  <c r="S190" i="25"/>
  <c r="K187" i="25"/>
  <c r="H187" i="25"/>
  <c r="G187" i="25"/>
  <c r="U159" i="25"/>
  <c r="T159" i="25"/>
  <c r="S159" i="25"/>
  <c r="U158" i="25"/>
  <c r="T158" i="25"/>
  <c r="S158" i="25"/>
  <c r="K157" i="25"/>
  <c r="H157" i="25"/>
  <c r="G157" i="25"/>
  <c r="K155" i="25"/>
  <c r="U136" i="25" s="1"/>
  <c r="U138" i="25"/>
  <c r="T138" i="25"/>
  <c r="S138" i="25"/>
  <c r="U137" i="25"/>
  <c r="T137" i="25"/>
  <c r="S137" i="25"/>
  <c r="T136" i="25"/>
  <c r="S136" i="25"/>
  <c r="K135" i="25"/>
  <c r="H135" i="25"/>
  <c r="G135" i="25"/>
  <c r="H132" i="25"/>
  <c r="H104" i="25"/>
  <c r="K94" i="25"/>
  <c r="H94" i="25"/>
  <c r="G94" i="25"/>
  <c r="K28" i="25"/>
  <c r="M28" i="25" s="1"/>
  <c r="U26" i="25"/>
  <c r="T26" i="25"/>
  <c r="S26" i="25"/>
  <c r="U25" i="25"/>
  <c r="T25" i="25"/>
  <c r="S25" i="25"/>
  <c r="U24" i="25"/>
  <c r="T24" i="25"/>
  <c r="S24" i="25"/>
  <c r="U23" i="25"/>
  <c r="T23" i="25"/>
  <c r="S23" i="25"/>
  <c r="U22" i="25"/>
  <c r="T22" i="25"/>
  <c r="S22" i="25"/>
  <c r="U21" i="25"/>
  <c r="T21" i="25"/>
  <c r="S21" i="25"/>
  <c r="U20" i="25"/>
  <c r="T20" i="25"/>
  <c r="S20" i="25"/>
  <c r="U19" i="25"/>
  <c r="T19" i="25"/>
  <c r="S19" i="25"/>
  <c r="U18" i="25"/>
  <c r="T18" i="25"/>
  <c r="S18" i="25"/>
  <c r="U17" i="25"/>
  <c r="T17" i="25"/>
  <c r="S17" i="25"/>
  <c r="S16" i="25" l="1"/>
  <c r="U16" i="25"/>
  <c r="U192" i="25"/>
  <c r="U193" i="25" s="1"/>
  <c r="S139" i="25"/>
  <c r="S140" i="25" s="1"/>
  <c r="T16" i="25"/>
  <c r="T27" i="25" s="1"/>
  <c r="T28" i="25" s="1"/>
  <c r="S192" i="25"/>
  <c r="S160" i="25"/>
  <c r="S161" i="25" s="1"/>
  <c r="T192" i="25"/>
  <c r="T193" i="25" s="1"/>
  <c r="K255" i="25"/>
  <c r="T261" i="25"/>
  <c r="T262" i="25" s="1"/>
  <c r="K188" i="25"/>
  <c r="G255" i="25"/>
  <c r="S27" i="25"/>
  <c r="S28" i="25" s="1"/>
  <c r="S193" i="25"/>
  <c r="T243" i="25"/>
  <c r="T244" i="25" s="1"/>
  <c r="G188" i="25"/>
  <c r="G278" i="25"/>
  <c r="G277" i="25" s="1"/>
  <c r="U27" i="25"/>
  <c r="U28" i="25" s="1"/>
  <c r="H188" i="25"/>
  <c r="H271" i="25" s="1"/>
  <c r="H272" i="25" s="1"/>
  <c r="U160" i="25"/>
  <c r="U161" i="25" s="1"/>
  <c r="U221" i="25"/>
  <c r="U222" i="25" s="1"/>
  <c r="T221" i="25"/>
  <c r="T222" i="25" s="1"/>
  <c r="U261" i="25"/>
  <c r="U262" i="25" s="1"/>
  <c r="T139" i="25"/>
  <c r="T140" i="25" s="1"/>
  <c r="U139" i="25"/>
  <c r="U140" i="25" s="1"/>
  <c r="T160" i="25"/>
  <c r="T161" i="25" s="1"/>
  <c r="K278" i="25"/>
  <c r="K277" i="25" s="1"/>
  <c r="H278" i="25"/>
  <c r="H277" i="25" s="1"/>
  <c r="G295" i="25"/>
  <c r="H295" i="25"/>
  <c r="K295" i="25"/>
  <c r="I298" i="24"/>
  <c r="I297" i="24"/>
  <c r="I295" i="24"/>
  <c r="I294" i="24"/>
  <c r="I293" i="24"/>
  <c r="I292" i="24"/>
  <c r="I291" i="24"/>
  <c r="I290" i="24"/>
  <c r="I289" i="24"/>
  <c r="I288" i="24"/>
  <c r="I287" i="24"/>
  <c r="I286" i="24"/>
  <c r="I285" i="24"/>
  <c r="I284" i="24"/>
  <c r="H298" i="24"/>
  <c r="H297" i="24"/>
  <c r="H295" i="24"/>
  <c r="H294" i="24"/>
  <c r="H293" i="24"/>
  <c r="H292" i="24"/>
  <c r="H291" i="24"/>
  <c r="H290" i="24"/>
  <c r="H289" i="24"/>
  <c r="H288" i="24"/>
  <c r="H287" i="24"/>
  <c r="H286" i="24"/>
  <c r="H285" i="24"/>
  <c r="H284" i="24"/>
  <c r="G298" i="24"/>
  <c r="G297" i="24"/>
  <c r="G295" i="24"/>
  <c r="G294" i="24"/>
  <c r="G293" i="24"/>
  <c r="G292" i="24"/>
  <c r="G291" i="24"/>
  <c r="G290" i="24"/>
  <c r="G289" i="24"/>
  <c r="G288" i="24"/>
  <c r="G287" i="24"/>
  <c r="G286" i="24"/>
  <c r="G285" i="24"/>
  <c r="G284" i="24"/>
  <c r="H137" i="24"/>
  <c r="I137" i="24"/>
  <c r="G137" i="24"/>
  <c r="Q26" i="24"/>
  <c r="R26" i="24"/>
  <c r="P26" i="24"/>
  <c r="Q25" i="24"/>
  <c r="R25" i="24"/>
  <c r="P25" i="24"/>
  <c r="Q24" i="24"/>
  <c r="R24" i="24"/>
  <c r="P24" i="24"/>
  <c r="Q23" i="24"/>
  <c r="R23" i="24"/>
  <c r="P23" i="24"/>
  <c r="Q22" i="24"/>
  <c r="R22" i="24"/>
  <c r="P22" i="24"/>
  <c r="Q21" i="24"/>
  <c r="R21" i="24"/>
  <c r="P21" i="24"/>
  <c r="Q20" i="24"/>
  <c r="R20" i="24"/>
  <c r="P20" i="24"/>
  <c r="Q19" i="24"/>
  <c r="R19" i="24"/>
  <c r="P19" i="24"/>
  <c r="Q18" i="24"/>
  <c r="R18" i="24"/>
  <c r="P18" i="24"/>
  <c r="Q17" i="24"/>
  <c r="R17" i="24"/>
  <c r="P17" i="24"/>
  <c r="I275" i="24"/>
  <c r="H275" i="24"/>
  <c r="G275" i="24"/>
  <c r="Q264" i="24"/>
  <c r="R264" i="24"/>
  <c r="P264" i="24"/>
  <c r="Q265" i="24"/>
  <c r="R265" i="24"/>
  <c r="P265" i="24"/>
  <c r="Q263" i="24"/>
  <c r="R263" i="24"/>
  <c r="P263" i="24"/>
  <c r="Q262" i="24"/>
  <c r="R262" i="24"/>
  <c r="P262" i="24"/>
  <c r="I259" i="24"/>
  <c r="H259" i="24"/>
  <c r="G259" i="24"/>
  <c r="Q247" i="24"/>
  <c r="R247" i="24"/>
  <c r="P247" i="24"/>
  <c r="Q246" i="24"/>
  <c r="R246" i="24"/>
  <c r="P246" i="24"/>
  <c r="H245" i="24"/>
  <c r="I245" i="24"/>
  <c r="G245" i="24"/>
  <c r="Q225" i="24"/>
  <c r="R225" i="24"/>
  <c r="P225" i="24"/>
  <c r="Q224" i="24"/>
  <c r="R224" i="24"/>
  <c r="P224" i="24"/>
  <c r="Q223" i="24"/>
  <c r="R223" i="24"/>
  <c r="P223" i="24"/>
  <c r="Q222" i="24"/>
  <c r="R222" i="24"/>
  <c r="P222" i="24"/>
  <c r="Q221" i="24"/>
  <c r="R221" i="24"/>
  <c r="P221" i="24"/>
  <c r="Q220" i="24"/>
  <c r="R220" i="24"/>
  <c r="P220" i="24"/>
  <c r="Q219" i="24"/>
  <c r="R219" i="24"/>
  <c r="I216" i="24"/>
  <c r="H216" i="24"/>
  <c r="G216" i="24"/>
  <c r="Q196" i="24"/>
  <c r="R196" i="24"/>
  <c r="P196" i="24"/>
  <c r="Q195" i="24"/>
  <c r="R195" i="24"/>
  <c r="P195" i="24"/>
  <c r="H192" i="24"/>
  <c r="I192" i="24"/>
  <c r="G192" i="24"/>
  <c r="Q164" i="24"/>
  <c r="R164" i="24"/>
  <c r="P164" i="24"/>
  <c r="Q163" i="24"/>
  <c r="R163" i="24"/>
  <c r="P163" i="24"/>
  <c r="I162" i="24"/>
  <c r="H162" i="24"/>
  <c r="G162" i="24"/>
  <c r="Q138" i="24"/>
  <c r="P138" i="24"/>
  <c r="Q140" i="24"/>
  <c r="R140" i="24"/>
  <c r="P140" i="24"/>
  <c r="Q139" i="24"/>
  <c r="R139" i="24"/>
  <c r="P139" i="24"/>
  <c r="G300" i="25" l="1"/>
  <c r="I293" i="25"/>
  <c r="K271" i="25"/>
  <c r="K272" i="25" s="1"/>
  <c r="G271" i="25"/>
  <c r="G272" i="25" s="1"/>
  <c r="H300" i="25"/>
  <c r="K300" i="25"/>
  <c r="Q197" i="24"/>
  <c r="Q198" i="24" s="1"/>
  <c r="R165" i="24"/>
  <c r="R166" i="24" s="1"/>
  <c r="Q266" i="24"/>
  <c r="Q267" i="24" s="1"/>
  <c r="Q165" i="24"/>
  <c r="Q166" i="24" s="1"/>
  <c r="P248" i="24"/>
  <c r="P249" i="24" s="1"/>
  <c r="R248" i="24"/>
  <c r="R249" i="24" s="1"/>
  <c r="R226" i="24"/>
  <c r="R227" i="24" s="1"/>
  <c r="Q226" i="24"/>
  <c r="Q227" i="24" s="1"/>
  <c r="Q248" i="24"/>
  <c r="Q249" i="24" s="1"/>
  <c r="P266" i="24"/>
  <c r="P267" i="24" s="1"/>
  <c r="R197" i="24"/>
  <c r="R198" i="24" s="1"/>
  <c r="R266" i="24"/>
  <c r="R267" i="24" s="1"/>
  <c r="P197" i="24"/>
  <c r="P198" i="24" s="1"/>
  <c r="Q141" i="24"/>
  <c r="Q142" i="24" s="1"/>
  <c r="P165" i="24"/>
  <c r="P166" i="24" s="1"/>
  <c r="P141" i="24"/>
  <c r="P142" i="24" s="1"/>
  <c r="K266" i="24"/>
  <c r="G242" i="24"/>
  <c r="G241" i="24"/>
  <c r="I217" i="24"/>
  <c r="H217" i="24"/>
  <c r="G217" i="24"/>
  <c r="I159" i="24"/>
  <c r="R138" i="24" s="1"/>
  <c r="R141" i="24" s="1"/>
  <c r="R142" i="24" s="1"/>
  <c r="H134" i="24"/>
  <c r="H104" i="24"/>
  <c r="I94" i="24"/>
  <c r="H94" i="24"/>
  <c r="G94" i="24"/>
  <c r="I28" i="24"/>
  <c r="I290" i="25" l="1"/>
  <c r="I277" i="25" s="1"/>
  <c r="I300" i="25" s="1"/>
  <c r="P219" i="24"/>
  <c r="P226" i="24" s="1"/>
  <c r="P227" i="24" s="1"/>
  <c r="R16" i="24"/>
  <c r="R27" i="24" s="1"/>
  <c r="R28" i="24" s="1"/>
  <c r="Q16" i="24"/>
  <c r="Q27" i="24" s="1"/>
  <c r="Q28" i="24" s="1"/>
  <c r="P16" i="24"/>
  <c r="P27" i="24" s="1"/>
  <c r="P28" i="24" s="1"/>
  <c r="G296" i="24"/>
  <c r="H296" i="24"/>
  <c r="I296" i="24"/>
  <c r="H193" i="24"/>
  <c r="I283" i="24"/>
  <c r="I282" i="24" s="1"/>
  <c r="I260" i="24"/>
  <c r="H260" i="24"/>
  <c r="I193" i="24"/>
  <c r="G260" i="24"/>
  <c r="G193" i="24"/>
  <c r="G283" i="24"/>
  <c r="G282" i="24" s="1"/>
  <c r="H283" i="24"/>
  <c r="H282" i="24" s="1"/>
  <c r="I30" i="23"/>
  <c r="H299" i="24" l="1"/>
  <c r="G299" i="24"/>
  <c r="I299" i="24"/>
  <c r="H276" i="24"/>
  <c r="H277" i="24" s="1"/>
  <c r="I276" i="24"/>
  <c r="I277" i="24" s="1"/>
  <c r="G276" i="24"/>
  <c r="G277" i="24" s="1"/>
  <c r="L292" i="23"/>
  <c r="K292" i="23"/>
  <c r="J292" i="23"/>
  <c r="J286" i="23"/>
  <c r="I286" i="23"/>
  <c r="I292" i="23"/>
  <c r="O260" i="23" l="1"/>
  <c r="I41" i="23" l="1"/>
  <c r="I27" i="23"/>
  <c r="I23" i="23"/>
  <c r="K102" i="23" l="1"/>
  <c r="L255" i="23" l="1"/>
  <c r="I135" i="23" l="1"/>
  <c r="I131" i="23"/>
  <c r="J238" i="23" l="1"/>
  <c r="J237" i="23"/>
  <c r="K133" i="23"/>
  <c r="L92" i="23"/>
  <c r="K92" i="23"/>
  <c r="J92" i="23"/>
  <c r="K136" i="23" l="1"/>
  <c r="J156" i="23"/>
  <c r="I77" i="23" l="1"/>
  <c r="I72" i="23"/>
  <c r="I260" i="23" l="1"/>
  <c r="I269" i="23" s="1"/>
  <c r="I229" i="23"/>
  <c r="I228" i="23"/>
  <c r="I227" i="23"/>
  <c r="I226" i="23"/>
  <c r="I196" i="23" l="1"/>
  <c r="I166" i="23"/>
  <c r="I153" i="23"/>
  <c r="I138" i="23"/>
  <c r="I139" i="23"/>
  <c r="I50" i="23"/>
  <c r="I54" i="23"/>
  <c r="J215" i="23" l="1"/>
  <c r="L189" i="23"/>
  <c r="K215" i="23" l="1"/>
  <c r="I92" i="23" l="1"/>
  <c r="J269" i="23" l="1"/>
  <c r="L241" i="23"/>
  <c r="K241" i="23"/>
  <c r="J241" i="23"/>
  <c r="L154" i="23" l="1"/>
  <c r="J136" i="23" l="1"/>
  <c r="I255" i="23" l="1"/>
  <c r="I219" i="23"/>
  <c r="I109" i="23"/>
  <c r="I58" i="23"/>
  <c r="K255" i="23" l="1"/>
  <c r="J255" i="23"/>
  <c r="K189" i="23"/>
  <c r="J189" i="23"/>
  <c r="L215" i="23"/>
  <c r="L299" i="23" l="1"/>
  <c r="L298" i="23"/>
  <c r="L297" i="23"/>
  <c r="L296" i="23"/>
  <c r="L294" i="23"/>
  <c r="L293" i="23"/>
  <c r="L291" i="23"/>
  <c r="L290" i="23"/>
  <c r="L289" i="23"/>
  <c r="L288" i="23"/>
  <c r="L287" i="23"/>
  <c r="L286" i="23"/>
  <c r="L285" i="23"/>
  <c r="L284" i="23"/>
  <c r="L283" i="23"/>
  <c r="L282" i="23"/>
  <c r="L281" i="23"/>
  <c r="L280" i="23"/>
  <c r="L279" i="23"/>
  <c r="K299" i="23"/>
  <c r="K298" i="23"/>
  <c r="K297" i="23"/>
  <c r="K296" i="23"/>
  <c r="J294" i="23"/>
  <c r="K294" i="23"/>
  <c r="K293" i="23"/>
  <c r="K291" i="23"/>
  <c r="K290" i="23"/>
  <c r="K289" i="23"/>
  <c r="K288" i="23"/>
  <c r="K287" i="23"/>
  <c r="K286" i="23"/>
  <c r="K285" i="23"/>
  <c r="K284" i="23"/>
  <c r="K283" i="23"/>
  <c r="K282" i="23"/>
  <c r="K281" i="23"/>
  <c r="K280" i="23"/>
  <c r="K279" i="23"/>
  <c r="J299" i="23"/>
  <c r="J298" i="23"/>
  <c r="J297" i="23"/>
  <c r="J296" i="23"/>
  <c r="J293" i="23"/>
  <c r="J291" i="23"/>
  <c r="J290" i="23"/>
  <c r="J289" i="23"/>
  <c r="J288" i="23"/>
  <c r="J287" i="23"/>
  <c r="J285" i="23"/>
  <c r="J284" i="23"/>
  <c r="J283" i="23"/>
  <c r="J282" i="23"/>
  <c r="J281" i="23"/>
  <c r="J280" i="23"/>
  <c r="J279" i="23"/>
  <c r="K269" i="23"/>
  <c r="L269" i="23"/>
  <c r="L256" i="23"/>
  <c r="J216" i="23"/>
  <c r="K216" i="23"/>
  <c r="L216" i="23"/>
  <c r="K156" i="23"/>
  <c r="L156" i="23"/>
  <c r="L136" i="23"/>
  <c r="K256" i="23" l="1"/>
  <c r="K190" i="23"/>
  <c r="J190" i="23"/>
  <c r="J256" i="23"/>
  <c r="L295" i="23"/>
  <c r="L278" i="23"/>
  <c r="L277" i="23" s="1"/>
  <c r="K295" i="23"/>
  <c r="K278" i="23"/>
  <c r="K277" i="23" s="1"/>
  <c r="J295" i="23"/>
  <c r="J278" i="23"/>
  <c r="J277" i="23" s="1"/>
  <c r="I44" i="23"/>
  <c r="I34" i="23"/>
  <c r="I33" i="23"/>
  <c r="I31" i="23"/>
  <c r="J270" i="23" l="1"/>
  <c r="J271" i="23" s="1"/>
  <c r="K270" i="23"/>
  <c r="K271" i="23" s="1"/>
  <c r="K300" i="23"/>
  <c r="L300" i="23"/>
  <c r="J300" i="23"/>
  <c r="I299" i="23" l="1"/>
  <c r="I298" i="23"/>
  <c r="I297" i="23"/>
  <c r="I296" i="23"/>
  <c r="I294" i="23"/>
  <c r="I293" i="23"/>
  <c r="I291" i="23"/>
  <c r="I290" i="23"/>
  <c r="I289" i="23"/>
  <c r="I284" i="23"/>
  <c r="I283" i="23"/>
  <c r="I281" i="23"/>
  <c r="I280" i="23"/>
  <c r="I225" i="23"/>
  <c r="I222" i="23"/>
  <c r="I198" i="23"/>
  <c r="I215" i="23" s="1"/>
  <c r="I159" i="23"/>
  <c r="I189" i="23" s="1"/>
  <c r="I156" i="23"/>
  <c r="I91" i="23"/>
  <c r="I28" i="23"/>
  <c r="I25" i="23"/>
  <c r="I18" i="23"/>
  <c r="I295" i="23" l="1"/>
  <c r="I241" i="23"/>
  <c r="I256" i="23" s="1"/>
  <c r="I136" i="23"/>
  <c r="I190" i="23" s="1"/>
  <c r="I282" i="23"/>
  <c r="I216" i="23"/>
  <c r="I288" i="23"/>
  <c r="I285" i="23"/>
  <c r="I287" i="23"/>
  <c r="I279" i="23"/>
  <c r="I278" i="23" l="1"/>
  <c r="I277" i="23" s="1"/>
  <c r="I300" i="23" s="1"/>
  <c r="I270" i="23"/>
  <c r="I271" i="23" l="1"/>
  <c r="L190" i="23"/>
  <c r="L270" i="23" s="1"/>
  <c r="L271" i="23" s="1"/>
</calcChain>
</file>

<file path=xl/comments1.xml><?xml version="1.0" encoding="utf-8"?>
<comments xmlns="http://schemas.openxmlformats.org/spreadsheetml/2006/main">
  <authors>
    <author>Rima Alisauskaite</author>
    <author>Audra Cepiene</author>
    <author>Inga Mikalauskienė</author>
    <author>Indrė Butenienė</author>
    <author>Saulina Paulauskiene</author>
    <author>Vitalija Usevičiūtė</author>
    <author>Rita Mikluševičiūtė</author>
  </authors>
  <commentList>
    <comment ref="E27" authorId="0" shapeId="0">
      <text>
        <r>
          <rPr>
            <sz val="9"/>
            <color indexed="81"/>
            <rFont val="Tahoma"/>
            <family val="2"/>
            <charset val="186"/>
          </rPr>
          <t>P-3.1.1.4.</t>
        </r>
      </text>
    </comment>
    <comment ref="E28" authorId="1" shapeId="0">
      <text>
        <r>
          <rPr>
            <b/>
            <sz val="9"/>
            <color indexed="81"/>
            <rFont val="Tahoma"/>
            <family val="2"/>
            <charset val="186"/>
          </rPr>
          <t>Klaipėdos miesto savivaldybės 2019–2023 m. veiklos prioritetai (P1)
P1, 3.3.</t>
        </r>
        <r>
          <rPr>
            <sz val="9"/>
            <color indexed="81"/>
            <rFont val="Tahoma"/>
            <family val="2"/>
            <charset val="186"/>
          </rPr>
          <t xml:space="preserve"> Klaipėdos miesto integruotos teritorijų programos įgyvendinimas
</t>
        </r>
        <r>
          <rPr>
            <b/>
            <sz val="9"/>
            <color indexed="81"/>
            <rFont val="Tahoma"/>
            <family val="2"/>
            <charset val="186"/>
          </rPr>
          <t xml:space="preserve">P1, 3.5. </t>
        </r>
        <r>
          <rPr>
            <sz val="9"/>
            <color indexed="81"/>
            <rFont val="Tahoma"/>
            <family val="2"/>
            <charset val="186"/>
          </rPr>
          <t>Viešųjų erdvių ir pastatų pritaikymas pagal universalaus dizaino principus</t>
        </r>
      </text>
    </comment>
    <comment ref="J29" authorId="2" shapeId="0">
      <text>
        <r>
          <rPr>
            <sz val="9"/>
            <color indexed="81"/>
            <rFont val="Tahoma"/>
            <family val="2"/>
            <charset val="186"/>
          </rPr>
          <t xml:space="preserve">II etapas
</t>
        </r>
      </text>
    </comment>
    <comment ref="E30" authorId="3" shapeId="0">
      <text>
        <r>
          <rPr>
            <b/>
            <sz val="9"/>
            <color indexed="81"/>
            <rFont val="Tahoma"/>
            <family val="2"/>
            <charset val="186"/>
          </rPr>
          <t>Klaipėdos miesto ekonominės plėtros strategija ir įgyvendinimo veiksmų planas iki 2030 metų (P6)
P6 3.1.13.</t>
        </r>
        <r>
          <rPr>
            <sz val="9"/>
            <color indexed="81"/>
            <rFont val="Tahoma"/>
            <family val="2"/>
            <charset val="186"/>
          </rPr>
          <t xml:space="preserve"> Vystyti viešųjų erdvių gerinimo programas ir lokalius urbanistinės struktūros atgaivinimo projektus  </t>
        </r>
      </text>
    </comment>
    <comment ref="E32" authorId="0" shapeId="0">
      <text>
        <r>
          <rPr>
            <sz val="9"/>
            <color indexed="81"/>
            <rFont val="Tahoma"/>
            <family val="2"/>
            <charset val="186"/>
          </rPr>
          <t>P-3.2.1.1.</t>
        </r>
      </text>
    </comment>
    <comment ref="E33" authorId="1" shapeId="0">
      <text>
        <r>
          <rPr>
            <b/>
            <sz val="9"/>
            <color indexed="81"/>
            <rFont val="Tahoma"/>
            <family val="2"/>
            <charset val="186"/>
          </rPr>
          <t>Klaipėdos miesto savivaldybės 2019–2023 m. veiklos prioritetai (P1)
P1, 3.3.</t>
        </r>
        <r>
          <rPr>
            <sz val="9"/>
            <color indexed="81"/>
            <rFont val="Tahoma"/>
            <family val="2"/>
            <charset val="186"/>
          </rPr>
          <t xml:space="preserve"> Klaipėdos miesto integruotos teritorijų programos įgyvendinimas
</t>
        </r>
        <r>
          <rPr>
            <b/>
            <sz val="9"/>
            <color indexed="81"/>
            <rFont val="Tahoma"/>
            <family val="2"/>
            <charset val="186"/>
          </rPr>
          <t xml:space="preserve">P1, 3.5. </t>
        </r>
        <r>
          <rPr>
            <sz val="9"/>
            <color indexed="81"/>
            <rFont val="Tahoma"/>
            <family val="2"/>
            <charset val="186"/>
          </rPr>
          <t>Viešųjų erdvių ir pastatų pritaikymas pagal universalaus dizaino principus</t>
        </r>
      </text>
    </comment>
    <comment ref="E34" authorId="1" shapeId="0">
      <text>
        <r>
          <rPr>
            <b/>
            <sz val="9"/>
            <color indexed="81"/>
            <rFont val="Tahoma"/>
            <family val="2"/>
            <charset val="186"/>
          </rPr>
          <t>KEPS 2030 metų (P6)</t>
        </r>
        <r>
          <rPr>
            <sz val="9"/>
            <color indexed="81"/>
            <rFont val="Tahoma"/>
            <family val="2"/>
            <charset val="186"/>
          </rPr>
          <t xml:space="preserve">
P6 3.1.13. Vystyti viešųjų erdvių gerinimo programas ir lokalius urbanistinės struktūros atgaivinimo projektus  </t>
        </r>
      </text>
    </comment>
    <comment ref="E37" authorId="1" shapeId="0">
      <text>
        <r>
          <rPr>
            <b/>
            <sz val="9"/>
            <color indexed="81"/>
            <rFont val="Tahoma"/>
            <family val="2"/>
            <charset val="186"/>
          </rPr>
          <t>KSP, 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
</t>
        </r>
      </text>
    </comment>
    <comment ref="J37" authorId="2" shapeId="0">
      <text>
        <r>
          <rPr>
            <sz val="9"/>
            <color indexed="81"/>
            <rFont val="Tahoma"/>
            <family val="2"/>
            <charset val="186"/>
          </rPr>
          <t>Draudiminis įvykis,  šiuo metu perkami tvorelės atstatymo darbai, atsiskaitymas numatytas 2022 m. Patirtas išlaidas vėliau padengs draudimo bendrovė.</t>
        </r>
        <r>
          <rPr>
            <sz val="9"/>
            <color indexed="81"/>
            <rFont val="Tahoma"/>
            <family val="2"/>
            <charset val="186"/>
          </rPr>
          <t xml:space="preserve">
</t>
        </r>
      </text>
    </comment>
    <comment ref="E38" authorId="1" shapeId="0">
      <text>
        <r>
          <rPr>
            <b/>
            <sz val="9"/>
            <color indexed="81"/>
            <rFont val="Tahoma"/>
            <family val="2"/>
            <charset val="186"/>
          </rPr>
          <t xml:space="preserve">KEPS2030 3.1.5. </t>
        </r>
        <r>
          <rPr>
            <sz val="9"/>
            <color indexed="81"/>
            <rFont val="Tahoma"/>
            <family val="2"/>
            <charset val="186"/>
          </rPr>
          <t xml:space="preserve">"Intensyvinti linijinį centrą Taikos pr. ašyje" 
</t>
        </r>
      </text>
    </comment>
    <comment ref="E40" authorId="1" shapeId="0">
      <text>
        <r>
          <rPr>
            <sz val="9"/>
            <color indexed="81"/>
            <rFont val="Tahoma"/>
            <family val="2"/>
            <charset val="186"/>
          </rPr>
          <t xml:space="preserve">P-3.2.2.3.
</t>
        </r>
      </text>
    </comment>
    <comment ref="E41" authorId="1" shapeId="0">
      <text>
        <r>
          <rPr>
            <b/>
            <sz val="9"/>
            <color indexed="81"/>
            <rFont val="Tahoma"/>
            <family val="2"/>
            <charset val="186"/>
          </rPr>
          <t>P1,</t>
        </r>
        <r>
          <rPr>
            <sz val="9"/>
            <color indexed="81"/>
            <rFont val="Tahoma"/>
            <family val="2"/>
            <charset val="186"/>
          </rPr>
          <t xml:space="preserve"> </t>
        </r>
        <r>
          <rPr>
            <b/>
            <sz val="9"/>
            <color indexed="81"/>
            <rFont val="Tahoma"/>
            <family val="2"/>
            <charset val="186"/>
          </rPr>
          <t>4.1.5.</t>
        </r>
        <r>
          <rPr>
            <sz val="9"/>
            <color indexed="81"/>
            <rFont val="Tahoma"/>
            <family val="2"/>
            <charset val="186"/>
          </rPr>
          <t xml:space="preserve"> Sutvarkyta turgaus aikštė
</t>
        </r>
        <r>
          <rPr>
            <b/>
            <sz val="9"/>
            <color indexed="81"/>
            <rFont val="Tahoma"/>
            <family val="2"/>
            <charset val="186"/>
          </rPr>
          <t xml:space="preserve">
</t>
        </r>
      </text>
    </comment>
    <comment ref="J41" authorId="2" shapeId="0">
      <text>
        <r>
          <rPr>
            <sz val="9"/>
            <color indexed="81"/>
            <rFont val="Tahoma"/>
            <family val="2"/>
            <charset val="186"/>
          </rPr>
          <t xml:space="preserve">11 215 m²
I, II, IV etapai
</t>
        </r>
      </text>
    </comment>
    <comment ref="E42" authorId="1" shapeId="0">
      <text>
        <r>
          <rPr>
            <b/>
            <sz val="9"/>
            <color indexed="81"/>
            <rFont val="Tahoma"/>
            <family val="2"/>
            <charset val="186"/>
          </rPr>
          <t>KEPS  3.1.11.</t>
        </r>
        <r>
          <rPr>
            <sz val="9"/>
            <color indexed="81"/>
            <rFont val="Tahoma"/>
            <family val="2"/>
            <charset val="186"/>
          </rPr>
          <t xml:space="preserve"> Išvystyti senąją turgavietę</t>
        </r>
      </text>
    </comment>
    <comment ref="E45" authorId="1" shapeId="0">
      <text>
        <r>
          <rPr>
            <b/>
            <sz val="9"/>
            <color indexed="81"/>
            <rFont val="Tahoma"/>
            <family val="2"/>
            <charset val="186"/>
          </rPr>
          <t>KSP, 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
</t>
        </r>
      </text>
    </comment>
    <comment ref="J45" authorId="2" shapeId="0">
      <text>
        <r>
          <rPr>
            <sz val="9"/>
            <color indexed="81"/>
            <rFont val="Tahoma"/>
            <family val="2"/>
            <charset val="186"/>
          </rPr>
          <t xml:space="preserve">Perkeliama atsiskaitymui 2022 m. už atliktus drenažo darbus (papildomi darbai) pagal 2021-10-26 sut. Nr. J9-2730
</t>
        </r>
      </text>
    </comment>
    <comment ref="E46" authorId="1" shapeId="0">
      <text>
        <r>
          <rPr>
            <b/>
            <sz val="9"/>
            <color indexed="81"/>
            <rFont val="Tahoma"/>
            <family val="2"/>
            <charset val="186"/>
          </rPr>
          <t>Klaipėdos miesto savivaldybės 2019–2023 m. veiklos prioritetai (P1)
P1, 3.3.</t>
        </r>
        <r>
          <rPr>
            <sz val="9"/>
            <color indexed="81"/>
            <rFont val="Tahoma"/>
            <family val="2"/>
            <charset val="186"/>
          </rPr>
          <t xml:space="preserve"> Klaipėdos miesto integruotos teritorijų programos įgyvendinimas
</t>
        </r>
        <r>
          <rPr>
            <b/>
            <sz val="9"/>
            <color indexed="81"/>
            <rFont val="Tahoma"/>
            <family val="2"/>
            <charset val="186"/>
          </rPr>
          <t xml:space="preserve">P1, 3.5. </t>
        </r>
        <r>
          <rPr>
            <sz val="9"/>
            <color indexed="81"/>
            <rFont val="Tahoma"/>
            <family val="2"/>
            <charset val="186"/>
          </rPr>
          <t>Viešųjų erdvių ir pastatų pritaikymas pagal universalaus dizaino principus</t>
        </r>
      </text>
    </comment>
    <comment ref="E48" authorId="3" shapeId="0">
      <text>
        <r>
          <rPr>
            <b/>
            <sz val="9"/>
            <color indexed="81"/>
            <rFont val="Tahoma"/>
            <family val="2"/>
            <charset val="186"/>
          </rPr>
          <t>Klaipėdos miesto ekonominės plėtros strategija ir įgyvendinimo veiksmų planas iki 2030 metų (P6)
P6 3.1.13.</t>
        </r>
        <r>
          <rPr>
            <sz val="9"/>
            <color indexed="81"/>
            <rFont val="Tahoma"/>
            <family val="2"/>
            <charset val="186"/>
          </rPr>
          <t xml:space="preserve"> Vystyti viešųjų erdvių gerinimo programas ir lokalius urbanistinės struktūros atgaivinimo projektus  </t>
        </r>
      </text>
    </comment>
    <comment ref="E49" authorId="0" shapeId="0">
      <text>
        <r>
          <rPr>
            <sz val="9"/>
            <color indexed="81"/>
            <rFont val="Tahoma"/>
            <family val="2"/>
            <charset val="186"/>
          </rPr>
          <t>P-3.2.2.5.</t>
        </r>
      </text>
    </comment>
    <comment ref="J49" authorId="1" shapeId="0">
      <text>
        <r>
          <rPr>
            <sz val="9"/>
            <color indexed="81"/>
            <rFont val="Tahoma"/>
            <family val="2"/>
            <charset val="186"/>
          </rPr>
          <t xml:space="preserve">Reikalinga iškelti buitinių nuotekų tinklus, kurie trukdo el. įvadų įrengimui </t>
        </r>
      </text>
    </comment>
    <comment ref="E52" authorId="1"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E53" authorId="1" shapeId="0">
      <text>
        <r>
          <rPr>
            <b/>
            <sz val="9"/>
            <color indexed="81"/>
            <rFont val="Tahoma"/>
            <family val="2"/>
            <charset val="186"/>
          </rPr>
          <t>P, 3.2.1.7 KSP</t>
        </r>
        <r>
          <rPr>
            <sz val="9"/>
            <color indexed="81"/>
            <rFont val="Tahoma"/>
            <family val="2"/>
            <charset val="186"/>
          </rPr>
          <t xml:space="preserve"> priemonė: Sutvarkyti senamiesčio ir istorinės miesto dalies reprezentacinių viešųjų erdvių (Teatro, Turgaus, Atgimimo aikščių, Ferdinando ir kitų skverų) infrastruktūrą pritaikant jas turizmo reikmėms bei renginiams </t>
        </r>
      </text>
    </comment>
    <comment ref="E54" authorId="1"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E55" authorId="3" shapeId="0">
      <text>
        <r>
          <rPr>
            <b/>
            <sz val="9"/>
            <color indexed="81"/>
            <rFont val="Tahoma"/>
            <family val="2"/>
            <charset val="186"/>
          </rPr>
          <t>Klaipėdos miesto ekonominės plėtros strategija ir įgyvendinimo veiksmų planas iki 2030 metų (P6)
P6 3.1.13.</t>
        </r>
        <r>
          <rPr>
            <sz val="9"/>
            <color indexed="81"/>
            <rFont val="Tahoma"/>
            <family val="2"/>
            <charset val="186"/>
          </rPr>
          <t xml:space="preserve"> Vystyti viešųjų erdvių gerinimo programas ir lokalius urbanistinės struktūros atgaivinimo projektus  </t>
        </r>
      </text>
    </comment>
    <comment ref="E57" authorId="4" shapeId="0">
      <text>
        <r>
          <rPr>
            <sz val="9"/>
            <color indexed="81"/>
            <rFont val="Tahoma"/>
            <family val="2"/>
            <charset val="186"/>
          </rPr>
          <t>P-3.2.2.; 3.2.2.5.</t>
        </r>
      </text>
    </comment>
    <comment ref="E59" authorId="1" shapeId="0">
      <text>
        <r>
          <rPr>
            <b/>
            <sz val="9"/>
            <color indexed="81"/>
            <rFont val="Tahoma"/>
            <family val="2"/>
            <charset val="186"/>
          </rPr>
          <t xml:space="preserve">P6 3.1.13 </t>
        </r>
        <r>
          <rPr>
            <sz val="9"/>
            <color indexed="81"/>
            <rFont val="Tahoma"/>
            <family val="2"/>
            <charset val="186"/>
          </rPr>
          <t>priemonė, Vystyti viešųjų erdvių pietinėje ir šiaurinėje erdvėje atgaivinimo projektus</t>
        </r>
      </text>
    </comment>
    <comment ref="E61" authorId="0" shapeId="0">
      <text>
        <r>
          <rPr>
            <sz val="9"/>
            <color indexed="81"/>
            <rFont val="Tahoma"/>
            <family val="2"/>
            <charset val="186"/>
          </rPr>
          <t>P-3.2.2.5.</t>
        </r>
      </text>
    </comment>
    <comment ref="E62" authorId="1" shapeId="0">
      <text>
        <r>
          <rPr>
            <b/>
            <sz val="9"/>
            <color indexed="81"/>
            <rFont val="Tahoma"/>
            <family val="2"/>
            <charset val="186"/>
          </rPr>
          <t xml:space="preserve">P6 3.1.13 </t>
        </r>
        <r>
          <rPr>
            <sz val="9"/>
            <color indexed="81"/>
            <rFont val="Tahoma"/>
            <family val="2"/>
            <charset val="186"/>
          </rPr>
          <t>priemonė, Vystyti viešųjų erdvių pietinėje ir šiaurinėje erdvėje atgaivinimo projektus</t>
        </r>
      </text>
    </comment>
    <comment ref="E64" authorId="1"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J64" authorId="2" shapeId="0">
      <text>
        <r>
          <rPr>
            <sz val="9"/>
            <color indexed="81"/>
            <rFont val="Tahoma"/>
            <family val="2"/>
            <charset val="186"/>
          </rPr>
          <t xml:space="preserve">11 215 m²
I, II, IV etapai
</t>
        </r>
      </text>
    </comment>
    <comment ref="E65" authorId="4" shapeId="0">
      <text>
        <r>
          <rPr>
            <sz val="9"/>
            <color indexed="81"/>
            <rFont val="Tahoma"/>
            <family val="2"/>
            <charset val="186"/>
          </rPr>
          <t>P-3.2.2.; 3.2.2.5.</t>
        </r>
      </text>
    </comment>
    <comment ref="J68" authorId="2" shapeId="0">
      <text>
        <r>
          <rPr>
            <sz val="9"/>
            <color indexed="81"/>
            <rFont val="Tahoma"/>
            <family val="2"/>
            <charset val="186"/>
          </rPr>
          <t xml:space="preserve">11 215 m²
I, II, IV etapai
</t>
        </r>
      </text>
    </comment>
    <comment ref="E69" authorId="4" shapeId="0">
      <text>
        <r>
          <rPr>
            <sz val="9"/>
            <color indexed="81"/>
            <rFont val="Tahoma"/>
            <family val="2"/>
            <charset val="186"/>
          </rPr>
          <t>P-3.2.2.; 3.2.2.5.</t>
        </r>
      </text>
    </comment>
    <comment ref="E71" authorId="1" shapeId="0">
      <text>
        <r>
          <rPr>
            <b/>
            <sz val="9"/>
            <color indexed="81"/>
            <rFont val="Tahoma"/>
            <family val="2"/>
            <charset val="186"/>
          </rPr>
          <t>2.4.1.1.</t>
        </r>
        <r>
          <rPr>
            <sz val="9"/>
            <color indexed="81"/>
            <rFont val="Tahoma"/>
            <family val="2"/>
            <charset val="186"/>
          </rPr>
          <t xml:space="preserve">
Centrinės miesto dalies zonose prie vandens (jūros, marių, Danės upės) teikti pirmenybę daugiafunkcės paskirties teritorijų vystymui</t>
        </r>
      </text>
    </comment>
    <comment ref="E72" authorId="2" shapeId="0">
      <text>
        <r>
          <rPr>
            <sz val="9"/>
            <color indexed="81"/>
            <rFont val="Tahoma"/>
            <family val="2"/>
            <charset val="186"/>
          </rPr>
          <t xml:space="preserve">P-3.2.1.2.
</t>
        </r>
      </text>
    </comment>
    <comment ref="J72" authorId="2" shapeId="0">
      <text>
        <r>
          <rPr>
            <sz val="9"/>
            <color indexed="81"/>
            <rFont val="Tahoma"/>
            <family val="2"/>
            <charset val="186"/>
          </rPr>
          <t xml:space="preserve">2024 m. - 2025 m. viešosios infrastruktūros TP rengimas
</t>
        </r>
      </text>
    </comment>
    <comment ref="K77" authorId="2" shapeId="0">
      <text>
        <r>
          <rPr>
            <sz val="9"/>
            <color indexed="81"/>
            <rFont val="Tahoma"/>
            <family val="2"/>
            <charset val="186"/>
          </rPr>
          <t xml:space="preserve">2022 m. bus įrengtas Dangės skvero fontanas
</t>
        </r>
      </text>
    </comment>
    <comment ref="K78" authorId="5" shapeId="0">
      <text>
        <r>
          <rPr>
            <sz val="9"/>
            <color indexed="81"/>
            <rFont val="Tahoma"/>
            <family val="2"/>
            <charset val="186"/>
          </rPr>
          <t>Tikslinama techninė klaida: Poilsio parkas - 3 vnt.
Ąžuolyno giraitė - 2 vnt., Ferdinando skveras 1. Papildomai 2022 m. 05 mėn. pradėtas eksplotuoti 12 vnt geruvių Danės skvere</t>
        </r>
      </text>
    </comment>
    <comment ref="K79" authorId="5" shapeId="0">
      <text>
        <r>
          <rPr>
            <sz val="9"/>
            <color indexed="81"/>
            <rFont val="Tahoma"/>
            <family val="2"/>
            <charset val="186"/>
          </rPr>
          <t>Teatro a., šalia burlaivio Meridianas, Lietuvininkų a.</t>
        </r>
      </text>
    </comment>
    <comment ref="E95" authorId="4" shapeId="0">
      <text>
        <r>
          <rPr>
            <sz val="9"/>
            <color indexed="81"/>
            <rFont val="Tahoma"/>
            <family val="2"/>
            <charset val="186"/>
          </rPr>
          <t>P-2.4.3.5.</t>
        </r>
      </text>
    </comment>
    <comment ref="K95" authorId="6" shapeId="0">
      <text>
        <r>
          <rPr>
            <sz val="9"/>
            <color indexed="81"/>
            <rFont val="Tahoma"/>
            <family val="2"/>
            <charset val="186"/>
          </rPr>
          <t xml:space="preserve">4 jau eksploatuojamos, 6 bus perimtos iš projektų skyriaus, pabaigus projektus. </t>
        </r>
      </text>
    </comment>
    <comment ref="E98" authorId="3" shapeId="0">
      <text>
        <r>
          <rPr>
            <b/>
            <sz val="9"/>
            <color indexed="81"/>
            <rFont val="Tahoma"/>
            <family val="2"/>
            <charset val="186"/>
          </rPr>
          <t>KEPS2030  4.5.1.</t>
        </r>
        <r>
          <rPr>
            <sz val="9"/>
            <color indexed="81"/>
            <rFont val="Tahoma"/>
            <family val="2"/>
            <charset val="186"/>
          </rPr>
          <t xml:space="preserve"> Išvalyti Danės upę, pastatyti ir išplėtoti mažus uostelius.</t>
        </r>
      </text>
    </comment>
    <comment ref="E99" authorId="1" shapeId="0">
      <text>
        <r>
          <rPr>
            <sz val="9"/>
            <color indexed="81"/>
            <rFont val="Tahoma"/>
            <family val="2"/>
            <charset val="186"/>
          </rPr>
          <t>P-1.2.3.1</t>
        </r>
      </text>
    </comment>
    <comment ref="J102" authorId="1" shapeId="0">
      <text>
        <r>
          <rPr>
            <sz val="9"/>
            <color indexed="81"/>
            <rFont val="Tahoma"/>
            <family val="2"/>
            <charset val="186"/>
          </rPr>
          <t>Planuojama vieta – ant naujojo Klaipėdos baseino rytinės sienos (Taikos pr.).</t>
        </r>
      </text>
    </comment>
    <comment ref="E104" authorId="2" shapeId="0">
      <text>
        <r>
          <rPr>
            <b/>
            <sz val="9"/>
            <color indexed="81"/>
            <rFont val="Tahoma"/>
            <family val="2"/>
            <charset val="186"/>
          </rPr>
          <t>P1, 3.2.1.</t>
        </r>
        <r>
          <rPr>
            <sz val="9"/>
            <color indexed="81"/>
            <rFont val="Tahoma"/>
            <family val="2"/>
            <charset val="186"/>
          </rPr>
          <t xml:space="preserve"> Patvirtinta dalyvaujamojo biudžeto koncepcija ir metodika
</t>
        </r>
      </text>
    </comment>
    <comment ref="K105" authorId="4" shapeId="0">
      <text>
        <r>
          <rPr>
            <sz val="9"/>
            <color indexed="81"/>
            <rFont val="Tahoma"/>
            <family val="2"/>
            <charset val="186"/>
          </rPr>
          <t>1. Vaikų žaidimo aikštelė Tauralaukyje 
2. Vaikų žaidimo aikštelė  Simonaitytėje
2021-09-13 direktoriaus įsakymas Nr. AD1-1060</t>
        </r>
      </text>
    </comment>
    <comment ref="E106" authorId="2" shapeId="0">
      <text>
        <r>
          <rPr>
            <sz val="9"/>
            <color indexed="81"/>
            <rFont val="Tahoma"/>
            <family val="2"/>
            <charset val="186"/>
          </rPr>
          <t>P-2.6.4.3.</t>
        </r>
      </text>
    </comment>
    <comment ref="L106" authorId="2" shapeId="0">
      <text>
        <r>
          <rPr>
            <sz val="9"/>
            <color indexed="81"/>
            <rFont val="Tahoma"/>
            <family val="2"/>
            <charset val="186"/>
          </rPr>
          <t xml:space="preserve">Mitologinės ir poilsinės žaismų erdvės "Baltų saulės parkas" pagal gyventojų iniciatyvą techninio darbo projekto parengimas
</t>
        </r>
      </text>
    </comment>
    <comment ref="L107" authorId="2" shapeId="0">
      <text>
        <r>
          <rPr>
            <sz val="9"/>
            <color indexed="81"/>
            <rFont val="Tahoma"/>
            <family val="2"/>
            <charset val="186"/>
          </rPr>
          <t>Mitologinės ir poilsinės žaismų erdvės "Baltų saulės parkas" pagal gyventojų iniciatyvą įrengimas</t>
        </r>
      </text>
    </comment>
    <comment ref="E109" authorId="4" shapeId="0">
      <text>
        <r>
          <rPr>
            <sz val="9"/>
            <color indexed="81"/>
            <rFont val="Tahoma"/>
            <family val="2"/>
            <charset val="186"/>
          </rPr>
          <t>P-1.2.1.5.</t>
        </r>
      </text>
    </comment>
    <comment ref="E111" authorId="4" shapeId="0">
      <text>
        <r>
          <rPr>
            <sz val="9"/>
            <color indexed="81"/>
            <rFont val="Tahoma"/>
            <family val="2"/>
            <charset val="186"/>
          </rPr>
          <t>P-1.2.1.5.</t>
        </r>
      </text>
    </comment>
    <comment ref="E112" authorId="3" shapeId="0">
      <text>
        <r>
          <rPr>
            <b/>
            <sz val="9"/>
            <color indexed="81"/>
            <rFont val="Tahoma"/>
            <family val="2"/>
            <charset val="186"/>
          </rPr>
          <t>KEPS 4.5.1.</t>
        </r>
        <r>
          <rPr>
            <sz val="9"/>
            <color indexed="81"/>
            <rFont val="Tahoma"/>
            <family val="2"/>
            <charset val="186"/>
          </rPr>
          <t xml:space="preserve"> Išvalyti Danės upę, pastatyti ir išplėtoti mažus uostelius.</t>
        </r>
      </text>
    </comment>
    <comment ref="K115" authorId="2" shapeId="0">
      <text>
        <r>
          <rPr>
            <sz val="9"/>
            <color indexed="81"/>
            <rFont val="Tahoma"/>
            <family val="2"/>
            <charset val="186"/>
          </rPr>
          <t xml:space="preserve">Pirmas tyrimas numatytas apie gegužės 6 d., tačiau  manoma, kad taip anksti sezonas neprasidės, todėl vieno tyrimo atsisakyta.
</t>
        </r>
      </text>
    </comment>
    <comment ref="L118" authorId="2" shapeId="0">
      <text>
        <r>
          <rPr>
            <sz val="9"/>
            <color indexed="81"/>
            <rFont val="Tahoma"/>
            <family val="2"/>
            <charset val="186"/>
          </rPr>
          <t xml:space="preserve">1. Vandens motociklas 
</t>
        </r>
      </text>
    </comment>
    <comment ref="M118" authorId="2" shapeId="0">
      <text>
        <r>
          <rPr>
            <sz val="9"/>
            <color indexed="81"/>
            <rFont val="Tahoma"/>
            <family val="2"/>
            <charset val="186"/>
          </rPr>
          <t xml:space="preserve">1. Keturratis 
</t>
        </r>
      </text>
    </comment>
    <comment ref="K120" authorId="4" shapeId="0">
      <text>
        <r>
          <rPr>
            <sz val="9"/>
            <color indexed="81"/>
            <rFont val="Tahoma"/>
            <family val="2"/>
            <charset val="186"/>
          </rPr>
          <t>1.Smiltynės 15 C - balkono ir laiptinės remontas
2. Garažų 6 - šildymo sistemos keitimas</t>
        </r>
        <r>
          <rPr>
            <b/>
            <sz val="9"/>
            <color indexed="81"/>
            <rFont val="Tahoma"/>
            <family val="2"/>
            <charset val="186"/>
          </rPr>
          <t xml:space="preserve">
</t>
        </r>
      </text>
    </comment>
    <comment ref="E122" authorId="1" shapeId="0">
      <text>
        <r>
          <rPr>
            <b/>
            <sz val="9"/>
            <color indexed="81"/>
            <rFont val="Tahoma"/>
            <family val="2"/>
            <charset val="186"/>
          </rPr>
          <t xml:space="preserve">P1, </t>
        </r>
        <r>
          <rPr>
            <sz val="9"/>
            <color indexed="81"/>
            <rFont val="Tahoma"/>
            <family val="2"/>
            <charset val="186"/>
          </rPr>
          <t>2.3. Municipalinio (vidaus vandenų) uosto atkūrimas Klaipėdoje</t>
        </r>
      </text>
    </comment>
    <comment ref="E123" authorId="3" shapeId="0">
      <text>
        <r>
          <rPr>
            <b/>
            <sz val="9"/>
            <color indexed="81"/>
            <rFont val="Tahoma"/>
            <family val="2"/>
            <charset val="186"/>
          </rPr>
          <t>KEPS 4.5.1.</t>
        </r>
        <r>
          <rPr>
            <sz val="9"/>
            <color indexed="81"/>
            <rFont val="Tahoma"/>
            <family val="2"/>
            <charset val="186"/>
          </rPr>
          <t xml:space="preserve"> Išvalyti Danės upę, pastatyti ir išplėtoti mažus uostelius.</t>
        </r>
      </text>
    </comment>
    <comment ref="E125" authorId="1" shapeId="0">
      <text>
        <r>
          <rPr>
            <sz val="9"/>
            <color indexed="81"/>
            <rFont val="Tahoma"/>
            <family val="2"/>
            <charset val="186"/>
          </rPr>
          <t>P-1.2.3.1</t>
        </r>
      </text>
    </comment>
    <comment ref="J126" authorId="1" shapeId="0">
      <text>
        <r>
          <rPr>
            <sz val="9"/>
            <color indexed="81"/>
            <rFont val="Tahoma"/>
            <family val="2"/>
            <charset val="186"/>
          </rPr>
          <t>Viešieji tualetai: Stovyklų g. 4 –21,79 m2; Kopų g. 1A (I Melnragė) – 87,25 m2;</t>
        </r>
      </text>
    </comment>
    <comment ref="E131" authorId="1" shapeId="0">
      <text>
        <r>
          <rPr>
            <sz val="9"/>
            <color indexed="81"/>
            <rFont val="Tahoma"/>
            <family val="2"/>
            <charset val="186"/>
          </rPr>
          <t xml:space="preserve">P-1.2.1.1., 1.2.1.2., 1.2.1.5.
</t>
        </r>
      </text>
    </comment>
    <comment ref="K131" authorId="5" shapeId="0">
      <text>
        <r>
          <rPr>
            <sz val="9"/>
            <color indexed="81"/>
            <rFont val="Tahoma"/>
            <family val="2"/>
            <charset val="186"/>
          </rPr>
          <t xml:space="preserve">
1. Grežinio projektavimo ir įrengimo adresu Smiltynės g. 33, 
2. Elektros tinklų įrengimas; 
3. Konteinerionio tualeto pastatymo Smiltynės g. 30; 
4. Konteinerinio tualeto pastatymas Smiltynės g. 31;      </t>
        </r>
        <r>
          <rPr>
            <b/>
            <i/>
            <sz val="9"/>
            <color indexed="81"/>
            <rFont val="Tahoma"/>
            <family val="2"/>
            <charset val="186"/>
          </rPr>
          <t xml:space="preserve">                   </t>
        </r>
      </text>
    </comment>
    <comment ref="L131" authorId="4" shapeId="0">
      <text>
        <r>
          <rPr>
            <sz val="9"/>
            <color indexed="81"/>
            <rFont val="Tahoma"/>
            <family val="2"/>
            <charset val="186"/>
          </rPr>
          <t>1. Gręžinio projektavimas ir įrengimas Smiltynės g. 14A, 
2. konteinerinio tualeto elektros tinklų projektavimas Smiltynės g. 14A; 3. Konteinerinio tualeto elektros tinklų projektavimas Smiltynės g. 14B; 4. Konteinerinio tualeto elektros tinklų projektavimas Smiltynės g. 14C. 
5. Konteinerinio WC pastatymas -Smiltynės g. 14A
6. Konteinerinio WC pastatymas -Smiltynės g.  14B
7. Konteinerinio WC pastatymas -Smiltynės g. 14C</t>
        </r>
      </text>
    </comment>
    <comment ref="E134" authorId="1" shapeId="0">
      <text>
        <r>
          <rPr>
            <sz val="9"/>
            <color indexed="81"/>
            <rFont val="Tahoma"/>
            <family val="2"/>
            <charset val="186"/>
          </rPr>
          <t xml:space="preserve">P-1.2.1.1., 1.2.1.2., 1.2.1.5.
</t>
        </r>
      </text>
    </comment>
    <comment ref="E136" authorId="1" shapeId="0">
      <text>
        <r>
          <rPr>
            <sz val="9"/>
            <color indexed="81"/>
            <rFont val="Tahoma"/>
            <family val="2"/>
            <charset val="186"/>
          </rPr>
          <t xml:space="preserve">P-1.2.1.1., 1.2.1.2., 1.2.1.5.
</t>
        </r>
      </text>
    </comment>
    <comment ref="J149" authorId="2" shapeId="0">
      <text>
        <r>
          <rPr>
            <sz val="9"/>
            <color indexed="81"/>
            <rFont val="Tahoma"/>
            <family val="2"/>
            <charset val="186"/>
          </rPr>
          <t xml:space="preserve">2020 m. techninis projektas
</t>
        </r>
      </text>
    </comment>
    <comment ref="E165" authorId="4" shapeId="0">
      <text>
        <r>
          <rPr>
            <sz val="9"/>
            <color indexed="81"/>
            <rFont val="Tahoma"/>
            <family val="2"/>
            <charset val="186"/>
          </rPr>
          <t>P-3.3.2.4.</t>
        </r>
      </text>
    </comment>
    <comment ref="E167" authorId="4" shapeId="0">
      <text>
        <r>
          <rPr>
            <sz val="9"/>
            <color indexed="81"/>
            <rFont val="Tahoma"/>
            <family val="2"/>
            <charset val="186"/>
          </rPr>
          <t>P-3.3.2.4.</t>
        </r>
      </text>
    </comment>
    <comment ref="E171" authorId="4" shapeId="0">
      <text>
        <r>
          <rPr>
            <sz val="9"/>
            <color indexed="81"/>
            <rFont val="Tahoma"/>
            <family val="2"/>
            <charset val="186"/>
          </rPr>
          <t>P-3.3.2.4.</t>
        </r>
      </text>
    </comment>
    <comment ref="K172" authorId="2" shapeId="0">
      <text>
        <r>
          <rPr>
            <sz val="9"/>
            <color indexed="81"/>
            <rFont val="Tahoma"/>
            <family val="2"/>
            <charset val="186"/>
          </rPr>
          <t>2022 m.
1. Takai nuo I. Simonaitytės g. 6 iki 22 (500 m)
2. Takas nuo Markučių g. 5 iki Vingio g. (220 m)
3. Takas nuo Paryžiaus Komunos g. 27 iki Šilutės pl. 2A (150 m)
4. Takas nuo Baltijos pr.45 palei Baltijos gimnazija (230 m)
5. Takas nuo Simonaitytės kalno iki Aukuro gimnazijos (250 m)
6. Laistų 1-oji, 2-oji, 3-oji g. (1200 m)
7. Smilgų g. (150 m)
8. Smilčių g. (250 m)
9. Arimų g. (750 m)
Taip pat projektų ekspertizės (3000 Eur)</t>
        </r>
      </text>
    </comment>
    <comment ref="E179" authorId="4" shapeId="0">
      <text>
        <r>
          <rPr>
            <sz val="9"/>
            <color indexed="81"/>
            <rFont val="Tahoma"/>
            <family val="2"/>
            <charset val="186"/>
          </rPr>
          <t>P-3.3.2.4.</t>
        </r>
      </text>
    </comment>
    <comment ref="E181" authorId="4" shapeId="0">
      <text>
        <r>
          <rPr>
            <sz val="9"/>
            <color indexed="81"/>
            <rFont val="Tahoma"/>
            <family val="2"/>
            <charset val="186"/>
          </rPr>
          <t>P-3.3.2.4.</t>
        </r>
      </text>
    </comment>
    <comment ref="E200" authorId="4" shapeId="0">
      <text>
        <r>
          <rPr>
            <sz val="9"/>
            <color indexed="81"/>
            <rFont val="Tahoma"/>
            <family val="2"/>
            <charset val="186"/>
          </rPr>
          <t>P-3.2.2.6.</t>
        </r>
      </text>
    </comment>
    <comment ref="E213" authorId="4" shapeId="0">
      <text>
        <r>
          <rPr>
            <sz val="9"/>
            <color indexed="81"/>
            <rFont val="Tahoma"/>
            <family val="2"/>
            <charset val="186"/>
          </rPr>
          <t>P-3.2.2.6.</t>
        </r>
      </text>
    </comment>
    <comment ref="E227" authorId="4" shapeId="0">
      <text>
        <r>
          <rPr>
            <sz val="9"/>
            <color indexed="81"/>
            <rFont val="Tahoma"/>
            <family val="2"/>
            <charset val="186"/>
          </rPr>
          <t>P-3.2.2.1.; 3.3.2.4.</t>
        </r>
      </text>
    </comment>
    <comment ref="E228" authorId="1" shapeId="0">
      <text>
        <r>
          <rPr>
            <b/>
            <sz val="9"/>
            <color indexed="81"/>
            <rFont val="Tahoma"/>
            <family val="2"/>
            <charset val="186"/>
          </rPr>
          <t>P1, 3.4.</t>
        </r>
        <r>
          <rPr>
            <sz val="9"/>
            <color indexed="81"/>
            <rFont val="Tahoma"/>
            <family val="2"/>
            <charset val="186"/>
          </rPr>
          <t xml:space="preserve"> Daugiabučių namų kvartalinės renovacijos skatinimas</t>
        </r>
      </text>
    </comment>
    <comment ref="J231" authorId="2" shapeId="0">
      <text>
        <r>
          <rPr>
            <sz val="9"/>
            <color indexed="81"/>
            <rFont val="Tahoma"/>
            <family val="2"/>
            <charset val="186"/>
          </rPr>
          <t>(146 000 m²)</t>
        </r>
        <r>
          <rPr>
            <sz val="9"/>
            <color indexed="81"/>
            <rFont val="Tahoma"/>
            <family val="2"/>
            <charset val="186"/>
          </rPr>
          <t xml:space="preserve">
</t>
        </r>
      </text>
    </comment>
    <comment ref="K231" authorId="2" shapeId="0">
      <text>
        <r>
          <rPr>
            <sz val="9"/>
            <color indexed="81"/>
            <rFont val="Tahoma"/>
            <family val="2"/>
            <charset val="186"/>
          </rPr>
          <t xml:space="preserve">Sudarius Taikos sutartį su asociacija „Klaipėdos žalieji“, atsirado papildomi sprendiniai ir poreikis atlikti projekto korekcijas. Taip pat remiantis III teritorijos pakeitimais 6 mėn. pratęstas rangos sutarties terminas su rangovu UAB „VVARFF“. Projekto „Kompleksinis tikslinės teritorijos daugiabučių kiemų tvarkymas“ rangos darbų pabaiga numatyta 2022-08-28. 
</t>
        </r>
      </text>
    </comment>
    <comment ref="E232" authorId="0" shapeId="0">
      <text>
        <r>
          <rPr>
            <sz val="9"/>
            <color indexed="81"/>
            <rFont val="Tahoma"/>
            <family val="2"/>
            <charset val="186"/>
          </rPr>
          <t>P-3.2.2.1.</t>
        </r>
      </text>
    </comment>
    <comment ref="J232" authorId="2" shapeId="0">
      <text>
        <r>
          <rPr>
            <sz val="9"/>
            <color indexed="81"/>
            <rFont val="Tahoma"/>
            <family val="2"/>
            <charset val="186"/>
          </rPr>
          <t>Rumpiškės g. 18-22</t>
        </r>
      </text>
    </comment>
    <comment ref="E233" authorId="1" shapeId="0">
      <text>
        <r>
          <rPr>
            <b/>
            <sz val="9"/>
            <color indexed="81"/>
            <rFont val="Tahoma"/>
            <family val="2"/>
            <charset val="186"/>
          </rPr>
          <t>P1, 3.4.</t>
        </r>
        <r>
          <rPr>
            <sz val="9"/>
            <color indexed="81"/>
            <rFont val="Tahoma"/>
            <family val="2"/>
            <charset val="186"/>
          </rPr>
          <t xml:space="preserve"> Daugiabučių namų kvartalinės renovacijos skatinimas;</t>
        </r>
      </text>
    </comment>
    <comment ref="E239" authorId="4" shapeId="0">
      <text>
        <r>
          <rPr>
            <sz val="9"/>
            <color indexed="81"/>
            <rFont val="Tahoma"/>
            <family val="2"/>
            <charset val="186"/>
          </rPr>
          <t>P-2.4.2.; 3.2.2.5.</t>
        </r>
      </text>
    </comment>
    <comment ref="E246" authorId="4" shapeId="0">
      <text>
        <r>
          <rPr>
            <sz val="9"/>
            <color indexed="81"/>
            <rFont val="Tahoma"/>
            <family val="2"/>
            <charset val="186"/>
          </rPr>
          <t>P-2.4.3.5.</t>
        </r>
      </text>
    </comment>
    <comment ref="K266" authorId="2" shapeId="0">
      <text>
        <r>
          <rPr>
            <sz val="9"/>
            <color indexed="81"/>
            <rFont val="Tahoma"/>
            <family val="2"/>
            <charset val="186"/>
          </rPr>
          <t xml:space="preserve">KLASCO kolektoriaus rekonstrukcija ir naujų tinklų tiesimas - tai didelio diametro vamzdžiai ir sudėtinga rekonstrukcija, todėl suma didelė, o metražas trumpas (285 m);
Renetų g. - 230 m. 
</t>
        </r>
      </text>
    </comment>
    <comment ref="E267" authorId="2" shapeId="0">
      <text>
        <r>
          <rPr>
            <sz val="9"/>
            <color indexed="81"/>
            <rFont val="Tahoma"/>
            <family val="2"/>
            <charset val="186"/>
          </rPr>
          <t>P-3.3.3.4.</t>
        </r>
      </text>
    </comment>
    <comment ref="E269" authorId="2" shapeId="0">
      <text>
        <r>
          <rPr>
            <sz val="9"/>
            <color indexed="81"/>
            <rFont val="Tahoma"/>
            <family val="2"/>
            <charset val="186"/>
          </rPr>
          <t>P-3.2.2.7</t>
        </r>
      </text>
    </comment>
    <comment ref="E270" authorId="0" shapeId="0">
      <text>
        <r>
          <rPr>
            <sz val="9"/>
            <color indexed="81"/>
            <rFont val="Tahoma"/>
            <family val="2"/>
            <charset val="186"/>
          </rPr>
          <t>P-3.2.1.4.</t>
        </r>
      </text>
    </comment>
  </commentList>
</comments>
</file>

<file path=xl/comments2.xml><?xml version="1.0" encoding="utf-8"?>
<comments xmlns="http://schemas.openxmlformats.org/spreadsheetml/2006/main">
  <authors>
    <author>Rima Alisauskaite</author>
    <author>Audra Cepiene</author>
    <author>Inga Mikalauskienė</author>
    <author>Indrė Butenienė</author>
    <author>Saulina Paulauskiene</author>
    <author>Rita Mikluševičiūtė</author>
    <author>Buhalterija</author>
    <author>Gintare Kareiviene</author>
    <author>Snieguole Kacerauskaite</author>
  </authors>
  <commentList>
    <comment ref="E27" authorId="0" shapeId="0">
      <text>
        <r>
          <rPr>
            <sz val="9"/>
            <color indexed="81"/>
            <rFont val="Tahoma"/>
            <family val="2"/>
            <charset val="186"/>
          </rPr>
          <t>P-3.1.1.4.</t>
        </r>
      </text>
    </comment>
    <comment ref="E28" authorId="1" shapeId="0">
      <text>
        <r>
          <rPr>
            <b/>
            <sz val="9"/>
            <color indexed="81"/>
            <rFont val="Tahoma"/>
            <family val="2"/>
            <charset val="186"/>
          </rPr>
          <t>Klaipėdos miesto savivaldybės 2019–2023 m. veiklos prioritetai (P1)
P1, 3.3.</t>
        </r>
        <r>
          <rPr>
            <sz val="9"/>
            <color indexed="81"/>
            <rFont val="Tahoma"/>
            <family val="2"/>
            <charset val="186"/>
          </rPr>
          <t xml:space="preserve"> Klaipėdos miesto integruotos teritorijų programos įgyvendinimas
</t>
        </r>
        <r>
          <rPr>
            <b/>
            <sz val="9"/>
            <color indexed="81"/>
            <rFont val="Tahoma"/>
            <family val="2"/>
            <charset val="186"/>
          </rPr>
          <t xml:space="preserve">P1, 3.5. </t>
        </r>
        <r>
          <rPr>
            <sz val="9"/>
            <color indexed="81"/>
            <rFont val="Tahoma"/>
            <family val="2"/>
            <charset val="186"/>
          </rPr>
          <t>Viešųjų erdvių ir pastatų pritaikymas pagal universalaus dizaino principus</t>
        </r>
      </text>
    </comment>
    <comment ref="N29" authorId="2" shapeId="0">
      <text>
        <r>
          <rPr>
            <sz val="9"/>
            <color indexed="81"/>
            <rFont val="Tahoma"/>
            <family val="2"/>
            <charset val="186"/>
          </rPr>
          <t xml:space="preserve">II etapas
</t>
        </r>
      </text>
    </comment>
    <comment ref="E30" authorId="3" shapeId="0">
      <text>
        <r>
          <rPr>
            <b/>
            <sz val="9"/>
            <color indexed="81"/>
            <rFont val="Tahoma"/>
            <family val="2"/>
            <charset val="186"/>
          </rPr>
          <t>Klaipėdos miesto ekonominės plėtros strategija ir įgyvendinimo veiksmų planas iki 2030 metų (P6)
P6 3.1.13.</t>
        </r>
        <r>
          <rPr>
            <sz val="9"/>
            <color indexed="81"/>
            <rFont val="Tahoma"/>
            <family val="2"/>
            <charset val="186"/>
          </rPr>
          <t xml:space="preserve"> Vystyti viešųjų erdvių gerinimo programas ir lokalius urbanistinės struktūros atgaivinimo projektus  </t>
        </r>
      </text>
    </comment>
    <comment ref="E32" authorId="0" shapeId="0">
      <text>
        <r>
          <rPr>
            <sz val="9"/>
            <color indexed="81"/>
            <rFont val="Tahoma"/>
            <family val="2"/>
            <charset val="186"/>
          </rPr>
          <t>P-3.2.1.1.</t>
        </r>
      </text>
    </comment>
    <comment ref="E33" authorId="1" shapeId="0">
      <text>
        <r>
          <rPr>
            <b/>
            <sz val="9"/>
            <color indexed="81"/>
            <rFont val="Tahoma"/>
            <family val="2"/>
            <charset val="186"/>
          </rPr>
          <t>Klaipėdos miesto savivaldybės 2019–2023 m. veiklos prioritetai (P1)
P1, 3.3.</t>
        </r>
        <r>
          <rPr>
            <sz val="9"/>
            <color indexed="81"/>
            <rFont val="Tahoma"/>
            <family val="2"/>
            <charset val="186"/>
          </rPr>
          <t xml:space="preserve"> Klaipėdos miesto integruotos teritorijų programos įgyvendinimas
</t>
        </r>
        <r>
          <rPr>
            <b/>
            <sz val="9"/>
            <color indexed="81"/>
            <rFont val="Tahoma"/>
            <family val="2"/>
            <charset val="186"/>
          </rPr>
          <t xml:space="preserve">P1, 3.5. </t>
        </r>
        <r>
          <rPr>
            <sz val="9"/>
            <color indexed="81"/>
            <rFont val="Tahoma"/>
            <family val="2"/>
            <charset val="186"/>
          </rPr>
          <t>Viešųjų erdvių ir pastatų pritaikymas pagal universalaus dizaino principus</t>
        </r>
      </text>
    </comment>
    <comment ref="E34" authorId="1" shapeId="0">
      <text>
        <r>
          <rPr>
            <b/>
            <sz val="9"/>
            <color indexed="81"/>
            <rFont val="Tahoma"/>
            <family val="2"/>
            <charset val="186"/>
          </rPr>
          <t>KEPS 2030 metų (P6)</t>
        </r>
        <r>
          <rPr>
            <sz val="9"/>
            <color indexed="81"/>
            <rFont val="Tahoma"/>
            <family val="2"/>
            <charset val="186"/>
          </rPr>
          <t xml:space="preserve">
P6 3.1.13. Vystyti viešųjų erdvių gerinimo programas ir lokalius urbanistinės struktūros atgaivinimo projektus  </t>
        </r>
      </text>
    </comment>
    <comment ref="E37" authorId="1" shapeId="0">
      <text>
        <r>
          <rPr>
            <b/>
            <sz val="9"/>
            <color indexed="81"/>
            <rFont val="Tahoma"/>
            <family val="2"/>
            <charset val="186"/>
          </rPr>
          <t>KSP, 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
</t>
        </r>
      </text>
    </comment>
    <comment ref="N37" authorId="2" shapeId="0">
      <text>
        <r>
          <rPr>
            <sz val="9"/>
            <color indexed="81"/>
            <rFont val="Tahoma"/>
            <family val="2"/>
            <charset val="186"/>
          </rPr>
          <t>Draudiminis įvykis,  šiuo metu perkami tvorelės atstatymo darbai, atsiskaitymas numatytas 2022 m. Patirtas išlaidas vėliau padengs draudimo bendrovė.</t>
        </r>
        <r>
          <rPr>
            <sz val="9"/>
            <color indexed="81"/>
            <rFont val="Tahoma"/>
            <family val="2"/>
            <charset val="186"/>
          </rPr>
          <t xml:space="preserve">
</t>
        </r>
      </text>
    </comment>
    <comment ref="E38" authorId="1" shapeId="0">
      <text>
        <r>
          <rPr>
            <b/>
            <sz val="9"/>
            <color indexed="81"/>
            <rFont val="Tahoma"/>
            <family val="2"/>
            <charset val="186"/>
          </rPr>
          <t xml:space="preserve">KEPS2030 3.1.5. </t>
        </r>
        <r>
          <rPr>
            <sz val="9"/>
            <color indexed="81"/>
            <rFont val="Tahoma"/>
            <family val="2"/>
            <charset val="186"/>
          </rPr>
          <t xml:space="preserve">"Intensyvinti linijinį centrą Taikos pr. ašyje" 
</t>
        </r>
      </text>
    </comment>
    <comment ref="E40" authorId="1" shapeId="0">
      <text>
        <r>
          <rPr>
            <sz val="9"/>
            <color indexed="81"/>
            <rFont val="Tahoma"/>
            <family val="2"/>
            <charset val="186"/>
          </rPr>
          <t xml:space="preserve">P-3.2.2.3.
</t>
        </r>
      </text>
    </comment>
    <comment ref="E41" authorId="1" shapeId="0">
      <text>
        <r>
          <rPr>
            <b/>
            <sz val="9"/>
            <color indexed="81"/>
            <rFont val="Tahoma"/>
            <family val="2"/>
            <charset val="186"/>
          </rPr>
          <t>P1,</t>
        </r>
        <r>
          <rPr>
            <sz val="9"/>
            <color indexed="81"/>
            <rFont val="Tahoma"/>
            <family val="2"/>
            <charset val="186"/>
          </rPr>
          <t xml:space="preserve"> </t>
        </r>
        <r>
          <rPr>
            <b/>
            <sz val="9"/>
            <color indexed="81"/>
            <rFont val="Tahoma"/>
            <family val="2"/>
            <charset val="186"/>
          </rPr>
          <t>4.1.5.</t>
        </r>
        <r>
          <rPr>
            <sz val="9"/>
            <color indexed="81"/>
            <rFont val="Tahoma"/>
            <family val="2"/>
            <charset val="186"/>
          </rPr>
          <t xml:space="preserve"> Sutvarkyta turgaus aikštė
</t>
        </r>
        <r>
          <rPr>
            <b/>
            <sz val="9"/>
            <color indexed="81"/>
            <rFont val="Tahoma"/>
            <family val="2"/>
            <charset val="186"/>
          </rPr>
          <t xml:space="preserve">
</t>
        </r>
      </text>
    </comment>
    <comment ref="N41" authorId="2" shapeId="0">
      <text>
        <r>
          <rPr>
            <sz val="9"/>
            <color indexed="81"/>
            <rFont val="Tahoma"/>
            <family val="2"/>
            <charset val="186"/>
          </rPr>
          <t xml:space="preserve">11 215 m²
I, II, IV etapai
</t>
        </r>
      </text>
    </comment>
    <comment ref="E42" authorId="1" shapeId="0">
      <text>
        <r>
          <rPr>
            <b/>
            <sz val="9"/>
            <color indexed="81"/>
            <rFont val="Tahoma"/>
            <family val="2"/>
            <charset val="186"/>
          </rPr>
          <t>KEPS  3.1.11.</t>
        </r>
        <r>
          <rPr>
            <sz val="9"/>
            <color indexed="81"/>
            <rFont val="Tahoma"/>
            <family val="2"/>
            <charset val="186"/>
          </rPr>
          <t xml:space="preserve"> Išvystyti senąją turgavietę</t>
        </r>
      </text>
    </comment>
    <comment ref="E45" authorId="1" shapeId="0">
      <text>
        <r>
          <rPr>
            <b/>
            <sz val="9"/>
            <color indexed="81"/>
            <rFont val="Tahoma"/>
            <family val="2"/>
            <charset val="186"/>
          </rPr>
          <t>KSP, 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
</t>
        </r>
      </text>
    </comment>
    <comment ref="N45" authorId="2" shapeId="0">
      <text>
        <r>
          <rPr>
            <sz val="9"/>
            <color indexed="81"/>
            <rFont val="Tahoma"/>
            <family val="2"/>
            <charset val="186"/>
          </rPr>
          <t xml:space="preserve">Perkeliama atsiskaitymui 2022 m. už atliktus drenažo darbus (papildomi darbai) pagal 2021-10-26 sut. Nr. J9-2730
</t>
        </r>
      </text>
    </comment>
    <comment ref="E46" authorId="1" shapeId="0">
      <text>
        <r>
          <rPr>
            <b/>
            <sz val="9"/>
            <color indexed="81"/>
            <rFont val="Tahoma"/>
            <family val="2"/>
            <charset val="186"/>
          </rPr>
          <t>Klaipėdos miesto savivaldybės 2019–2023 m. veiklos prioritetai (P1)
P1, 3.3.</t>
        </r>
        <r>
          <rPr>
            <sz val="9"/>
            <color indexed="81"/>
            <rFont val="Tahoma"/>
            <family val="2"/>
            <charset val="186"/>
          </rPr>
          <t xml:space="preserve"> Klaipėdos miesto integruotos teritorijų programos įgyvendinimas
</t>
        </r>
        <r>
          <rPr>
            <b/>
            <sz val="9"/>
            <color indexed="81"/>
            <rFont val="Tahoma"/>
            <family val="2"/>
            <charset val="186"/>
          </rPr>
          <t xml:space="preserve">P1, 3.5. </t>
        </r>
        <r>
          <rPr>
            <sz val="9"/>
            <color indexed="81"/>
            <rFont val="Tahoma"/>
            <family val="2"/>
            <charset val="186"/>
          </rPr>
          <t>Viešųjų erdvių ir pastatų pritaikymas pagal universalaus dizaino principus</t>
        </r>
      </text>
    </comment>
    <comment ref="E48" authorId="3" shapeId="0">
      <text>
        <r>
          <rPr>
            <b/>
            <sz val="9"/>
            <color indexed="81"/>
            <rFont val="Tahoma"/>
            <family val="2"/>
            <charset val="186"/>
          </rPr>
          <t>Klaipėdos miesto ekonominės plėtros strategija ir įgyvendinimo veiksmų planas iki 2030 metų (P6)
P6 3.1.13.</t>
        </r>
        <r>
          <rPr>
            <sz val="9"/>
            <color indexed="81"/>
            <rFont val="Tahoma"/>
            <family val="2"/>
            <charset val="186"/>
          </rPr>
          <t xml:space="preserve"> Vystyti viešųjų erdvių gerinimo programas ir lokalius urbanistinės struktūros atgaivinimo projektus  </t>
        </r>
      </text>
    </comment>
    <comment ref="E49" authorId="0" shapeId="0">
      <text>
        <r>
          <rPr>
            <sz val="9"/>
            <color indexed="81"/>
            <rFont val="Tahoma"/>
            <family val="2"/>
            <charset val="186"/>
          </rPr>
          <t>P-3.2.2.5.</t>
        </r>
      </text>
    </comment>
    <comment ref="N49" authorId="1" shapeId="0">
      <text>
        <r>
          <rPr>
            <sz val="9"/>
            <color indexed="81"/>
            <rFont val="Tahoma"/>
            <family val="2"/>
            <charset val="186"/>
          </rPr>
          <t xml:space="preserve">Reikalinga iškelti buitinių nuotekų tinklus, kurie trukdo el. įvadų įrengimui </t>
        </r>
      </text>
    </comment>
    <comment ref="E52" authorId="1"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E53" authorId="1" shapeId="0">
      <text>
        <r>
          <rPr>
            <b/>
            <sz val="9"/>
            <color indexed="81"/>
            <rFont val="Tahoma"/>
            <family val="2"/>
            <charset val="186"/>
          </rPr>
          <t>P, 3.2.1.7 KSP</t>
        </r>
        <r>
          <rPr>
            <sz val="9"/>
            <color indexed="81"/>
            <rFont val="Tahoma"/>
            <family val="2"/>
            <charset val="186"/>
          </rPr>
          <t xml:space="preserve"> priemonė: Sutvarkyti senamiesčio ir istorinės miesto dalies reprezentacinių viešųjų erdvių (Teatro, Turgaus, Atgimimo aikščių, Ferdinando ir kitų skverų) infrastruktūrą pritaikant jas turizmo reikmėms bei renginiams </t>
        </r>
      </text>
    </comment>
    <comment ref="E54" authorId="1"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E55" authorId="3" shapeId="0">
      <text>
        <r>
          <rPr>
            <b/>
            <sz val="9"/>
            <color indexed="81"/>
            <rFont val="Tahoma"/>
            <family val="2"/>
            <charset val="186"/>
          </rPr>
          <t>Klaipėdos miesto ekonominės plėtros strategija ir įgyvendinimo veiksmų planas iki 2030 metų (P6)
P6 3.1.13.</t>
        </r>
        <r>
          <rPr>
            <sz val="9"/>
            <color indexed="81"/>
            <rFont val="Tahoma"/>
            <family val="2"/>
            <charset val="186"/>
          </rPr>
          <t xml:space="preserve"> Vystyti viešųjų erdvių gerinimo programas ir lokalius urbanistinės struktūros atgaivinimo projektus  </t>
        </r>
      </text>
    </comment>
    <comment ref="E57" authorId="4" shapeId="0">
      <text>
        <r>
          <rPr>
            <sz val="9"/>
            <color indexed="81"/>
            <rFont val="Tahoma"/>
            <family val="2"/>
            <charset val="186"/>
          </rPr>
          <t>P-3.2.2.; 3.2.2.5.</t>
        </r>
      </text>
    </comment>
    <comment ref="E59" authorId="1" shapeId="0">
      <text>
        <r>
          <rPr>
            <b/>
            <sz val="9"/>
            <color indexed="81"/>
            <rFont val="Tahoma"/>
            <family val="2"/>
            <charset val="186"/>
          </rPr>
          <t xml:space="preserve">P6 3.1.13 </t>
        </r>
        <r>
          <rPr>
            <sz val="9"/>
            <color indexed="81"/>
            <rFont val="Tahoma"/>
            <family val="2"/>
            <charset val="186"/>
          </rPr>
          <t>priemonė, Vystyti viešųjų erdvių pietinėje ir šiaurinėje erdvėje atgaivinimo projektus</t>
        </r>
      </text>
    </comment>
    <comment ref="E61" authorId="0" shapeId="0">
      <text>
        <r>
          <rPr>
            <sz val="9"/>
            <color indexed="81"/>
            <rFont val="Tahoma"/>
            <family val="2"/>
            <charset val="186"/>
          </rPr>
          <t>P-3.2.2.5.</t>
        </r>
      </text>
    </comment>
    <comment ref="E62" authorId="1" shapeId="0">
      <text>
        <r>
          <rPr>
            <b/>
            <sz val="9"/>
            <color indexed="81"/>
            <rFont val="Tahoma"/>
            <family val="2"/>
            <charset val="186"/>
          </rPr>
          <t xml:space="preserve">P6 3.1.13 </t>
        </r>
        <r>
          <rPr>
            <sz val="9"/>
            <color indexed="81"/>
            <rFont val="Tahoma"/>
            <family val="2"/>
            <charset val="186"/>
          </rPr>
          <t>priemonė, Vystyti viešųjų erdvių pietinėje ir šiaurinėje erdvėje atgaivinimo projektus</t>
        </r>
      </text>
    </comment>
    <comment ref="E64" authorId="1"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N64" authorId="2" shapeId="0">
      <text>
        <r>
          <rPr>
            <sz val="9"/>
            <color indexed="81"/>
            <rFont val="Tahoma"/>
            <family val="2"/>
            <charset val="186"/>
          </rPr>
          <t xml:space="preserve">11 215 m²
I, II, IV etapai
</t>
        </r>
      </text>
    </comment>
    <comment ref="E65" authorId="4" shapeId="0">
      <text>
        <r>
          <rPr>
            <sz val="9"/>
            <color indexed="81"/>
            <rFont val="Tahoma"/>
            <family val="2"/>
            <charset val="186"/>
          </rPr>
          <t>P-3.2.2.; 3.2.2.5.</t>
        </r>
      </text>
    </comment>
    <comment ref="N68" authorId="2" shapeId="0">
      <text>
        <r>
          <rPr>
            <sz val="9"/>
            <color indexed="81"/>
            <rFont val="Tahoma"/>
            <family val="2"/>
            <charset val="186"/>
          </rPr>
          <t xml:space="preserve">11 215 m²
I, II, IV etapai
</t>
        </r>
      </text>
    </comment>
    <comment ref="E69" authorId="4" shapeId="0">
      <text>
        <r>
          <rPr>
            <sz val="9"/>
            <color indexed="81"/>
            <rFont val="Tahoma"/>
            <family val="2"/>
            <charset val="186"/>
          </rPr>
          <t>P-3.2.2.; 3.2.2.5.</t>
        </r>
      </text>
    </comment>
    <comment ref="E71" authorId="1" shapeId="0">
      <text>
        <r>
          <rPr>
            <b/>
            <sz val="9"/>
            <color indexed="81"/>
            <rFont val="Tahoma"/>
            <family val="2"/>
            <charset val="186"/>
          </rPr>
          <t>2.4.1.1.</t>
        </r>
        <r>
          <rPr>
            <sz val="9"/>
            <color indexed="81"/>
            <rFont val="Tahoma"/>
            <family val="2"/>
            <charset val="186"/>
          </rPr>
          <t xml:space="preserve">
Centrinės miesto dalies zonose prie vandens (jūros, marių, Danės upės) teikti pirmenybę daugiafunkcės paskirties teritorijų vystymui</t>
        </r>
      </text>
    </comment>
    <comment ref="E72" authorId="2" shapeId="0">
      <text>
        <r>
          <rPr>
            <sz val="9"/>
            <color indexed="81"/>
            <rFont val="Tahoma"/>
            <family val="2"/>
            <charset val="186"/>
          </rPr>
          <t xml:space="preserve">P-3.2.1.2.
</t>
        </r>
      </text>
    </comment>
    <comment ref="N72" authorId="2" shapeId="0">
      <text>
        <r>
          <rPr>
            <sz val="9"/>
            <color indexed="81"/>
            <rFont val="Tahoma"/>
            <family val="2"/>
            <charset val="186"/>
          </rPr>
          <t xml:space="preserve">2024 m. - 2025 m. viešosios infrastruktūros TP rengimas
</t>
        </r>
      </text>
    </comment>
    <comment ref="O77" authorId="2" shapeId="0">
      <text>
        <r>
          <rPr>
            <sz val="9"/>
            <color indexed="81"/>
            <rFont val="Tahoma"/>
            <family val="2"/>
            <charset val="186"/>
          </rPr>
          <t xml:space="preserve">2022 m. bus įrengtas Dangės skvero fontanas
</t>
        </r>
      </text>
    </comment>
    <comment ref="O78" authorId="2" shapeId="0">
      <text>
        <r>
          <rPr>
            <sz val="9"/>
            <color indexed="81"/>
            <rFont val="Tahoma"/>
            <family val="2"/>
            <charset val="186"/>
          </rPr>
          <t>Poilsio parkas - 3 vnt.
Ąžuolyno giraitė - 3 vnt.</t>
        </r>
      </text>
    </comment>
    <comment ref="N79" authorId="2" shapeId="0">
      <text>
        <r>
          <rPr>
            <sz val="9"/>
            <color indexed="81"/>
            <rFont val="Tahoma"/>
            <family val="2"/>
            <charset val="186"/>
          </rPr>
          <t>Lietuvininkų aikštė - 13,3 tūkst. Eur
Prie "Meridiano" - 14,2 tūkst. Eur
Teatro aikštė - 14,8 tūkst. Eur</t>
        </r>
      </text>
    </comment>
    <comment ref="O79" authorId="2" shapeId="0">
      <text>
        <r>
          <rPr>
            <sz val="9"/>
            <color indexed="81"/>
            <rFont val="Tahoma"/>
            <family val="2"/>
            <charset val="186"/>
          </rPr>
          <t>Lietuvininkų aikštėje, prie burlaivio Meriadanas</t>
        </r>
        <r>
          <rPr>
            <sz val="9"/>
            <color indexed="81"/>
            <rFont val="Tahoma"/>
            <family val="2"/>
            <charset val="186"/>
          </rPr>
          <t xml:space="preserve">
</t>
        </r>
      </text>
    </comment>
    <comment ref="P79" authorId="2" shapeId="0">
      <text>
        <r>
          <rPr>
            <sz val="9"/>
            <color indexed="81"/>
            <rFont val="Tahoma"/>
            <family val="2"/>
            <charset val="186"/>
          </rPr>
          <t>Teatro aikštėje</t>
        </r>
      </text>
    </comment>
    <comment ref="O94" authorId="5" shapeId="0">
      <text>
        <r>
          <rPr>
            <sz val="9"/>
            <color indexed="81"/>
            <rFont val="Tahoma"/>
            <family val="2"/>
            <charset val="186"/>
          </rPr>
          <t>Iš jų 176 jau eksploatuojamos, 30 planuojama perimti iš Projektų skyriaus, pabaigus projektus.</t>
        </r>
      </text>
    </comment>
    <comment ref="E95" authorId="4" shapeId="0">
      <text>
        <r>
          <rPr>
            <sz val="9"/>
            <color indexed="81"/>
            <rFont val="Tahoma"/>
            <family val="2"/>
            <charset val="186"/>
          </rPr>
          <t>P-2.4.3.5.</t>
        </r>
      </text>
    </comment>
    <comment ref="O95" authorId="5" shapeId="0">
      <text>
        <r>
          <rPr>
            <sz val="9"/>
            <color indexed="81"/>
            <rFont val="Tahoma"/>
            <family val="2"/>
            <charset val="186"/>
          </rPr>
          <t xml:space="preserve">4 jau eksploatuojamos, 6 bus perimtos iš projektų skyriaus, pabaigus projektus. </t>
        </r>
      </text>
    </comment>
    <comment ref="E98" authorId="3" shapeId="0">
      <text>
        <r>
          <rPr>
            <b/>
            <sz val="9"/>
            <color indexed="81"/>
            <rFont val="Tahoma"/>
            <family val="2"/>
            <charset val="186"/>
          </rPr>
          <t>KEPS2030  4.5.1.</t>
        </r>
        <r>
          <rPr>
            <sz val="9"/>
            <color indexed="81"/>
            <rFont val="Tahoma"/>
            <family val="2"/>
            <charset val="186"/>
          </rPr>
          <t xml:space="preserve"> Išvalyti Danės upę, pastatyti ir išplėtoti mažus uostelius.</t>
        </r>
      </text>
    </comment>
    <comment ref="E99" authorId="1" shapeId="0">
      <text>
        <r>
          <rPr>
            <sz val="9"/>
            <color indexed="81"/>
            <rFont val="Tahoma"/>
            <family val="2"/>
            <charset val="186"/>
          </rPr>
          <t>P-1.2.3.1</t>
        </r>
      </text>
    </comment>
    <comment ref="N102" authorId="1" shapeId="0">
      <text>
        <r>
          <rPr>
            <sz val="9"/>
            <color indexed="81"/>
            <rFont val="Tahoma"/>
            <family val="2"/>
            <charset val="186"/>
          </rPr>
          <t>Planuojama vieta – ant naujojo Klaipėdos baseino rytinės sienos (Taikos pr.).</t>
        </r>
      </text>
    </comment>
    <comment ref="E104" authorId="2" shapeId="0">
      <text>
        <r>
          <rPr>
            <b/>
            <sz val="9"/>
            <color indexed="81"/>
            <rFont val="Tahoma"/>
            <family val="2"/>
            <charset val="186"/>
          </rPr>
          <t>P1, 3.2.1.</t>
        </r>
        <r>
          <rPr>
            <sz val="9"/>
            <color indexed="81"/>
            <rFont val="Tahoma"/>
            <family val="2"/>
            <charset val="186"/>
          </rPr>
          <t xml:space="preserve"> Patvirtinta dalyvaujamojo biudžeto koncepcija ir metodika
</t>
        </r>
      </text>
    </comment>
    <comment ref="O105" authorId="4" shapeId="0">
      <text>
        <r>
          <rPr>
            <sz val="9"/>
            <color indexed="81"/>
            <rFont val="Tahoma"/>
            <family val="2"/>
            <charset val="186"/>
          </rPr>
          <t>1. Vaikų žaidimo aikštelė Tauralaukyje 
2. Vaikų žaidimo aikštelė  Simonaitytėje
2021-09-13 direktoriaus įsakymas Nr. AD1-1060</t>
        </r>
      </text>
    </comment>
    <comment ref="E106" authorId="2" shapeId="0">
      <text>
        <r>
          <rPr>
            <sz val="9"/>
            <color indexed="81"/>
            <rFont val="Tahoma"/>
            <family val="2"/>
            <charset val="186"/>
          </rPr>
          <t>P-2.6.4.3.</t>
        </r>
      </text>
    </comment>
    <comment ref="O106" authorId="2" shapeId="0">
      <text>
        <r>
          <rPr>
            <sz val="9"/>
            <color indexed="81"/>
            <rFont val="Tahoma"/>
            <family val="2"/>
            <charset val="186"/>
          </rPr>
          <t xml:space="preserve">Mitologinės ir poilsinės žaismų erdvės "Baltų saulės parkas" pagal gyventojų iniciatyvą techninio darbo projekto parengimas
</t>
        </r>
      </text>
    </comment>
    <comment ref="P107" authorId="2" shapeId="0">
      <text>
        <r>
          <rPr>
            <sz val="9"/>
            <color indexed="81"/>
            <rFont val="Tahoma"/>
            <family val="2"/>
            <charset val="186"/>
          </rPr>
          <t>Mitologinės ir poilsinės žaismų erdvės "Baltų saulės parkas" pagal gyventojų iniciatyvą įrengimas</t>
        </r>
      </text>
    </comment>
    <comment ref="E109" authorId="4" shapeId="0">
      <text>
        <r>
          <rPr>
            <sz val="9"/>
            <color indexed="81"/>
            <rFont val="Tahoma"/>
            <family val="2"/>
            <charset val="186"/>
          </rPr>
          <t>P-1.2.1.5.</t>
        </r>
      </text>
    </comment>
    <comment ref="E111" authorId="4" shapeId="0">
      <text>
        <r>
          <rPr>
            <sz val="9"/>
            <color indexed="81"/>
            <rFont val="Tahoma"/>
            <family val="2"/>
            <charset val="186"/>
          </rPr>
          <t>P-1.2.1.5.</t>
        </r>
      </text>
    </comment>
    <comment ref="E112" authorId="3" shapeId="0">
      <text>
        <r>
          <rPr>
            <b/>
            <sz val="9"/>
            <color indexed="81"/>
            <rFont val="Tahoma"/>
            <family val="2"/>
            <charset val="186"/>
          </rPr>
          <t>KEPS 4.5.1.</t>
        </r>
        <r>
          <rPr>
            <sz val="9"/>
            <color indexed="81"/>
            <rFont val="Tahoma"/>
            <family val="2"/>
            <charset val="186"/>
          </rPr>
          <t xml:space="preserve"> Išvalyti Danės upę, pastatyti ir išplėtoti mažus uostelius.</t>
        </r>
      </text>
    </comment>
    <comment ref="O115" authorId="2" shapeId="0">
      <text>
        <r>
          <rPr>
            <sz val="9"/>
            <color indexed="81"/>
            <rFont val="Tahoma"/>
            <family val="2"/>
            <charset val="186"/>
          </rPr>
          <t xml:space="preserve">Pirmas tyrimas numatytas apie gegužės 6 d., tačiau  manoma, kad taip anksti sezonas neprasidės, todėl vieno tyrimo atsisakyta.
</t>
        </r>
      </text>
    </comment>
    <comment ref="P118" authorId="2" shapeId="0">
      <text>
        <r>
          <rPr>
            <sz val="9"/>
            <color indexed="81"/>
            <rFont val="Tahoma"/>
            <family val="2"/>
            <charset val="186"/>
          </rPr>
          <t xml:space="preserve">1. Vandens motociklas 
</t>
        </r>
      </text>
    </comment>
    <comment ref="Q118" authorId="2" shapeId="0">
      <text>
        <r>
          <rPr>
            <sz val="9"/>
            <color indexed="81"/>
            <rFont val="Tahoma"/>
            <family val="2"/>
            <charset val="186"/>
          </rPr>
          <t xml:space="preserve">1. Keturratis 
</t>
        </r>
      </text>
    </comment>
    <comment ref="O119" authorId="6" shapeId="0">
      <text>
        <r>
          <rPr>
            <sz val="9"/>
            <color indexed="81"/>
            <rFont val="Tahoma"/>
            <family val="2"/>
            <charset val="186"/>
          </rPr>
          <t>Lapų pūstuvas 1 vnt. - 0,8 tūkst. Eur, trimeris 1 vnt. - 0,8 tūkst. Eur, viniakalė 1 vnt. - 0,8 tūkst. Eur, smėlio valymo tinklas su keitimu 1 vnt. - 10,9 tūkst. Eur.</t>
        </r>
      </text>
    </comment>
    <comment ref="E120" authorId="1" shapeId="0">
      <text>
        <r>
          <rPr>
            <b/>
            <sz val="9"/>
            <color indexed="81"/>
            <rFont val="Tahoma"/>
            <family val="2"/>
            <charset val="186"/>
          </rPr>
          <t xml:space="preserve">P1, </t>
        </r>
        <r>
          <rPr>
            <sz val="9"/>
            <color indexed="81"/>
            <rFont val="Tahoma"/>
            <family val="2"/>
            <charset val="186"/>
          </rPr>
          <t>2.3. Municipalinio (vidaus vandenų) uosto atkūrimas Klaipėdoje</t>
        </r>
      </text>
    </comment>
    <comment ref="E121" authorId="3" shapeId="0">
      <text>
        <r>
          <rPr>
            <b/>
            <sz val="9"/>
            <color indexed="81"/>
            <rFont val="Tahoma"/>
            <family val="2"/>
            <charset val="186"/>
          </rPr>
          <t>KEPS 4.5.1.</t>
        </r>
        <r>
          <rPr>
            <sz val="9"/>
            <color indexed="81"/>
            <rFont val="Tahoma"/>
            <family val="2"/>
            <charset val="186"/>
          </rPr>
          <t xml:space="preserve"> Išvalyti Danės upę, pastatyti ir išplėtoti mažus uostelius.</t>
        </r>
      </text>
    </comment>
    <comment ref="E123" authorId="1" shapeId="0">
      <text>
        <r>
          <rPr>
            <sz val="9"/>
            <color indexed="81"/>
            <rFont val="Tahoma"/>
            <family val="2"/>
            <charset val="186"/>
          </rPr>
          <t>P-1.2.3.1</t>
        </r>
      </text>
    </comment>
    <comment ref="N124" authorId="1" shapeId="0">
      <text>
        <r>
          <rPr>
            <sz val="9"/>
            <color indexed="81"/>
            <rFont val="Tahoma"/>
            <family val="2"/>
            <charset val="186"/>
          </rPr>
          <t>Viešieji tualetai: Stovyklų g. 4 –21,79 m2; Kopų g. 1A (I Melnragė) – 87,25 m2;</t>
        </r>
      </text>
    </comment>
    <comment ref="E129" authorId="1" shapeId="0">
      <text>
        <r>
          <rPr>
            <sz val="9"/>
            <color indexed="81"/>
            <rFont val="Tahoma"/>
            <family val="2"/>
            <charset val="186"/>
          </rPr>
          <t xml:space="preserve">P-1.2.1.1., 1.2.1.2., 1.2.1.5.
</t>
        </r>
      </text>
    </comment>
    <comment ref="O129" authorId="7" shapeId="0">
      <text>
        <r>
          <rPr>
            <sz val="9"/>
            <color indexed="81"/>
            <rFont val="Tahoma"/>
            <family val="2"/>
            <charset val="186"/>
          </rPr>
          <t xml:space="preserve">Konteinerinių WC pastatymas -Smiltynės g. 30 ir 31.
Infrastruktūros įrengimas (gręžinys ir/ar elektra) - Smiltynės g. 30, 31  33, 14A, 14B, 14C.
</t>
        </r>
      </text>
    </comment>
    <comment ref="P129" authorId="7" shapeId="0">
      <text>
        <r>
          <rPr>
            <sz val="9"/>
            <color indexed="81"/>
            <rFont val="Tahoma"/>
            <family val="2"/>
            <charset val="186"/>
          </rPr>
          <t>Konteinerinių WC pastatymas -Smiltynės g. 14A, 14B, 14C</t>
        </r>
      </text>
    </comment>
    <comment ref="E132" authorId="1" shapeId="0">
      <text>
        <r>
          <rPr>
            <sz val="9"/>
            <color indexed="81"/>
            <rFont val="Tahoma"/>
            <family val="2"/>
            <charset val="186"/>
          </rPr>
          <t xml:space="preserve">P-1.2.1.1., 1.2.1.2., 1.2.1.5.
</t>
        </r>
      </text>
    </comment>
    <comment ref="E134" authorId="1" shapeId="0">
      <text>
        <r>
          <rPr>
            <sz val="9"/>
            <color indexed="81"/>
            <rFont val="Tahoma"/>
            <family val="2"/>
            <charset val="186"/>
          </rPr>
          <t xml:space="preserve">P-1.2.1.1., 1.2.1.2., 1.2.1.5.
</t>
        </r>
      </text>
    </comment>
    <comment ref="O148" authorId="2" shapeId="0">
      <text>
        <r>
          <rPr>
            <sz val="9"/>
            <color indexed="81"/>
            <rFont val="Tahoma"/>
            <family val="2"/>
            <charset val="186"/>
          </rPr>
          <t>Didesnis mokyklų skaičius dėl COVID higieninių reikalavimų (didesnių atstumų, mažesnių dalyvių grupių, srautų nesimaišymo)</t>
        </r>
        <r>
          <rPr>
            <sz val="9"/>
            <color indexed="81"/>
            <rFont val="Tahoma"/>
            <family val="2"/>
            <charset val="186"/>
          </rPr>
          <t xml:space="preserve">
</t>
        </r>
      </text>
    </comment>
    <comment ref="E160" authorId="4" shapeId="0">
      <text>
        <r>
          <rPr>
            <sz val="9"/>
            <color indexed="81"/>
            <rFont val="Tahoma"/>
            <family val="2"/>
            <charset val="186"/>
          </rPr>
          <t>P-3.3.2.4.</t>
        </r>
      </text>
    </comment>
    <comment ref="E162" authorId="4" shapeId="0">
      <text>
        <r>
          <rPr>
            <sz val="9"/>
            <color indexed="81"/>
            <rFont val="Tahoma"/>
            <family val="2"/>
            <charset val="186"/>
          </rPr>
          <t>P-3.3.2.4.</t>
        </r>
      </text>
    </comment>
    <comment ref="E166" authorId="4" shapeId="0">
      <text>
        <r>
          <rPr>
            <sz val="9"/>
            <color indexed="81"/>
            <rFont val="Tahoma"/>
            <family val="2"/>
            <charset val="186"/>
          </rPr>
          <t>P-3.3.2.4.</t>
        </r>
      </text>
    </comment>
    <comment ref="O167" authorId="2" shapeId="0">
      <text>
        <r>
          <rPr>
            <sz val="9"/>
            <color indexed="81"/>
            <rFont val="Tahoma"/>
            <family val="2"/>
            <charset val="186"/>
          </rPr>
          <t>2022 m.
1. Takai nuo I. Simonaitytės g. 6 iki 22 (500 m)
2. Takas nuo Markučių g. 5 iki Vingio g. (220 m)
3. Takas nuo Paryžiaus Komunos g. 27 iki Šilutės pl. 2A (150 m)
4. Takas nuo Baltijos pr.45 palei Baltijos gimnazija (230 m)
5. Takas nuo Simonaitytės kalno iki Aukuro gimnazijos (250 m)
6. Laistų 1-oji, 2-oji, 3-oji g. (1200 m)
7. Smilgų g. (150 m)
8. Smilčių g. (250 m)
9. Arimų g. (750 m)
Taip pat projektų ekspertizės (3000 Eur)</t>
        </r>
      </text>
    </comment>
    <comment ref="E174" authorId="4" shapeId="0">
      <text>
        <r>
          <rPr>
            <sz val="9"/>
            <color indexed="81"/>
            <rFont val="Tahoma"/>
            <family val="2"/>
            <charset val="186"/>
          </rPr>
          <t>P-3.3.2.4.</t>
        </r>
      </text>
    </comment>
    <comment ref="E195" authorId="4" shapeId="0">
      <text>
        <r>
          <rPr>
            <sz val="9"/>
            <color indexed="81"/>
            <rFont val="Tahoma"/>
            <family val="2"/>
            <charset val="186"/>
          </rPr>
          <t>P-3.2.2.6.</t>
        </r>
      </text>
    </comment>
    <comment ref="D208" authorId="8" shapeId="0">
      <text>
        <r>
          <rPr>
            <sz val="9"/>
            <color indexed="81"/>
            <rFont val="Tahoma"/>
            <family val="2"/>
            <charset val="186"/>
          </rPr>
          <t>2021–2030</t>
        </r>
        <r>
          <rPr>
            <sz val="9"/>
            <color indexed="81"/>
            <rFont val="Tahoma"/>
            <family val="2"/>
            <charset val="186"/>
          </rPr>
          <t xml:space="preserve">
</t>
        </r>
      </text>
    </comment>
    <comment ref="E208" authorId="4" shapeId="0">
      <text>
        <r>
          <rPr>
            <sz val="9"/>
            <color indexed="81"/>
            <rFont val="Tahoma"/>
            <family val="2"/>
            <charset val="186"/>
          </rPr>
          <t>P-3.2.2.6.</t>
        </r>
      </text>
    </comment>
    <comment ref="E222" authorId="4" shapeId="0">
      <text>
        <r>
          <rPr>
            <sz val="9"/>
            <color indexed="81"/>
            <rFont val="Tahoma"/>
            <family val="2"/>
            <charset val="186"/>
          </rPr>
          <t>P-3.2.2.1.; 3.3.2.4.</t>
        </r>
      </text>
    </comment>
    <comment ref="E223" authorId="1" shapeId="0">
      <text>
        <r>
          <rPr>
            <b/>
            <sz val="9"/>
            <color indexed="81"/>
            <rFont val="Tahoma"/>
            <family val="2"/>
            <charset val="186"/>
          </rPr>
          <t>P1, 3.4.</t>
        </r>
        <r>
          <rPr>
            <sz val="9"/>
            <color indexed="81"/>
            <rFont val="Tahoma"/>
            <family val="2"/>
            <charset val="186"/>
          </rPr>
          <t xml:space="preserve"> Daugiabučių namų kvartalinės renovacijos skatinimas</t>
        </r>
      </text>
    </comment>
    <comment ref="N226" authorId="2" shapeId="0">
      <text>
        <r>
          <rPr>
            <sz val="9"/>
            <color indexed="81"/>
            <rFont val="Tahoma"/>
            <family val="2"/>
            <charset val="186"/>
          </rPr>
          <t>(146 000 m²)</t>
        </r>
        <r>
          <rPr>
            <sz val="9"/>
            <color indexed="81"/>
            <rFont val="Tahoma"/>
            <family val="2"/>
            <charset val="186"/>
          </rPr>
          <t xml:space="preserve">
</t>
        </r>
      </text>
    </comment>
    <comment ref="O226" authorId="2" shapeId="0">
      <text>
        <r>
          <rPr>
            <sz val="9"/>
            <color indexed="81"/>
            <rFont val="Tahoma"/>
            <family val="2"/>
            <charset val="186"/>
          </rPr>
          <t xml:space="preserve">Sudarius Taikos sutartį su asociacija „Klaipėdos žalieji“, atsirado papildomi sprendiniai ir poreikis atlikti projekto korekcijas. Taip pat remiantis III teritorijos pakeitimais 6 mėn. pratęstas rangos sutarties terminas su rangovu UAB „VVARFF“. Projekto „Kompleksinis tikslinės teritorijos daugiabučių kiemų tvarkymas“ rangos darbų pabaiga numatyta 2022-08-28. 
</t>
        </r>
      </text>
    </comment>
    <comment ref="E227" authorId="0" shapeId="0">
      <text>
        <r>
          <rPr>
            <sz val="9"/>
            <color indexed="81"/>
            <rFont val="Tahoma"/>
            <family val="2"/>
            <charset val="186"/>
          </rPr>
          <t>P-3.2.2.1.</t>
        </r>
      </text>
    </comment>
    <comment ref="E228" authorId="1" shapeId="0">
      <text>
        <r>
          <rPr>
            <b/>
            <sz val="9"/>
            <color indexed="81"/>
            <rFont val="Tahoma"/>
            <family val="2"/>
            <charset val="186"/>
          </rPr>
          <t>P1, 3.4.</t>
        </r>
        <r>
          <rPr>
            <sz val="9"/>
            <color indexed="81"/>
            <rFont val="Tahoma"/>
            <family val="2"/>
            <charset val="186"/>
          </rPr>
          <t xml:space="preserve"> Daugiabučių namų kvartalinės renovacijos skatinimas;</t>
        </r>
      </text>
    </comment>
    <comment ref="E234" authorId="4" shapeId="0">
      <text>
        <r>
          <rPr>
            <sz val="9"/>
            <color indexed="81"/>
            <rFont val="Tahoma"/>
            <family val="2"/>
            <charset val="186"/>
          </rPr>
          <t>P-2.4.2.; 3.2.2.5.</t>
        </r>
      </text>
    </comment>
    <comment ref="E241" authorId="4" shapeId="0">
      <text>
        <r>
          <rPr>
            <sz val="9"/>
            <color indexed="81"/>
            <rFont val="Tahoma"/>
            <family val="2"/>
            <charset val="186"/>
          </rPr>
          <t>P-2.4.3.5.</t>
        </r>
      </text>
    </comment>
    <comment ref="O261" authorId="2" shapeId="0">
      <text>
        <r>
          <rPr>
            <sz val="9"/>
            <color indexed="81"/>
            <rFont val="Tahoma"/>
            <family val="2"/>
            <charset val="186"/>
          </rPr>
          <t xml:space="preserve">KLASCO kolektoriaus rekonstrukcija ir naujų tinklų tiesimas - tai didelio diametro vamzdžiai ir sudėtinga rekonstrukcija, todėl suma didelė, o metražas trumpas (285 m);
Renetų g. - 230 m. 
</t>
        </r>
      </text>
    </comment>
    <comment ref="E262" authorId="2" shapeId="0">
      <text>
        <r>
          <rPr>
            <sz val="9"/>
            <color indexed="81"/>
            <rFont val="Tahoma"/>
            <family val="2"/>
            <charset val="186"/>
          </rPr>
          <t>P-3.3.3.4.</t>
        </r>
      </text>
    </comment>
    <comment ref="E264" authorId="2" shapeId="0">
      <text>
        <r>
          <rPr>
            <sz val="9"/>
            <color indexed="81"/>
            <rFont val="Tahoma"/>
            <family val="2"/>
            <charset val="186"/>
          </rPr>
          <t>P-3.2.2.7</t>
        </r>
      </text>
    </comment>
    <comment ref="E265" authorId="0" shapeId="0">
      <text>
        <r>
          <rPr>
            <sz val="9"/>
            <color indexed="81"/>
            <rFont val="Tahoma"/>
            <family val="2"/>
            <charset val="186"/>
          </rPr>
          <t>P-3.2.1.4.</t>
        </r>
      </text>
    </comment>
  </commentList>
</comments>
</file>

<file path=xl/comments3.xml><?xml version="1.0" encoding="utf-8"?>
<comments xmlns="http://schemas.openxmlformats.org/spreadsheetml/2006/main">
  <authors>
    <author>Rima Alisauskaite</author>
    <author>Audra Cepiene</author>
    <author>Inga Mikalauskienė</author>
    <author>Indrė Butenienė</author>
    <author>Saulina Paulauskiene</author>
    <author>Rita Mikluševičiūtė</author>
    <author>Buhalterija</author>
    <author>Gintare Kareiviene</author>
    <author>Snieguole Kacerauskaite</author>
  </authors>
  <commentList>
    <comment ref="F18" authorId="0" shapeId="0">
      <text>
        <r>
          <rPr>
            <sz val="9"/>
            <color indexed="81"/>
            <rFont val="Tahoma"/>
            <family val="2"/>
            <charset val="186"/>
          </rPr>
          <t>P-3.1.1.4.</t>
        </r>
      </text>
    </comment>
    <comment ref="F19" authorId="1" shapeId="0">
      <text>
        <r>
          <rPr>
            <b/>
            <sz val="9"/>
            <color indexed="81"/>
            <rFont val="Tahoma"/>
            <family val="2"/>
            <charset val="186"/>
          </rPr>
          <t>Klaipėdos miesto savivaldybės 2019–2023 m. veiklos prioritetai (P1)
P1, 3.3.</t>
        </r>
        <r>
          <rPr>
            <sz val="9"/>
            <color indexed="81"/>
            <rFont val="Tahoma"/>
            <family val="2"/>
            <charset val="186"/>
          </rPr>
          <t xml:space="preserve"> Klaipėdos miesto integruotos teritorijų programos įgyvendinimas
</t>
        </r>
        <r>
          <rPr>
            <b/>
            <sz val="9"/>
            <color indexed="81"/>
            <rFont val="Tahoma"/>
            <family val="2"/>
            <charset val="186"/>
          </rPr>
          <t xml:space="preserve">P1, 3.5. </t>
        </r>
        <r>
          <rPr>
            <sz val="9"/>
            <color indexed="81"/>
            <rFont val="Tahoma"/>
            <family val="2"/>
            <charset val="186"/>
          </rPr>
          <t>Viešųjų erdvių ir pastatų pritaikymas pagal universalaus dizaino principus</t>
        </r>
      </text>
    </comment>
    <comment ref="M19" authorId="2" shapeId="0">
      <text>
        <r>
          <rPr>
            <b/>
            <sz val="9"/>
            <color indexed="81"/>
            <rFont val="Tahoma"/>
            <family val="2"/>
            <charset val="186"/>
          </rPr>
          <t xml:space="preserve">I etapas. </t>
        </r>
        <r>
          <rPr>
            <sz val="9"/>
            <color indexed="81"/>
            <rFont val="Tahoma"/>
            <family val="2"/>
            <charset val="186"/>
          </rPr>
          <t xml:space="preserve">TP parengimo sutartis pasirašyta 2021-07-27. Paslaugos, įskaitant statybą leidžiančio dokumento gavimą, turi būti suteiktos per 12 mėn. Projektavmas vyksta pagal grafiką. Pritarta projektiniams pasiūlymams.
</t>
        </r>
      </text>
    </comment>
    <comment ref="M20" authorId="2" shapeId="0">
      <text>
        <r>
          <rPr>
            <sz val="9"/>
            <color indexed="81"/>
            <rFont val="Tahoma"/>
            <family val="2"/>
            <charset val="186"/>
          </rPr>
          <t xml:space="preserve">II etapas
</t>
        </r>
      </text>
    </comment>
    <comment ref="F21" authorId="3" shapeId="0">
      <text>
        <r>
          <rPr>
            <b/>
            <sz val="9"/>
            <color indexed="81"/>
            <rFont val="Tahoma"/>
            <family val="2"/>
            <charset val="186"/>
          </rPr>
          <t>Klaipėdos miesto ekonominės plėtros strategija ir įgyvendinimo veiksmų planas iki 2030 metų (P6)
P6 3.1.13.</t>
        </r>
        <r>
          <rPr>
            <sz val="9"/>
            <color indexed="81"/>
            <rFont val="Tahoma"/>
            <family val="2"/>
            <charset val="186"/>
          </rPr>
          <t xml:space="preserve"> Vystyti viešųjų erdvių gerinimo programas ir lokalius urbanistinės struktūros atgaivinimo projektus  </t>
        </r>
      </text>
    </comment>
    <comment ref="F23" authorId="0" shapeId="0">
      <text>
        <r>
          <rPr>
            <sz val="9"/>
            <color indexed="81"/>
            <rFont val="Tahoma"/>
            <family val="2"/>
            <charset val="186"/>
          </rPr>
          <t>P-3.2.1.1.</t>
        </r>
      </text>
    </comment>
    <comment ref="F24" authorId="1" shapeId="0">
      <text>
        <r>
          <rPr>
            <b/>
            <sz val="9"/>
            <color indexed="81"/>
            <rFont val="Tahoma"/>
            <family val="2"/>
            <charset val="186"/>
          </rPr>
          <t>Klaipėdos miesto savivaldybės 2019–2023 m. veiklos prioritetai (P1)
P1, 3.3.</t>
        </r>
        <r>
          <rPr>
            <sz val="9"/>
            <color indexed="81"/>
            <rFont val="Tahoma"/>
            <family val="2"/>
            <charset val="186"/>
          </rPr>
          <t xml:space="preserve"> Klaipėdos miesto integruotos teritorijų programos įgyvendinimas
</t>
        </r>
        <r>
          <rPr>
            <b/>
            <sz val="9"/>
            <color indexed="81"/>
            <rFont val="Tahoma"/>
            <family val="2"/>
            <charset val="186"/>
          </rPr>
          <t xml:space="preserve">P1, 3.5. </t>
        </r>
        <r>
          <rPr>
            <sz val="9"/>
            <color indexed="81"/>
            <rFont val="Tahoma"/>
            <family val="2"/>
            <charset val="186"/>
          </rPr>
          <t>Viešųjų erdvių ir pastatų pritaikymas pagal universalaus dizaino principus</t>
        </r>
      </text>
    </comment>
    <comment ref="F25" authorId="1" shapeId="0">
      <text>
        <r>
          <rPr>
            <b/>
            <sz val="9"/>
            <color indexed="81"/>
            <rFont val="Tahoma"/>
            <family val="2"/>
            <charset val="186"/>
          </rPr>
          <t>KEPS 2030 metų (P6)</t>
        </r>
        <r>
          <rPr>
            <sz val="9"/>
            <color indexed="81"/>
            <rFont val="Tahoma"/>
            <family val="2"/>
            <charset val="186"/>
          </rPr>
          <t xml:space="preserve">
P6 3.1.13. Vystyti viešųjų erdvių gerinimo programas ir lokalius urbanistinės struktūros atgaivinimo projektus  </t>
        </r>
      </text>
    </comment>
    <comment ref="F31" authorId="1" shapeId="0">
      <text>
        <r>
          <rPr>
            <b/>
            <sz val="9"/>
            <color indexed="81"/>
            <rFont val="Tahoma"/>
            <family val="2"/>
            <charset val="186"/>
          </rPr>
          <t>KSP, 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
</t>
        </r>
      </text>
    </comment>
    <comment ref="F32" authorId="1" shapeId="0">
      <text>
        <r>
          <rPr>
            <b/>
            <sz val="9"/>
            <color indexed="81"/>
            <rFont val="Tahoma"/>
            <family val="2"/>
            <charset val="186"/>
          </rPr>
          <t xml:space="preserve">KEPS2030 3.1.5. </t>
        </r>
        <r>
          <rPr>
            <sz val="9"/>
            <color indexed="81"/>
            <rFont val="Tahoma"/>
            <family val="2"/>
            <charset val="186"/>
          </rPr>
          <t xml:space="preserve">"Intensyvinti linijinį centrą Taikos pr. ašyje" 
</t>
        </r>
      </text>
    </comment>
    <comment ref="J33" authorId="2" shapeId="0">
      <text>
        <r>
          <rPr>
            <sz val="9"/>
            <color indexed="81"/>
            <rFont val="Tahoma"/>
            <family val="2"/>
            <charset val="186"/>
          </rPr>
          <t xml:space="preserve">Draudiminis įvykis,  šiuo metu perkami tvorelės atstatymo darbai, atsiskaitymas numatytas 2022 m. Patirtas išlaidas vėliau padengs draudimo bendrovė.
</t>
        </r>
      </text>
    </comment>
    <comment ref="F36" authorId="1" shapeId="0">
      <text>
        <r>
          <rPr>
            <sz val="9"/>
            <color indexed="81"/>
            <rFont val="Tahoma"/>
            <family val="2"/>
            <charset val="186"/>
          </rPr>
          <t xml:space="preserve">P-3.2.2.3.
</t>
        </r>
      </text>
    </comment>
    <comment ref="F37" authorId="1" shapeId="0">
      <text>
        <r>
          <rPr>
            <b/>
            <sz val="9"/>
            <color indexed="81"/>
            <rFont val="Tahoma"/>
            <family val="2"/>
            <charset val="186"/>
          </rPr>
          <t>P1,</t>
        </r>
        <r>
          <rPr>
            <sz val="9"/>
            <color indexed="81"/>
            <rFont val="Tahoma"/>
            <family val="2"/>
            <charset val="186"/>
          </rPr>
          <t xml:space="preserve"> </t>
        </r>
        <r>
          <rPr>
            <b/>
            <sz val="9"/>
            <color indexed="81"/>
            <rFont val="Tahoma"/>
            <family val="2"/>
            <charset val="186"/>
          </rPr>
          <t>4.1.5.</t>
        </r>
        <r>
          <rPr>
            <sz val="9"/>
            <color indexed="81"/>
            <rFont val="Tahoma"/>
            <family val="2"/>
            <charset val="186"/>
          </rPr>
          <t xml:space="preserve"> Sutvarkyta turgaus aikštė, vnt.
</t>
        </r>
        <r>
          <rPr>
            <b/>
            <sz val="9"/>
            <color indexed="81"/>
            <rFont val="Tahoma"/>
            <family val="2"/>
            <charset val="186"/>
          </rPr>
          <t xml:space="preserve">
</t>
        </r>
      </text>
    </comment>
    <comment ref="M37" authorId="2" shapeId="0">
      <text>
        <r>
          <rPr>
            <sz val="9"/>
            <color indexed="81"/>
            <rFont val="Tahoma"/>
            <family val="2"/>
            <charset val="186"/>
          </rPr>
          <t xml:space="preserve">11 215 m²
I, II, IV etapai
</t>
        </r>
      </text>
    </comment>
    <comment ref="F38" authorId="1" shapeId="0">
      <text>
        <r>
          <rPr>
            <b/>
            <sz val="9"/>
            <color indexed="81"/>
            <rFont val="Tahoma"/>
            <family val="2"/>
            <charset val="186"/>
          </rPr>
          <t>KEPS  3.1.11.</t>
        </r>
        <r>
          <rPr>
            <sz val="9"/>
            <color indexed="81"/>
            <rFont val="Tahoma"/>
            <family val="2"/>
            <charset val="186"/>
          </rPr>
          <t xml:space="preserve"> Išvystyti senąją turgavietę</t>
        </r>
      </text>
    </comment>
    <comment ref="F41" authorId="1" shapeId="0">
      <text>
        <r>
          <rPr>
            <b/>
            <sz val="9"/>
            <color indexed="81"/>
            <rFont val="Tahoma"/>
            <family val="2"/>
            <charset val="186"/>
          </rPr>
          <t>KSP, 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
</t>
        </r>
      </text>
    </comment>
    <comment ref="F42" authorId="1" shapeId="0">
      <text>
        <r>
          <rPr>
            <b/>
            <sz val="9"/>
            <color indexed="81"/>
            <rFont val="Tahoma"/>
            <family val="2"/>
            <charset val="186"/>
          </rPr>
          <t>Klaipėdos miesto savivaldybės 2019–2023 m. veiklos prioritetai (P1)
P1, 3.3.</t>
        </r>
        <r>
          <rPr>
            <sz val="9"/>
            <color indexed="81"/>
            <rFont val="Tahoma"/>
            <family val="2"/>
            <charset val="186"/>
          </rPr>
          <t xml:space="preserve"> Klaipėdos miesto integruotos teritorijų programos įgyvendinimas
</t>
        </r>
        <r>
          <rPr>
            <b/>
            <sz val="9"/>
            <color indexed="81"/>
            <rFont val="Tahoma"/>
            <family val="2"/>
            <charset val="186"/>
          </rPr>
          <t xml:space="preserve">P1, 3.5. </t>
        </r>
        <r>
          <rPr>
            <sz val="9"/>
            <color indexed="81"/>
            <rFont val="Tahoma"/>
            <family val="2"/>
            <charset val="186"/>
          </rPr>
          <t>Viešųjų erdvių ir pastatų pritaikymas pagal universalaus dizaino principus</t>
        </r>
      </text>
    </comment>
    <comment ref="F44" authorId="3" shapeId="0">
      <text>
        <r>
          <rPr>
            <b/>
            <sz val="9"/>
            <color indexed="81"/>
            <rFont val="Tahoma"/>
            <family val="2"/>
            <charset val="186"/>
          </rPr>
          <t>Klaipėdos miesto ekonominės plėtros strategija ir įgyvendinimo veiksmų planas iki 2030 metų (P6)
P6 3.1.13.</t>
        </r>
        <r>
          <rPr>
            <sz val="9"/>
            <color indexed="81"/>
            <rFont val="Tahoma"/>
            <family val="2"/>
            <charset val="186"/>
          </rPr>
          <t xml:space="preserve"> Vystyti viešųjų erdvių gerinimo programas ir lokalius urbanistinės struktūros atgaivinimo projektus  </t>
        </r>
      </text>
    </comment>
    <comment ref="J44" authorId="2" shapeId="0">
      <text>
        <r>
          <rPr>
            <sz val="9"/>
            <color indexed="81"/>
            <rFont val="Tahoma"/>
            <family val="2"/>
            <charset val="186"/>
          </rPr>
          <t xml:space="preserve">Perkeliama atsiskaitymui už atliktus drenažo darbus (papildomi darbai) pagal 2021-10-26 sut. Nr. J9-2730
 </t>
        </r>
      </text>
    </comment>
    <comment ref="F46" authorId="0" shapeId="0">
      <text>
        <r>
          <rPr>
            <sz val="9"/>
            <color indexed="81"/>
            <rFont val="Tahoma"/>
            <family val="2"/>
            <charset val="186"/>
          </rPr>
          <t>P-3.2.2.5.</t>
        </r>
      </text>
    </comment>
    <comment ref="M46" authorId="1" shapeId="0">
      <text>
        <r>
          <rPr>
            <sz val="9"/>
            <color indexed="81"/>
            <rFont val="Tahoma"/>
            <family val="2"/>
            <charset val="186"/>
          </rPr>
          <t xml:space="preserve">Reikalinga iškelti buitinių nuotekų tinklus, kurie trukdo el. įvadų įrengimui </t>
        </r>
      </text>
    </comment>
    <comment ref="F49" authorId="1"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F50" authorId="1" shapeId="0">
      <text>
        <r>
          <rPr>
            <b/>
            <sz val="9"/>
            <color indexed="81"/>
            <rFont val="Tahoma"/>
            <family val="2"/>
            <charset val="186"/>
          </rPr>
          <t>P, 3.2.1.7 KSP</t>
        </r>
        <r>
          <rPr>
            <sz val="9"/>
            <color indexed="81"/>
            <rFont val="Tahoma"/>
            <family val="2"/>
            <charset val="186"/>
          </rPr>
          <t xml:space="preserve"> priemonė: Sutvarkyti senamiesčio ir istorinės miesto dalies reprezentacinių viešųjų erdvių (Teatro, Turgaus, Atgimimo aikščių, Ferdinando ir kitų skverų) infrastruktūrą pritaikant jas turizmo reikmėms bei renginiams </t>
        </r>
      </text>
    </comment>
    <comment ref="F51" authorId="1"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F52" authorId="3" shapeId="0">
      <text>
        <r>
          <rPr>
            <b/>
            <sz val="9"/>
            <color indexed="81"/>
            <rFont val="Tahoma"/>
            <family val="2"/>
            <charset val="186"/>
          </rPr>
          <t>Klaipėdos miesto ekonominės plėtros strategija ir įgyvendinimo veiksmų planas iki 2030 metų (P6)
P6 3.1.13.</t>
        </r>
        <r>
          <rPr>
            <sz val="9"/>
            <color indexed="81"/>
            <rFont val="Tahoma"/>
            <family val="2"/>
            <charset val="186"/>
          </rPr>
          <t xml:space="preserve"> Vystyti viešųjų erdvių gerinimo programas ir lokalius urbanistinės struktūros atgaivinimo projektus  </t>
        </r>
      </text>
    </comment>
    <comment ref="F54" authorId="4" shapeId="0">
      <text>
        <r>
          <rPr>
            <sz val="9"/>
            <color indexed="81"/>
            <rFont val="Tahoma"/>
            <family val="2"/>
            <charset val="186"/>
          </rPr>
          <t>P-3.2.2.; 3.2.2.5.</t>
        </r>
      </text>
    </comment>
    <comment ref="F56" authorId="1" shapeId="0">
      <text>
        <r>
          <rPr>
            <b/>
            <sz val="9"/>
            <color indexed="81"/>
            <rFont val="Tahoma"/>
            <family val="2"/>
            <charset val="186"/>
          </rPr>
          <t xml:space="preserve">P6 3.1.13 </t>
        </r>
        <r>
          <rPr>
            <sz val="9"/>
            <color indexed="81"/>
            <rFont val="Tahoma"/>
            <family val="2"/>
            <charset val="186"/>
          </rPr>
          <t>priemonė, Vystyti viešųjų erdvių pietinėje ir šiaurinėje erdvėje atgaivinimo projektus</t>
        </r>
      </text>
    </comment>
    <comment ref="F58" authorId="0" shapeId="0">
      <text>
        <r>
          <rPr>
            <sz val="9"/>
            <color indexed="81"/>
            <rFont val="Tahoma"/>
            <family val="2"/>
            <charset val="186"/>
          </rPr>
          <t>P-3.2.2.5.</t>
        </r>
      </text>
    </comment>
    <comment ref="F59" authorId="1" shapeId="0">
      <text>
        <r>
          <rPr>
            <b/>
            <sz val="9"/>
            <color indexed="81"/>
            <rFont val="Tahoma"/>
            <family val="2"/>
            <charset val="186"/>
          </rPr>
          <t xml:space="preserve">P6 3.1.13 </t>
        </r>
        <r>
          <rPr>
            <sz val="9"/>
            <color indexed="81"/>
            <rFont val="Tahoma"/>
            <family val="2"/>
            <charset val="186"/>
          </rPr>
          <t>priemonė, Vystyti viešųjų erdvių pietinėje ir šiaurinėje erdvėje atgaivinimo projektus</t>
        </r>
      </text>
    </comment>
    <comment ref="F61" authorId="1" shapeId="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J61" authorId="2" shapeId="0">
      <text>
        <r>
          <rPr>
            <sz val="9"/>
            <color indexed="81"/>
            <rFont val="Tahoma"/>
            <family val="2"/>
            <charset val="186"/>
          </rPr>
          <t>Želdinių tvarkymas, dangų ardymas, požemio tinklų remontas, įrengimas, ESO dalis</t>
        </r>
        <r>
          <rPr>
            <sz val="9"/>
            <color indexed="81"/>
            <rFont val="Tahoma"/>
            <family val="2"/>
            <charset val="186"/>
          </rPr>
          <t xml:space="preserve">
</t>
        </r>
      </text>
    </comment>
    <comment ref="M61" authorId="2" shapeId="0">
      <text>
        <r>
          <rPr>
            <sz val="9"/>
            <color indexed="81"/>
            <rFont val="Tahoma"/>
            <family val="2"/>
            <charset val="186"/>
          </rPr>
          <t xml:space="preserve">11 215 m²
I, II, IV etapai
</t>
        </r>
      </text>
    </comment>
    <comment ref="F62" authorId="4" shapeId="0">
      <text>
        <r>
          <rPr>
            <sz val="9"/>
            <color indexed="81"/>
            <rFont val="Tahoma"/>
            <family val="2"/>
            <charset val="186"/>
          </rPr>
          <t>P-3.2.2.; 3.2.2.5.</t>
        </r>
      </text>
    </comment>
    <comment ref="J65" authorId="2" shapeId="0">
      <text>
        <r>
          <rPr>
            <sz val="9"/>
            <color indexed="81"/>
            <rFont val="Tahoma"/>
            <family val="2"/>
            <charset val="186"/>
          </rPr>
          <t>Paviršinių nuotekų tinklų įrengimas - 85 491,0 Eur;
Apšvietimo įrengimas ir elektrotechnikos dalis - 184 102,0 Eur;
Pėsčiųjų – dviračių tako ir skvero atnaujinimas - 355 400,0 Eur.</t>
        </r>
      </text>
    </comment>
    <comment ref="M65" authorId="2" shapeId="0">
      <text>
        <r>
          <rPr>
            <sz val="9"/>
            <color indexed="81"/>
            <rFont val="Tahoma"/>
            <family val="2"/>
            <charset val="186"/>
          </rPr>
          <t xml:space="preserve">11 215 m²
I, II, IV etapai
</t>
        </r>
      </text>
    </comment>
    <comment ref="F66" authorId="4" shapeId="0">
      <text>
        <r>
          <rPr>
            <sz val="9"/>
            <color indexed="81"/>
            <rFont val="Tahoma"/>
            <family val="2"/>
            <charset val="186"/>
          </rPr>
          <t>P-3.2.2.; 3.2.2.5.</t>
        </r>
      </text>
    </comment>
    <comment ref="F68" authorId="1" shapeId="0">
      <text>
        <r>
          <rPr>
            <b/>
            <sz val="9"/>
            <color indexed="81"/>
            <rFont val="Tahoma"/>
            <family val="2"/>
            <charset val="186"/>
          </rPr>
          <t>2.4.1.1.</t>
        </r>
        <r>
          <rPr>
            <sz val="9"/>
            <color indexed="81"/>
            <rFont val="Tahoma"/>
            <family val="2"/>
            <charset val="186"/>
          </rPr>
          <t xml:space="preserve">
Centrinės miesto dalies zonose prie vandens (jūros, marių, Danės upės) teikti pirmenybę daugiafunkcės paskirties teritorijų vystymui</t>
        </r>
      </text>
    </comment>
    <comment ref="F69" authorId="2" shapeId="0">
      <text>
        <r>
          <rPr>
            <sz val="9"/>
            <color indexed="81"/>
            <rFont val="Tahoma"/>
            <family val="2"/>
            <charset val="186"/>
          </rPr>
          <t xml:space="preserve">P-3.2.1.2.
</t>
        </r>
      </text>
    </comment>
    <comment ref="M69" authorId="2" shapeId="0">
      <text>
        <r>
          <rPr>
            <sz val="9"/>
            <color indexed="81"/>
            <rFont val="Tahoma"/>
            <family val="2"/>
            <charset val="186"/>
          </rPr>
          <t xml:space="preserve">2024 m. - 2025 m. viešosios infrastruktūros TP rengimas
</t>
        </r>
      </text>
    </comment>
    <comment ref="N74" authorId="2" shapeId="0">
      <text>
        <r>
          <rPr>
            <sz val="9"/>
            <color indexed="81"/>
            <rFont val="Tahoma"/>
            <family val="2"/>
            <charset val="186"/>
          </rPr>
          <t>2 naujai prižiūrimii fontanai - prie Jono kalnelio ir Vaidilos</t>
        </r>
      </text>
    </comment>
    <comment ref="O74" authorId="2" shapeId="0">
      <text>
        <r>
          <rPr>
            <sz val="9"/>
            <color indexed="81"/>
            <rFont val="Tahoma"/>
            <family val="2"/>
            <charset val="186"/>
          </rPr>
          <t xml:space="preserve">2022 m. bus įrengtas Dangės skvero fontanas
</t>
        </r>
      </text>
    </comment>
    <comment ref="O75" authorId="2" shapeId="0">
      <text>
        <r>
          <rPr>
            <sz val="9"/>
            <color indexed="81"/>
            <rFont val="Tahoma"/>
            <family val="2"/>
            <charset val="186"/>
          </rPr>
          <t>Poilsio parkas - 3 vnt.
Ąžuolyno giraitė - 3 vnt.</t>
        </r>
      </text>
    </comment>
    <comment ref="M76" authorId="2" shapeId="0">
      <text>
        <r>
          <rPr>
            <sz val="9"/>
            <color indexed="81"/>
            <rFont val="Tahoma"/>
            <family val="2"/>
            <charset val="186"/>
          </rPr>
          <t>Lietuvininkų aikštė - 13,3 tūkst. Eur
Prie "Meridiano" - 14,2 tūkst. Eur
Teatro aikštė - 14,8 tūkst. Eur</t>
        </r>
      </text>
    </comment>
    <comment ref="O76" authorId="2" shapeId="0">
      <text>
        <r>
          <rPr>
            <sz val="9"/>
            <color indexed="81"/>
            <rFont val="Tahoma"/>
            <family val="2"/>
            <charset val="186"/>
          </rPr>
          <t>Lietuvininkų aikštėje, prie burlaivio Meriadanas</t>
        </r>
        <r>
          <rPr>
            <sz val="9"/>
            <color indexed="81"/>
            <rFont val="Tahoma"/>
            <family val="2"/>
            <charset val="186"/>
          </rPr>
          <t xml:space="preserve">
</t>
        </r>
      </text>
    </comment>
    <comment ref="P76" authorId="2" shapeId="0">
      <text>
        <r>
          <rPr>
            <sz val="9"/>
            <color indexed="81"/>
            <rFont val="Tahoma"/>
            <family val="2"/>
            <charset val="186"/>
          </rPr>
          <t>Teatro aikštėje</t>
        </r>
      </text>
    </comment>
    <comment ref="N92" authorId="2" shapeId="0">
      <text>
        <r>
          <rPr>
            <sz val="9"/>
            <color indexed="81"/>
            <rFont val="Tahoma"/>
            <family val="2"/>
            <charset val="186"/>
          </rPr>
          <t xml:space="preserve">31 naujų kamerų priežiūra įrengtų per įvykdytus projektus. Planuojama, kameros bus įrengtos 2020 m. pabaigoje, priežiūra planuojama nuo sausio mėnesio. Nuo 2022 m. dar plius 13 kamerų. </t>
        </r>
      </text>
    </comment>
    <comment ref="O92" authorId="5" shapeId="0">
      <text>
        <r>
          <rPr>
            <sz val="9"/>
            <color indexed="81"/>
            <rFont val="Tahoma"/>
            <family val="2"/>
            <charset val="186"/>
          </rPr>
          <t>Iš jų 176 jau eksploatuojamos, 30 planuojama perimti iš Projektų skyriaus, pabaigus projektus.</t>
        </r>
      </text>
    </comment>
    <comment ref="F93" authorId="4" shapeId="0">
      <text>
        <r>
          <rPr>
            <sz val="9"/>
            <color indexed="81"/>
            <rFont val="Tahoma"/>
            <family val="2"/>
            <charset val="186"/>
          </rPr>
          <t>P-2.4.3.5.</t>
        </r>
      </text>
    </comment>
    <comment ref="O93" authorId="5" shapeId="0">
      <text>
        <r>
          <rPr>
            <sz val="9"/>
            <color indexed="81"/>
            <rFont val="Tahoma"/>
            <family val="2"/>
            <charset val="186"/>
          </rPr>
          <t xml:space="preserve">4 jau eksploatuojamos, 6 bus perimtos iš projektų skyriaus, pabaigus projektus. </t>
        </r>
      </text>
    </comment>
    <comment ref="F96" authorId="3" shapeId="0">
      <text>
        <r>
          <rPr>
            <b/>
            <sz val="9"/>
            <color indexed="81"/>
            <rFont val="Tahoma"/>
            <family val="2"/>
            <charset val="186"/>
          </rPr>
          <t>KEPS2030  4.5.1.</t>
        </r>
        <r>
          <rPr>
            <sz val="9"/>
            <color indexed="81"/>
            <rFont val="Tahoma"/>
            <family val="2"/>
            <charset val="186"/>
          </rPr>
          <t xml:space="preserve"> Išvalyti Danės upę, pastatyti ir išplėtoti mažus uostelius.</t>
        </r>
      </text>
    </comment>
    <comment ref="F97" authorId="1" shapeId="0">
      <text>
        <r>
          <rPr>
            <sz val="9"/>
            <color indexed="81"/>
            <rFont val="Tahoma"/>
            <family val="2"/>
            <charset val="186"/>
          </rPr>
          <t>P-1.2.3.1</t>
        </r>
      </text>
    </comment>
    <comment ref="M100" authorId="1" shapeId="0">
      <text>
        <r>
          <rPr>
            <sz val="9"/>
            <color indexed="81"/>
            <rFont val="Tahoma"/>
            <family val="2"/>
            <charset val="186"/>
          </rPr>
          <t>Planuojama vieta – ant naujojo Klaipėdos baseino rytinės sienos (Taikos pr.).</t>
        </r>
      </text>
    </comment>
    <comment ref="F102" authorId="2" shapeId="0">
      <text>
        <r>
          <rPr>
            <b/>
            <sz val="9"/>
            <color indexed="81"/>
            <rFont val="Tahoma"/>
            <family val="2"/>
            <charset val="186"/>
          </rPr>
          <t>P1, 3.2.1.</t>
        </r>
        <r>
          <rPr>
            <sz val="9"/>
            <color indexed="81"/>
            <rFont val="Tahoma"/>
            <family val="2"/>
            <charset val="186"/>
          </rPr>
          <t xml:space="preserve"> Patvirtinta dalyvaujamojo biudžeto koncepcija ir metodika
</t>
        </r>
      </text>
    </comment>
    <comment ref="O103" authorId="4" shapeId="0">
      <text>
        <r>
          <rPr>
            <sz val="9"/>
            <color indexed="81"/>
            <rFont val="Tahoma"/>
            <family val="2"/>
            <charset val="186"/>
          </rPr>
          <t>1. Vaikų žaidimo aikštelė Tauralaukyje 
2. Vaikų žaidimo aikštelė  Simonaitytėje
2021-09-13 direktoriaus įsakymas Nr. AD1-1060</t>
        </r>
      </text>
    </comment>
    <comment ref="F104" authorId="2" shapeId="0">
      <text>
        <r>
          <rPr>
            <sz val="9"/>
            <color indexed="81"/>
            <rFont val="Tahoma"/>
            <family val="2"/>
            <charset val="186"/>
          </rPr>
          <t>P-2.6.4.3.</t>
        </r>
      </text>
    </comment>
    <comment ref="O104" authorId="2" shapeId="0">
      <text>
        <r>
          <rPr>
            <sz val="9"/>
            <color indexed="81"/>
            <rFont val="Tahoma"/>
            <family val="2"/>
            <charset val="186"/>
          </rPr>
          <t xml:space="preserve">Mitologinės ir poilsinės žaismų erdvės "Baltų saulės parkas" pagal gyventojų iniciatyvą techninio darbo projekto parengimas
</t>
        </r>
      </text>
    </comment>
    <comment ref="P105" authorId="2" shapeId="0">
      <text>
        <r>
          <rPr>
            <sz val="9"/>
            <color indexed="81"/>
            <rFont val="Tahoma"/>
            <family val="2"/>
            <charset val="186"/>
          </rPr>
          <t>Mitologinės ir poilsinės žaismų erdvės "Baltų saulės parkas" pagal gyventojų iniciatyvą įrengimas</t>
        </r>
      </text>
    </comment>
    <comment ref="F107" authorId="4" shapeId="0">
      <text>
        <r>
          <rPr>
            <sz val="9"/>
            <color indexed="81"/>
            <rFont val="Tahoma"/>
            <family val="2"/>
            <charset val="186"/>
          </rPr>
          <t>P-1.2.1.5.</t>
        </r>
      </text>
    </comment>
    <comment ref="F109" authorId="4" shapeId="0">
      <text>
        <r>
          <rPr>
            <sz val="9"/>
            <color indexed="81"/>
            <rFont val="Tahoma"/>
            <family val="2"/>
            <charset val="186"/>
          </rPr>
          <t>P-1.2.1.5.</t>
        </r>
      </text>
    </comment>
    <comment ref="F110" authorId="3" shapeId="0">
      <text>
        <r>
          <rPr>
            <b/>
            <sz val="9"/>
            <color indexed="81"/>
            <rFont val="Tahoma"/>
            <family val="2"/>
            <charset val="186"/>
          </rPr>
          <t>KEPS 4.5.1.</t>
        </r>
        <r>
          <rPr>
            <sz val="9"/>
            <color indexed="81"/>
            <rFont val="Tahoma"/>
            <family val="2"/>
            <charset val="186"/>
          </rPr>
          <t xml:space="preserve"> Išvalyti Danės upę, pastatyti ir išplėtoti mažus uostelius.</t>
        </r>
      </text>
    </comment>
    <comment ref="O113" authorId="2" shapeId="0">
      <text>
        <r>
          <rPr>
            <sz val="9"/>
            <color indexed="81"/>
            <rFont val="Tahoma"/>
            <family val="2"/>
            <charset val="186"/>
          </rPr>
          <t xml:space="preserve">Pirmas tyrimas numatytas apie gegužės 6 d., tačiau  manoma, kad taip anksti sezonas neprasidės, todėl vieno tyrimo atsisakyta.
</t>
        </r>
      </text>
    </comment>
    <comment ref="P119" authorId="2" shapeId="0">
      <text>
        <r>
          <rPr>
            <sz val="9"/>
            <color indexed="81"/>
            <rFont val="Tahoma"/>
            <family val="2"/>
            <charset val="186"/>
          </rPr>
          <t xml:space="preserve">1. Vandens motociklas 
</t>
        </r>
      </text>
    </comment>
    <comment ref="Q119" authorId="2" shapeId="0">
      <text>
        <r>
          <rPr>
            <sz val="9"/>
            <color indexed="81"/>
            <rFont val="Tahoma"/>
            <family val="2"/>
            <charset val="186"/>
          </rPr>
          <t xml:space="preserve">1. Keturratis 
</t>
        </r>
      </text>
    </comment>
    <comment ref="N120" authorId="2" shapeId="0">
      <text>
        <r>
          <rPr>
            <b/>
            <sz val="9"/>
            <color indexed="81"/>
            <rFont val="Tahoma"/>
            <family val="2"/>
            <charset val="186"/>
          </rPr>
          <t xml:space="preserve">2021 m. </t>
        </r>
        <r>
          <rPr>
            <sz val="9"/>
            <color indexed="81"/>
            <rFont val="Tahoma"/>
            <family val="2"/>
            <charset val="186"/>
          </rPr>
          <t xml:space="preserve">inventorius (1  gelbėjimos plaustas; 2 defibriliatoriai)
</t>
        </r>
      </text>
    </comment>
    <comment ref="O120" authorId="6" shapeId="0">
      <text>
        <r>
          <rPr>
            <sz val="9"/>
            <color indexed="81"/>
            <rFont val="Tahoma"/>
            <family val="2"/>
            <charset val="186"/>
          </rPr>
          <t>Lapų pūstuvas 1 vnt. - 0,8 tūkst. Eur, trimeris 1 vnt. - 0,8 tūkst. Eur, viniakalė 1 vnt. - 0,8 tūkst. Eur, smėlio valymo tinklas su keitimu 1 vnt. - 10,9 tūkst. Eur.</t>
        </r>
      </text>
    </comment>
    <comment ref="F121" authorId="1" shapeId="0">
      <text>
        <r>
          <rPr>
            <b/>
            <sz val="9"/>
            <color indexed="81"/>
            <rFont val="Tahoma"/>
            <family val="2"/>
            <charset val="186"/>
          </rPr>
          <t xml:space="preserve">P1, </t>
        </r>
        <r>
          <rPr>
            <sz val="9"/>
            <color indexed="81"/>
            <rFont val="Tahoma"/>
            <family val="2"/>
            <charset val="186"/>
          </rPr>
          <t>2.3. Municipalinio (vidaus vandenų) uosto atkūrimas Klaipėdoje</t>
        </r>
      </text>
    </comment>
    <comment ref="F122" authorId="3" shapeId="0">
      <text>
        <r>
          <rPr>
            <b/>
            <sz val="9"/>
            <color indexed="81"/>
            <rFont val="Tahoma"/>
            <family val="2"/>
            <charset val="186"/>
          </rPr>
          <t>KEPS 4.5.1.</t>
        </r>
        <r>
          <rPr>
            <sz val="9"/>
            <color indexed="81"/>
            <rFont val="Tahoma"/>
            <family val="2"/>
            <charset val="186"/>
          </rPr>
          <t xml:space="preserve"> Išvalyti Danės upę, pastatyti ir išplėtoti mažus uostelius.</t>
        </r>
      </text>
    </comment>
    <comment ref="F124" authorId="1" shapeId="0">
      <text>
        <r>
          <rPr>
            <sz val="9"/>
            <color indexed="81"/>
            <rFont val="Tahoma"/>
            <family val="2"/>
            <charset val="186"/>
          </rPr>
          <t>P-1.2.3.1</t>
        </r>
      </text>
    </comment>
    <comment ref="M125" authorId="1" shapeId="0">
      <text>
        <r>
          <rPr>
            <sz val="9"/>
            <color indexed="81"/>
            <rFont val="Tahoma"/>
            <family val="2"/>
            <charset val="186"/>
          </rPr>
          <t>Viešieji tualetai: Stovyklų g. 4 –21,79 m2; Kopų g. 1A (I Melnragė) – 87,25 m2;</t>
        </r>
      </text>
    </comment>
    <comment ref="F130" authorId="1" shapeId="0">
      <text>
        <r>
          <rPr>
            <sz val="9"/>
            <color indexed="81"/>
            <rFont val="Tahoma"/>
            <family val="2"/>
            <charset val="186"/>
          </rPr>
          <t xml:space="preserve">P-1.2.1.1., 1.2.1.2., 1.2.1.5.
</t>
        </r>
      </text>
    </comment>
    <comment ref="O130" authorId="7" shapeId="0">
      <text>
        <r>
          <rPr>
            <sz val="9"/>
            <color indexed="81"/>
            <rFont val="Tahoma"/>
            <family val="2"/>
            <charset val="186"/>
          </rPr>
          <t xml:space="preserve">Konteinerinių WC pastatymas -Smiltynės g. 30 ir 31.
Infrastruktūros įrengimas (gręžinys ir/ar elektra) - Smiltynės g. 30, 31  33, 14A, 14B, 14C.
</t>
        </r>
      </text>
    </comment>
    <comment ref="P130" authorId="7" shapeId="0">
      <text>
        <r>
          <rPr>
            <sz val="9"/>
            <color indexed="81"/>
            <rFont val="Tahoma"/>
            <family val="2"/>
            <charset val="186"/>
          </rPr>
          <t>Konteinerinių WC pastatymas -Smiltynės g. 14A, 14B, 14C</t>
        </r>
      </text>
    </comment>
    <comment ref="F133" authorId="1" shapeId="0">
      <text>
        <r>
          <rPr>
            <sz val="9"/>
            <color indexed="81"/>
            <rFont val="Tahoma"/>
            <family val="2"/>
            <charset val="186"/>
          </rPr>
          <t xml:space="preserve">P-1.2.1.1., 1.2.1.2., 1.2.1.5.
</t>
        </r>
      </text>
    </comment>
    <comment ref="F135" authorId="1" shapeId="0">
      <text>
        <r>
          <rPr>
            <sz val="9"/>
            <color indexed="81"/>
            <rFont val="Tahoma"/>
            <family val="2"/>
            <charset val="186"/>
          </rPr>
          <t xml:space="preserve">P-1.2.1.1., 1.2.1.2., 1.2.1.5.
</t>
        </r>
      </text>
    </comment>
    <comment ref="O147" authorId="2" shapeId="0">
      <text>
        <r>
          <rPr>
            <sz val="9"/>
            <color indexed="81"/>
            <rFont val="Tahoma"/>
            <family val="2"/>
            <charset val="186"/>
          </rPr>
          <t>Didesnis mokyklų skaičius dėl COVID higieninių reikalavimų (didesnių atstumų, mažesnių dalyvių grupių, srautų nesimaišymo)</t>
        </r>
        <r>
          <rPr>
            <sz val="9"/>
            <color indexed="81"/>
            <rFont val="Tahoma"/>
            <family val="2"/>
            <charset val="186"/>
          </rPr>
          <t xml:space="preserve">
</t>
        </r>
      </text>
    </comment>
    <comment ref="F159" authorId="4" shapeId="0">
      <text>
        <r>
          <rPr>
            <sz val="9"/>
            <color indexed="81"/>
            <rFont val="Tahoma"/>
            <family val="2"/>
            <charset val="186"/>
          </rPr>
          <t>P-3.3.2.4.</t>
        </r>
      </text>
    </comment>
    <comment ref="F161" authorId="4" shapeId="0">
      <text>
        <r>
          <rPr>
            <sz val="9"/>
            <color indexed="81"/>
            <rFont val="Tahoma"/>
            <family val="2"/>
            <charset val="186"/>
          </rPr>
          <t>P-3.3.2.4.</t>
        </r>
      </text>
    </comment>
    <comment ref="N167" authorId="2" shapeId="0">
      <text>
        <r>
          <rPr>
            <sz val="9"/>
            <color indexed="81"/>
            <rFont val="Tahoma"/>
            <family val="2"/>
            <charset val="186"/>
          </rPr>
          <t>2021 m. 
1. Karlskronos aikštė (perkelta iš 2020 m., kadangi pratęstas projekto parengimo terminas 2 mėnesių laikotarpiui nuo 2020-12-11 pagal sutartį Nr. J9-3279)
2. Skveras tarp H. Manto g. 38 ir 36 (perkelta iš 2020 m., kadangi projekto parengimo terminas baigiasi 2021-03-05) 
3. I. Simonaitytės kalnas ties I. Simonaitytės g. 2-6 (perkelta iš 2020 m., kadangi nebaigta techninės priežiūros paslauga)
4. Praėjimas nuo Veterinarijos g. iki Neringos sodų (perkelta iš 2020 m., kadangi nebaigta techninės priežiūros paslauga)
Taip pat perkeltos lėšos Viešųjų erdvių apšvietimo techninių darbo projektų parengimo ir projektų vykdymo priežiūros paslaugų (I ir II dalys), kadangi neparengti projektai.</t>
        </r>
      </text>
    </comment>
    <comment ref="F168" authorId="4" shapeId="0">
      <text>
        <r>
          <rPr>
            <sz val="9"/>
            <color indexed="81"/>
            <rFont val="Tahoma"/>
            <family val="2"/>
            <charset val="186"/>
          </rPr>
          <t>P-3.3.2.4.</t>
        </r>
      </text>
    </comment>
    <comment ref="O169" authorId="2" shapeId="0">
      <text>
        <r>
          <rPr>
            <sz val="9"/>
            <color indexed="81"/>
            <rFont val="Tahoma"/>
            <family val="2"/>
            <charset val="186"/>
          </rPr>
          <t>2022 m.
1. Takai nuo I. Simonaitytės g. 6 iki 22 (500 m)
2. Takas nuo Markučių g. 5 iki Vingio g. (220 m)
3. Takas nuo Paryžiaus Komunos g. 27 iki Šilutės pl. 2A (150 m)
4. Takas nuo Baltijos pr.45 palei Baltijos gimnazija (230 m)
5. Takas nuo Simonaitytės kalno iki Aukuro gimnazijos (250 m)
6. Laistų 1-oji, 2-oji, 3-oji g. (1200 m)
7. Smilgų g. (150 m)
8. Smilčių g. (250 m)
9. Arimų g. (750 m)
Taip pat projektų ekspertizės (3000 Eur)</t>
        </r>
      </text>
    </comment>
    <comment ref="F176" authorId="4" shapeId="0">
      <text>
        <r>
          <rPr>
            <sz val="9"/>
            <color indexed="81"/>
            <rFont val="Tahoma"/>
            <family val="2"/>
            <charset val="186"/>
          </rPr>
          <t>P-3.3.2.4.</t>
        </r>
      </text>
    </comment>
    <comment ref="J193" authorId="2" shapeId="0">
      <text>
        <r>
          <rPr>
            <sz val="9"/>
            <color indexed="81"/>
            <rFont val="Tahoma"/>
            <family val="2"/>
            <charset val="186"/>
          </rPr>
          <t xml:space="preserve">Lėšos 2022-2023 m. planuojamos didesnės, nes bus vykdomi nauji trimečiai pirkimai, sumos pagrįstos pagal galiojančias sutartis ir naujus tiekėjų pasiūlytų kainų vidurkius.
</t>
        </r>
      </text>
    </comment>
    <comment ref="F196" authorId="4" shapeId="0">
      <text>
        <r>
          <rPr>
            <sz val="9"/>
            <color indexed="81"/>
            <rFont val="Tahoma"/>
            <family val="2"/>
            <charset val="186"/>
          </rPr>
          <t>P-3.2.2.6.</t>
        </r>
      </text>
    </comment>
    <comment ref="E212" authorId="8" shapeId="0">
      <text>
        <r>
          <rPr>
            <sz val="9"/>
            <color indexed="81"/>
            <rFont val="Tahoma"/>
            <family val="2"/>
            <charset val="186"/>
          </rPr>
          <t>2021–2030</t>
        </r>
        <r>
          <rPr>
            <sz val="9"/>
            <color indexed="81"/>
            <rFont val="Tahoma"/>
            <family val="2"/>
            <charset val="186"/>
          </rPr>
          <t xml:space="preserve">
</t>
        </r>
      </text>
    </comment>
    <comment ref="F212" authorId="4" shapeId="0">
      <text>
        <r>
          <rPr>
            <sz val="9"/>
            <color indexed="81"/>
            <rFont val="Tahoma"/>
            <family val="2"/>
            <charset val="186"/>
          </rPr>
          <t>P-3.2.2.6.</t>
        </r>
      </text>
    </comment>
    <comment ref="F220" authorId="4" shapeId="0">
      <text>
        <r>
          <rPr>
            <sz val="9"/>
            <color indexed="81"/>
            <rFont val="Tahoma"/>
            <family val="2"/>
            <charset val="186"/>
          </rPr>
          <t>P-3.2.2.1.; 3.3.2.4.</t>
        </r>
      </text>
    </comment>
    <comment ref="F221" authorId="1" shapeId="0">
      <text>
        <r>
          <rPr>
            <b/>
            <sz val="9"/>
            <color indexed="81"/>
            <rFont val="Tahoma"/>
            <family val="2"/>
            <charset val="186"/>
          </rPr>
          <t>P1, 3.4.</t>
        </r>
        <r>
          <rPr>
            <sz val="9"/>
            <color indexed="81"/>
            <rFont val="Tahoma"/>
            <family val="2"/>
            <charset val="186"/>
          </rPr>
          <t xml:space="preserve"> Daugiabučių namų kvartalinės renovacijos skatinimas</t>
        </r>
      </text>
    </comment>
    <comment ref="M225" authorId="2" shapeId="0">
      <text>
        <r>
          <rPr>
            <sz val="9"/>
            <color indexed="81"/>
            <rFont val="Tahoma"/>
            <family val="2"/>
            <charset val="186"/>
          </rPr>
          <t>(146 000 m²)</t>
        </r>
        <r>
          <rPr>
            <sz val="9"/>
            <color indexed="81"/>
            <rFont val="Tahoma"/>
            <family val="2"/>
            <charset val="186"/>
          </rPr>
          <t xml:space="preserve">
</t>
        </r>
      </text>
    </comment>
    <comment ref="O225" authorId="2" shapeId="0">
      <text>
        <r>
          <rPr>
            <sz val="9"/>
            <color indexed="81"/>
            <rFont val="Tahoma"/>
            <family val="2"/>
            <charset val="186"/>
          </rPr>
          <t xml:space="preserve">Sudarius Taikos sutartį su asociacija „Klaipėdos žalieji“, atsirado papildomi sprendiniai ir poreikis atlikti projekto korekcijas. Taip pat remiantis III teritorijos pakeitimais 6 mėn. pratęstas rangos sutarties terminas su rangovu UAB „VVARFF“. Projekto „Kompleksinis tikslinės teritorijos daugiabučių kiemų tvarkymas“ rangos darbų pabaiga numatyta 2022-08-28. 
</t>
        </r>
      </text>
    </comment>
    <comment ref="F226" authorId="0" shapeId="0">
      <text>
        <r>
          <rPr>
            <sz val="9"/>
            <color indexed="81"/>
            <rFont val="Tahoma"/>
            <family val="2"/>
            <charset val="186"/>
          </rPr>
          <t>P-3.2.2.1.</t>
        </r>
      </text>
    </comment>
    <comment ref="F227" authorId="1" shapeId="0">
      <text>
        <r>
          <rPr>
            <b/>
            <sz val="9"/>
            <color indexed="81"/>
            <rFont val="Tahoma"/>
            <family val="2"/>
            <charset val="186"/>
          </rPr>
          <t>P1, 3.4.</t>
        </r>
        <r>
          <rPr>
            <sz val="9"/>
            <color indexed="81"/>
            <rFont val="Tahoma"/>
            <family val="2"/>
            <charset val="186"/>
          </rPr>
          <t xml:space="preserve"> Daugiabučių namų kvartalinės renovacijos skatinimas;</t>
        </r>
      </text>
    </comment>
    <comment ref="F235" authorId="4" shapeId="0">
      <text>
        <r>
          <rPr>
            <sz val="9"/>
            <color indexed="81"/>
            <rFont val="Tahoma"/>
            <family val="2"/>
            <charset val="186"/>
          </rPr>
          <t>P-2.4.2.; 3.2.2.5.</t>
        </r>
      </text>
    </comment>
    <comment ref="F242" authorId="4" shapeId="0">
      <text>
        <r>
          <rPr>
            <sz val="9"/>
            <color indexed="81"/>
            <rFont val="Tahoma"/>
            <family val="2"/>
            <charset val="186"/>
          </rPr>
          <t>P-2.4.3.5.</t>
        </r>
      </text>
    </comment>
    <comment ref="O260" authorId="2" shapeId="0">
      <text>
        <r>
          <rPr>
            <sz val="9"/>
            <color indexed="81"/>
            <rFont val="Tahoma"/>
            <family val="2"/>
            <charset val="186"/>
          </rPr>
          <t xml:space="preserve">KLASCO kolektoriaus rekonstrukcija ir naujų tinklų tiesimas - tai didelio diametro vamzdžiai ir sudėtinga rekonstrukcija, todėl suma didelė, o metražas trumpas (285 m);
Renetų g. - 230 m. 
</t>
        </r>
      </text>
    </comment>
    <comment ref="F261" authorId="2" shapeId="0">
      <text>
        <r>
          <rPr>
            <sz val="9"/>
            <color indexed="81"/>
            <rFont val="Tahoma"/>
            <family val="2"/>
            <charset val="186"/>
          </rPr>
          <t>P-3.3.3.4.</t>
        </r>
      </text>
    </comment>
    <comment ref="F263" authorId="2" shapeId="0">
      <text>
        <r>
          <rPr>
            <sz val="9"/>
            <color indexed="81"/>
            <rFont val="Tahoma"/>
            <family val="2"/>
            <charset val="186"/>
          </rPr>
          <t>P-3.2.2.7</t>
        </r>
      </text>
    </comment>
    <comment ref="F264" authorId="0" shapeId="0">
      <text>
        <r>
          <rPr>
            <sz val="9"/>
            <color indexed="81"/>
            <rFont val="Tahoma"/>
            <family val="2"/>
            <charset val="186"/>
          </rPr>
          <t>P-3.2.1.4.</t>
        </r>
      </text>
    </comment>
  </commentList>
</comments>
</file>

<file path=xl/sharedStrings.xml><?xml version="1.0" encoding="utf-8"?>
<sst xmlns="http://schemas.openxmlformats.org/spreadsheetml/2006/main" count="2049" uniqueCount="375">
  <si>
    <t>Uždavinio kodas</t>
  </si>
  <si>
    <t>Priemonės kodas</t>
  </si>
  <si>
    <t>Finansavimo šaltinis</t>
  </si>
  <si>
    <t>01</t>
  </si>
  <si>
    <t>Iš viso:</t>
  </si>
  <si>
    <t>02</t>
  </si>
  <si>
    <t>Iš viso uždaviniui:</t>
  </si>
  <si>
    <t>Iš viso tikslui:</t>
  </si>
  <si>
    <t>Finansavimo šaltiniai</t>
  </si>
  <si>
    <t>Produkto kriterijaus</t>
  </si>
  <si>
    <t>Pavadinimas</t>
  </si>
  <si>
    <t>Finansavimo šaltinių suvestinė</t>
  </si>
  <si>
    <t>SAVIVALDYBĖS  LĖŠOS, IŠ VISO:</t>
  </si>
  <si>
    <t>KITI ŠALTINIAI, IŠ VISO:</t>
  </si>
  <si>
    <t>IŠ VISO:</t>
  </si>
  <si>
    <t>Veiklos plano tikslo kodas</t>
  </si>
  <si>
    <r>
      <t xml:space="preserve">Savivaldybės biudžeto lėšos </t>
    </r>
    <r>
      <rPr>
        <b/>
        <sz val="10"/>
        <rFont val="Times New Roman"/>
        <family val="1"/>
        <charset val="186"/>
      </rPr>
      <t>SB</t>
    </r>
  </si>
  <si>
    <r>
      <t xml:space="preserve">Specialiosios programos lėšos (pajamos už atsitiktines paslaugas) </t>
    </r>
    <r>
      <rPr>
        <b/>
        <sz val="10"/>
        <rFont val="Times New Roman"/>
        <family val="1"/>
        <charset val="186"/>
      </rPr>
      <t>SB(SP)</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</si>
  <si>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</si>
  <si>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</si>
  <si>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</si>
  <si>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</si>
  <si>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t>SB</t>
  </si>
  <si>
    <t>MIESTO INFRASTRUKTŪROS OBJEKTŲ PRIEŽIŪROS IR MODERNIZAVIMO PROGRAMOS (NR. 07)</t>
  </si>
  <si>
    <t>03</t>
  </si>
  <si>
    <t>06</t>
  </si>
  <si>
    <t>08</t>
  </si>
  <si>
    <t>Fontanų priežiūra, remontas ir atnaujinimas</t>
  </si>
  <si>
    <t>Miesto viešų teritorijų inventoriaus priežiūra, įrengimas ir įsigijimas</t>
  </si>
  <si>
    <t>Prižiūrima fontanų, vnt.</t>
  </si>
  <si>
    <t>Įsigyta šiukšliadėžių, vnt.</t>
  </si>
  <si>
    <t>04</t>
  </si>
  <si>
    <t>05</t>
  </si>
  <si>
    <t>07</t>
  </si>
  <si>
    <t>Miesto viešųjų tualetų remontas, priežiūra ir nuoma</t>
  </si>
  <si>
    <t>Nugriauta statinių, vnt.</t>
  </si>
  <si>
    <t>Prižiūrima viešųjų tualetų, vnt.</t>
  </si>
  <si>
    <t>SB(SP)</t>
  </si>
  <si>
    <t>Siekti, kad miesto viešosios erdvės būtų tvarkingos, jaukios ir saugios</t>
  </si>
  <si>
    <t>Užtikrinti laidojimo paslaugų teikimą, miesto kapinių priežiūrą ir poreikius atitinkantį laidojimo vietų skaičių</t>
  </si>
  <si>
    <t>Eksploatuoti, remontuoti ir plėtoti inžinerinio aprūpinimo sistemas</t>
  </si>
  <si>
    <t>07 Miesto infrastruktūros objektų priežiūros ir modernizavimo programa</t>
  </si>
  <si>
    <t>I</t>
  </si>
  <si>
    <t>Mirusių (žuvusių) žmonių palaikų pervežimas iš įvykio vietų, neatpažintų, vienišų ir mirusių, kuriuos artimieji atsisako laidoti, žmonių palaikų laikinas laikymas (saugojimas), palaidojimas savivaldybės lėšomis</t>
  </si>
  <si>
    <t>Švaros ir tvarkos užtikrinimas bendro naudojimo teritorijose:</t>
  </si>
  <si>
    <t>Miesto viešųjų erdvių ir gatvių apšvietimo užtikrinimas:</t>
  </si>
  <si>
    <t xml:space="preserve">Iš viso  programai: </t>
  </si>
  <si>
    <t xml:space="preserve">Statinių, keliančių pavojų gyvybei ir sveikatai, griovimas </t>
  </si>
  <si>
    <t>SB(L)</t>
  </si>
  <si>
    <r>
      <t xml:space="preserve">Programų lėšų likučių laikinai laisvos lėšos </t>
    </r>
    <r>
      <rPr>
        <b/>
        <sz val="10"/>
        <rFont val="Times New Roman"/>
        <family val="1"/>
        <charset val="186"/>
      </rPr>
      <t>SB(L)</t>
    </r>
  </si>
  <si>
    <t>Strateginis tikslas 02. Kurti mieste patrauklią, švarią ir saugią gyvenamąją aplinką</t>
  </si>
  <si>
    <t>Teikti miesto gyventojams kokybiškas komunalines ir viešųjų erdvių priežiūros paslaugas</t>
  </si>
  <si>
    <t>Pirties paslaugų teikimas Smiltynės paplūdimyje</t>
  </si>
  <si>
    <t>09</t>
  </si>
  <si>
    <r>
      <t xml:space="preserve">Vietinių rinkliavų lėšos </t>
    </r>
    <r>
      <rPr>
        <b/>
        <sz val="10"/>
        <rFont val="Times New Roman"/>
        <family val="1"/>
        <charset val="186"/>
      </rPr>
      <t>SB(VR)</t>
    </r>
  </si>
  <si>
    <t>Savivaldybei priskirtų teritorijų sanitarinis valymas, parkų, skverų, žaliųjų plotų želdinimas ir aplinkotvarka</t>
  </si>
  <si>
    <t>Nuomojama kilnojamųjų tualetų švenčių metu, vnt.</t>
  </si>
  <si>
    <t>Eksploatuojama šviestuvų, tūkst. vnt.</t>
  </si>
  <si>
    <t>Papriemonės kodas</t>
  </si>
  <si>
    <t>Viešosios tvarkos skyrius</t>
  </si>
  <si>
    <t>Laidojimo paslaugų teikimas ir kapinių priežiūros organizavimas:</t>
  </si>
  <si>
    <t>Įsigyta suoliukų, vnt.</t>
  </si>
  <si>
    <t xml:space="preserve">Palaidota mirusiųjų, skaičius </t>
  </si>
  <si>
    <t>BĮ „Klaipėdos paplūdimiai“ veiklos organizavimas</t>
  </si>
  <si>
    <t>SB(SPL)</t>
  </si>
  <si>
    <t xml:space="preserve">Savivaldybės biudžetas, iš jo: </t>
  </si>
  <si>
    <r>
      <t xml:space="preserve">Pajamų įmokų už patalpų nuomą likutis </t>
    </r>
    <r>
      <rPr>
        <b/>
        <sz val="10"/>
        <rFont val="Times New Roman"/>
        <family val="1"/>
        <charset val="186"/>
      </rPr>
      <t>SB(SPL)</t>
    </r>
  </si>
  <si>
    <r>
      <t xml:space="preserve">Vietinių rinkliavų lėšų likutis </t>
    </r>
    <r>
      <rPr>
        <b/>
        <sz val="10"/>
        <rFont val="Times New Roman"/>
        <family val="1"/>
        <charset val="186"/>
      </rPr>
      <t>SB(VRL)</t>
    </r>
  </si>
  <si>
    <r>
      <t xml:space="preserve">Valstybės biudžeto specialiosios tikslinės dotacijos lėšos </t>
    </r>
    <r>
      <rPr>
        <b/>
        <sz val="10"/>
        <rFont val="Times New Roman"/>
        <family val="1"/>
        <charset val="186"/>
      </rPr>
      <t>SB(VB)</t>
    </r>
  </si>
  <si>
    <r>
      <t xml:space="preserve">Žemės pardavimų likučio lėšos </t>
    </r>
    <r>
      <rPr>
        <b/>
        <sz val="10"/>
        <rFont val="Times New Roman"/>
        <family val="1"/>
        <charset val="186"/>
      </rPr>
      <t>SB(ŽPL)</t>
    </r>
  </si>
  <si>
    <t>Miesto aikščių, skverų ir kitų bendro naudojimo teritorijų atnaujinimas ir priežiūra:</t>
  </si>
  <si>
    <t>Parengtas techninis projektas, vnt.</t>
  </si>
  <si>
    <t>Gatvių ir viešųjų erdvių apšvietimo organizavimo funkcijos įgyvendinimas</t>
  </si>
  <si>
    <t>tūkst. Eur</t>
  </si>
  <si>
    <t xml:space="preserve">Įsigyta gėlinių, vnt. </t>
  </si>
  <si>
    <t xml:space="preserve">Prižiūrima kapinių  (įskaitant senąsias kapinaites), vnt. </t>
  </si>
  <si>
    <t xml:space="preserve"> TIKSLŲ, UŽDAVINIŲ, PRIEMONIŲ, PRIEMONIŲ IŠLAIDŲ IR PRODUKTO KRITERIJŲ DETALI SUVESTINĖ</t>
  </si>
  <si>
    <r>
      <t>Gėlynų atnaujinimas ir įrengimas</t>
    </r>
    <r>
      <rPr>
        <i/>
        <sz val="10"/>
        <rFont val="Times New Roman"/>
        <family val="1"/>
        <charset val="186"/>
      </rPr>
      <t xml:space="preserve"> </t>
    </r>
  </si>
  <si>
    <t>Mėlynosios vėliavos programos koordinavimo paslaugų įsigijimas</t>
  </si>
  <si>
    <t>Beglobių gyvūnų gerovės ir apsaugos priemonių įgyvendinimas (gyvūnų gaudymas, surinkimas, sterilizacija, karantinavimas, eutanazija ir kt.)</t>
  </si>
  <si>
    <t>Prižiūrima konteinerinių tualetų, vnt.</t>
  </si>
  <si>
    <t>Eksploatuojama kamerų, vnt.</t>
  </si>
  <si>
    <t xml:space="preserve">Išvežta mirusiųjų iš įvykio vietos,  skaičius </t>
  </si>
  <si>
    <t xml:space="preserve">Mirusiųjų palaikų laikinas laikymas (saugojimas), skaičius </t>
  </si>
  <si>
    <t xml:space="preserve">47,4 ha Medelyno gyvenamojo rajono infrastruktūros išvystymas. I etapas
</t>
  </si>
  <si>
    <t>Skvero Bokštų gatvėje sutvarkymas</t>
  </si>
  <si>
    <r>
      <t xml:space="preserve">Klaipėdos valstybinio jūrų uosto direkcijos lėšos </t>
    </r>
    <r>
      <rPr>
        <b/>
        <sz val="10"/>
        <rFont val="Times New Roman"/>
        <family val="1"/>
        <charset val="186"/>
      </rPr>
      <t>KVJUD</t>
    </r>
  </si>
  <si>
    <t>Užtikrinti švarą ir tvarką daugiabučių gyvenamųjų namų kvartaluose, skatinti gyventojus renovuoti, prižiūrėti ir saugoti savo turtą</t>
  </si>
  <si>
    <t>Prižiūrima stacionarių tualetų, vnt.</t>
  </si>
  <si>
    <t xml:space="preserve">Daugiabučių namų savininkų bendrijų (DNSB) pirmininkų mokymų organizavimas </t>
  </si>
  <si>
    <t xml:space="preserve">Paimta, sugauta gyvūnų, vnt. </t>
  </si>
  <si>
    <t>Atlikta beglobių kačių sterilizacijų, vnt.</t>
  </si>
  <si>
    <t>Prižiūrima informacinės sistemos objektų (nuorodų, stendų), vnt.</t>
  </si>
  <si>
    <t>Remontuota suoliukų, vnt.</t>
  </si>
  <si>
    <t>Remontuota šiukšliadėžių, vnt.</t>
  </si>
  <si>
    <t>Įgyvendintas projektas, vnt.</t>
  </si>
  <si>
    <t>Atlikta skvero rekonstravimo darbų. Užbaigtumas, proc.</t>
  </si>
  <si>
    <t>Organizuota mokymų, vnt.</t>
  </si>
  <si>
    <t>Įrengta apšvietimo infrastruktūros kiemuose, tūkst. m.</t>
  </si>
  <si>
    <t xml:space="preserve">Viešosios erdvės prie buvusio „Vaidilos“ kino teatro konversija </t>
  </si>
  <si>
    <t xml:space="preserve">Atgimimo aikštės sutvarkymas, didinant patrauklumą investicijoms, skatinant lankytojų srautus </t>
  </si>
  <si>
    <t>Kompleksinis tikslinės teritorijos daugiabučių namų kiemų tvarkymas</t>
  </si>
  <si>
    <t>Saugios kaimynystės bendruomenėje projektų įgyvendinimas:</t>
  </si>
  <si>
    <t>Sutvarkyta švietimo įstaigų želdinių, vnt.</t>
  </si>
  <si>
    <t>Viešųjų erdvių (šviesoforų, fontanų, tualetų ir kt.) apšvietimo tinklų ir įrangos eksploatacija</t>
  </si>
  <si>
    <t>10</t>
  </si>
  <si>
    <r>
      <t xml:space="preserve">Kelių priežiūros ir plėtros programos lėšos </t>
    </r>
    <r>
      <rPr>
        <b/>
        <sz val="10"/>
        <rFont val="Times New Roman"/>
        <family val="1"/>
        <charset val="186"/>
      </rPr>
      <t>SB(KPP)</t>
    </r>
  </si>
  <si>
    <t xml:space="preserve">Eksploatuojama informacinė miesto sistema: </t>
  </si>
  <si>
    <t>Įrengta gatvių pavadinimų lentelių ir gatvių krypties nuorodų, vnt.</t>
  </si>
  <si>
    <t>Įsigyta inventoriaus:</t>
  </si>
  <si>
    <t>Atlikta inventoriaus remonto darbų:</t>
  </si>
  <si>
    <t>Įsigyta kalėdinių papuošimų ir eglė:</t>
  </si>
  <si>
    <t>Suteikta asistento paslauga neįgaliesiems, vnt.</t>
  </si>
  <si>
    <t xml:space="preserve">Prevencinio projekto „Būk pilietiškas, būk saugus“ įgyvendinimas kartu su Klaipėdos apskrities vyriausiuoju policijos komisariatu </t>
  </si>
  <si>
    <t xml:space="preserve">Danės upės krantinių rekonstrukcija ir prieigų (Danės skveras su fontanais) sutvarkymas  </t>
  </si>
  <si>
    <t>Rekonstruota, nutiesta lietaus nuotekų tinklų, m</t>
  </si>
  <si>
    <t>Klaipėdos miesto paviršinių nuotekų tinklų įrengimas, remontas ir rekonstrukcija</t>
  </si>
  <si>
    <t>Savivaldybei priskirtų valyti ir prižiūrėti teritorijų plotas, kv. km</t>
  </si>
  <si>
    <t>Tvarkoma gėlynų ploto, tūkst. m²</t>
  </si>
  <si>
    <t xml:space="preserve">Turgaus aikštės su prieigomis sutvarkymas, pritaikant verslo,  bendruomenės poreikiams </t>
  </si>
  <si>
    <t>Viešųjų tualetų paslaugų teikimas Melnragės paplūdimyje ir Klaipėdos poilsio parke</t>
  </si>
  <si>
    <t>Įrengta ir atnaujinta automobilių stovėjimo vietų, vnt.</t>
  </si>
  <si>
    <t xml:space="preserve">Laivų nuleidimo prieplaukos ir saugojimo aikštelės sklype šalia Liepų g. tilto įrengimas </t>
  </si>
  <si>
    <t>20</t>
  </si>
  <si>
    <t>Atlikta įrengimo darbų. Užbaigtumas, proc.</t>
  </si>
  <si>
    <t>Suremontuota takų Joniškės ir Lėbartų kapinėse, tūkst. kv. m</t>
  </si>
  <si>
    <t>Įrengta lietaus nuotekų sistema Joniškės kapinėse. Užbaigtumas, proc.</t>
  </si>
  <si>
    <t>Valdų, kuriose tvarkomi želdiniai, skaičius</t>
  </si>
  <si>
    <t>Parengta techninių projektų, vnt.</t>
  </si>
  <si>
    <t>Projekto „Tu esi svarbus“ įgyvendinimas kartu su Klaipėdos apskrities vyriausiuoju policijos komisariatu</t>
  </si>
  <si>
    <t>Apšvietimo projektavimas ir įrengimas</t>
  </si>
  <si>
    <t>Daugiabučių namų kiemų infrastruktūros gerinimo priemonių plano įgyvendinimas</t>
  </si>
  <si>
    <t>SB(VB)</t>
  </si>
  <si>
    <t>SB(ES)</t>
  </si>
  <si>
    <t>Šlaitų stabilizavimo darbų Šiaurės prospekte atlikimas</t>
  </si>
  <si>
    <t xml:space="preserve">Prižiūrima tūrinių ir kitų gėlinių, vnt. </t>
  </si>
  <si>
    <t>P6</t>
  </si>
  <si>
    <t>Automobilių stovėjimo aikštelių projektavimas, įrengimas ir atnaujinimas</t>
  </si>
  <si>
    <t xml:space="preserve">Pėsčiųjų tako sutvarkymas palei Taikos pr. nuo Sausio 15-osios iki Kauno g., paverčiant viešąja erdve, pritaikyta gyventojams bei smulkiajam ir vidutiniam verslui  </t>
  </si>
  <si>
    <t xml:space="preserve">Vaikų žaidimo aikštelių įrengimo ir atnaujinimo programos įgyvendinimas </t>
  </si>
  <si>
    <t>Įsigyta šviečiančių kalėdinių elementų apšvietimo atramoms, vnt.</t>
  </si>
  <si>
    <t>Pakabinta ir eksploatuojama papuošimo elementų, vnt.</t>
  </si>
  <si>
    <t>Pakabinta ir eksploatuojama šviesos elementų (LED girliandų) fasadams ir medžiams puošti, tūkst. m</t>
  </si>
  <si>
    <t>Retransliuojamo vaizdo stebėjimo kamerų viešosiose vietose eksploatacija</t>
  </si>
  <si>
    <t>Projekto „Saugus kaimynas – saugus aš“ įgyvendinimas kartu su Klaipėdos apskrities vyriausiuoju policijos komisariatu</t>
  </si>
  <si>
    <t>Gaisrų prevencijos projekto „Gyvenkime saugiai“ įgyvendinimas kartu su Klaipėdos apskrities priešgaisrine gelbėjimo valdyba</t>
  </si>
  <si>
    <t xml:space="preserve">Prevencinio projekto „Stebima Klaipėda saugesnė“ įgyvendinimas kartu su Klaipėdos apskrities vyriausiuoju policijos komisariatu </t>
  </si>
  <si>
    <t>Demontuota antžeminių dalių ir įrengta konteinerinių tualetų su išgriebimo duobėmis buvusių stacionarių tualetų vietose: Smiltynės g. 33 (Naujoji perkėla)</t>
  </si>
  <si>
    <t>Konteinerinių tualetų įrengimas Klaipėdos miesto paplūdimiuose</t>
  </si>
  <si>
    <t>Autonominių belaidžio (Wi-Fi) ryšio stotelių apsauga, priežiūra ir remontas, vnt.</t>
  </si>
  <si>
    <t>Namų ūkių, kuriems skirtas dalinis finansavimas, skaičius</t>
  </si>
  <si>
    <t xml:space="preserve">Prevencinio projekto „Policijos rėmėjas – aktyvus pagalbininkas kuriant saugesnę Lietuvą!“ įgyvendinimas kartu su Klaipėdos apskrities vyriausiuoju policijos komisariatu </t>
  </si>
  <si>
    <t xml:space="preserve">Muzikinio teatro pastato Danės g. 19 aplinkos tvarkybos darbai už sklypo ribos </t>
  </si>
  <si>
    <t>P1</t>
  </si>
  <si>
    <t>Elektros įvadų įrengimas paplūdimiuose</t>
  </si>
  <si>
    <t>Suremontuota lietaus nuotekų Lėbartų kapinėse, m</t>
  </si>
  <si>
    <t>12</t>
  </si>
  <si>
    <t>11</t>
  </si>
  <si>
    <t>13</t>
  </si>
  <si>
    <t>14</t>
  </si>
  <si>
    <t>15</t>
  </si>
  <si>
    <t>16</t>
  </si>
  <si>
    <t xml:space="preserve">Atlikta viešosios erdvės (47 247 m²) sutvarkymo darbų. Užbaigtumas, proc. </t>
  </si>
  <si>
    <t xml:space="preserve">Atlikta pėsčiųjų tako (41 010 m²) sutvarkymo darbų. Užbaigtumas, proc. </t>
  </si>
  <si>
    <t>Inžinerinio aprūpinimo sistemų tobulinimas:</t>
  </si>
  <si>
    <t xml:space="preserve">Daugiabučių gyvenamųjų namų kvartalų atnaujinimo ir priežiūros vykdymas: </t>
  </si>
  <si>
    <t>18</t>
  </si>
  <si>
    <t xml:space="preserve"> Projektų skyrius  </t>
  </si>
  <si>
    <t>Projektų skyrius</t>
  </si>
  <si>
    <t>Miesto tvarkymo skyrius</t>
  </si>
  <si>
    <t>Statybos ir infrastruktūros plėtros skyrius</t>
  </si>
  <si>
    <t xml:space="preserve">Miesto tvarkymo skyrius </t>
  </si>
  <si>
    <t xml:space="preserve"> Miesto tvarkymo skyrius</t>
  </si>
  <si>
    <t>Miesto paplūdimių priežiūros organizavimas</t>
  </si>
  <si>
    <t>19</t>
  </si>
  <si>
    <t>21</t>
  </si>
  <si>
    <t>22</t>
  </si>
  <si>
    <t>Miesto teritorijų priežiūra</t>
  </si>
  <si>
    <t>P</t>
  </si>
  <si>
    <t>Įrengta apšvietimo atramų kiemuose, vnt.</t>
  </si>
  <si>
    <t>Miesto kapinių priežiūra ir  infrastruktūros atnaujinimas</t>
  </si>
  <si>
    <t>Pasirašyta sutartis dėl dalyvavimo Mėlynosios vėliavos programoje pagrindiniame Smiltynės ir Antrosios Melnragės paplūdimiuose, vnt.</t>
  </si>
  <si>
    <t>Antrosios  Melnragės gelbėjimo stotyje esančios kavinės nuoma</t>
  </si>
  <si>
    <t>SB(P)</t>
  </si>
  <si>
    <t>Parengtas konteinerinio tualeto Kruizinių laivų terminale atnaujinimo projektas, vnt.</t>
  </si>
  <si>
    <t>Akmenos–Danės upės vidaus vandens kelio valdymas</t>
  </si>
  <si>
    <t>Klaipėdos miesto savivaldybės kultūros centro Žvejų rūmų teritorijos sutvarkymas</t>
  </si>
  <si>
    <t>Atlikta šlaitų stabilizavimo darbų Šiaurės pr. Užbaigtumas, proc.</t>
  </si>
  <si>
    <t>2021 m.</t>
  </si>
  <si>
    <t>Suremontuotas viešasis tualetas Lėbartų kapinėse. Užbaigtumas, proc.</t>
  </si>
  <si>
    <t>Įrengta betoninių trinkelių danga Lėbartų kapinėse, kv. m.</t>
  </si>
  <si>
    <t xml:space="preserve">Atnaujintas konteinerinis tualetas Kruizinių laivų terminale, vnt. </t>
  </si>
  <si>
    <t>Viešųjų tualetų ir jų infrastruktūros įrengimas Smiltynėje, vnt.</t>
  </si>
  <si>
    <t>Suformuotos kapavietės, vnt.</t>
  </si>
  <si>
    <t>Duomenų saugyklos įsigijimas, vnt.</t>
  </si>
  <si>
    <t>Kt</t>
  </si>
  <si>
    <t>Karlskronos aikštė</t>
  </si>
  <si>
    <t>SB(VBL)</t>
  </si>
  <si>
    <t>SB(ESL)</t>
  </si>
  <si>
    <r>
      <t xml:space="preserve">Europos Sąjungos finansinės paramos lėšų likučio metų pradžioje lėšos </t>
    </r>
    <r>
      <rPr>
        <b/>
        <sz val="10"/>
        <rFont val="Times New Roman"/>
        <family val="1"/>
        <charset val="186"/>
      </rPr>
      <t>SB(ESL)</t>
    </r>
  </si>
  <si>
    <r>
      <t xml:space="preserve">Valstybės biudžeto specialiosios tikslinės dotacijos lėšų likutis </t>
    </r>
    <r>
      <rPr>
        <b/>
        <sz val="10"/>
        <rFont val="Times New Roman"/>
        <family val="1"/>
        <charset val="186"/>
      </rPr>
      <t>SB(VBL)</t>
    </r>
  </si>
  <si>
    <r>
      <t xml:space="preserve">Europos Sąjungos finansinės paramos lėšos, kurios įtrauktos į savivaldybės biudžetą </t>
    </r>
    <r>
      <rPr>
        <b/>
        <sz val="10"/>
        <rFont val="Times New Roman"/>
        <family val="1"/>
        <charset val="186"/>
      </rPr>
      <t>SB(ES)</t>
    </r>
  </si>
  <si>
    <t xml:space="preserve">Dalyvaujamojo biudžeto iniciatyvų įgyvendinimas </t>
  </si>
  <si>
    <t>SB(SPI)</t>
  </si>
  <si>
    <t>Kompensacijų mokėjimas infrastruktūros plėtros iniciatoriams už patirtas infrastruktūros plėtros sutartyje nustatytas savivaldybės infrastruktūros plėtros išlaidas</t>
  </si>
  <si>
    <t>Išmokėta kompensacijų pagal sudarytas infrastruktūros plėtros sutartis, proc.</t>
  </si>
  <si>
    <r>
      <t xml:space="preserve">Pajamų įmokų infrastruktūros plėtrai lėšos </t>
    </r>
    <r>
      <rPr>
        <b/>
        <sz val="10"/>
        <rFont val="Times New Roman"/>
        <family val="1"/>
        <charset val="186"/>
      </rPr>
      <t>SB(SPI)</t>
    </r>
  </si>
  <si>
    <t>SB(K)</t>
  </si>
  <si>
    <r>
      <t xml:space="preserve">Valstybės biudžeto kompensacija 2020 m. negautoms pajamoms padengti </t>
    </r>
    <r>
      <rPr>
        <b/>
        <sz val="10"/>
        <rFont val="Times New Roman"/>
        <family val="1"/>
        <charset val="186"/>
      </rPr>
      <t>SB(K)</t>
    </r>
  </si>
  <si>
    <t>P1       I</t>
  </si>
  <si>
    <t>Miesto tvarkymo  skyrius</t>
  </si>
  <si>
    <t>23</t>
  </si>
  <si>
    <t xml:space="preserve"> Statybos ir infrastruktūros plėtros skyrius</t>
  </si>
  <si>
    <t>planas</t>
  </si>
  <si>
    <t>Nuolatinių darbuotojų etatų skaičius</t>
  </si>
  <si>
    <t>Sezoninių darbuotojų etatų skaičius</t>
  </si>
  <si>
    <t>Vingio mikrorajono aikštės atnaujinimas</t>
  </si>
  <si>
    <t>Įsigytas traktorius, vnt.</t>
  </si>
  <si>
    <t>Parengtas projektas, vnt.</t>
  </si>
  <si>
    <t>Nenaudojamų automobilių nuvežimas ir saugojimas, pripažįstant juos bešeimininkiu turtu</t>
  </si>
  <si>
    <t>SB(VR)</t>
  </si>
  <si>
    <t>Priemonės požymis*</t>
  </si>
  <si>
    <t>Vykdytojas (skyrius/asmuo)</t>
  </si>
  <si>
    <t>Asignavimai 2021-iesiems metams**</t>
  </si>
  <si>
    <t>Lėšų poreikis biudžetiniams 2022-iesiems metams</t>
  </si>
  <si>
    <t>2024-ųjų metų lėšų projektas</t>
  </si>
  <si>
    <t>2021-ieji metai**</t>
  </si>
  <si>
    <t>2022-ieji metai</t>
  </si>
  <si>
    <t>2023-ieji metai</t>
  </si>
  <si>
    <t>2024-ieji metai</t>
  </si>
  <si>
    <t xml:space="preserve">2021–2024 M. KLAIPĖDOS MIESTO SAVIVALDYBĖS  </t>
  </si>
  <si>
    <t>Asignavimai 2021-iesiems metams</t>
  </si>
  <si>
    <t>Klaipėdos miesto Skulptūrų parko (senųjų miesto kapinių) sutvarkymas</t>
  </si>
  <si>
    <t>P1     I</t>
  </si>
  <si>
    <t>Urbanistikos ir architektūros skyrius</t>
  </si>
  <si>
    <t>Įrengta fontanėlių gertuvių, vnt.</t>
  </si>
  <si>
    <t>Įsigyta šunų ekskrementų šiukšliadėžių, vnt.</t>
  </si>
  <si>
    <t xml:space="preserve">Įrengtas konteinerinis tualetas galinėje autobusų stotelėje Mogiliovo g. (2020 m. techninis projektas), vnt. </t>
  </si>
  <si>
    <t>Takas nuo Turistų g. iki Pamario g. (230 m)</t>
  </si>
  <si>
    <t>Reikjaviko g. 13 (takas) (350 m)</t>
  </si>
  <si>
    <t>Nėgių g. (220 m)</t>
  </si>
  <si>
    <t>Šlakių g. (120 m)</t>
  </si>
  <si>
    <t>Žiobrių g. (130 m)</t>
  </si>
  <si>
    <t>2022 m.</t>
  </si>
  <si>
    <t>Takai nuo I. Simonaitytės g. 6 iki 22 (500 m)</t>
  </si>
  <si>
    <t>Takas nuo Markučių g. 5 iki Vingio g. (220 m)</t>
  </si>
  <si>
    <t>Takas nuo Paryžiaus Komunos g. 27 iki Šilutės pl. 2A (150 m)</t>
  </si>
  <si>
    <t>Laistų 1-oji, 2-oji, 3-oji g. (1200 m)</t>
  </si>
  <si>
    <t>Vyturio g. nuo Laukininkų g. 11 iki Vyturio g. 23 (300 m)</t>
  </si>
  <si>
    <t>Takas nuo Vaivos g. iki Audros g. (130 m)</t>
  </si>
  <si>
    <t>2023 m.</t>
  </si>
  <si>
    <t>2024 m.</t>
  </si>
  <si>
    <t>Atliktas Lėbartų kapinių centrinių vartų remontas. Užbaigtumas, proc.</t>
  </si>
  <si>
    <t>Naujų kapinių įrengimas</t>
  </si>
  <si>
    <t xml:space="preserve">Įsigytas žemės sklypas,vnt. </t>
  </si>
  <si>
    <t>Gaisrų prevencijos projekto „Išmok naudotis ugnies gesintuvu“ įgyvendinimas kartu su Klaipėdos apskrities priešgaisrine gelbėjimo valdyba</t>
  </si>
  <si>
    <t>Gaisrų prevencijos projekto „Saugumą kuriame kartu“ įgyvendinimas kartu su Klaipėdos apskrities priešgaisrine gelbėjimo valdyba</t>
  </si>
  <si>
    <t>Projekto „Vaikų saugumas – svarbiausia“ įgyvendinimas kartu su Klaipėdos apskrities vyriausiuoju policijos komisariatu</t>
  </si>
  <si>
    <t>Viešųjų erdvių ir gatvių apšvietimo įrengimas:</t>
  </si>
  <si>
    <t>Įsigytas Joniškės kapinių automatinis užtvaras, vnt.</t>
  </si>
  <si>
    <t>Atlikti Joniškės tvoros sutvirtinimo darbai. Užbaigtumas proc.</t>
  </si>
  <si>
    <t xml:space="preserve">Skvero ties prekybos centru „Maxima“  (Šilutės pl. 40A) ir pėsčiųjų ir dviračių tako nuo Šilutės pl. iki Taikos pr. atnaujinimas </t>
  </si>
  <si>
    <t>T</t>
  </si>
  <si>
    <t>Prižiūrima gertuvių, vnt.</t>
  </si>
  <si>
    <t>Atlikta vandens tyrimų, vnt.</t>
  </si>
  <si>
    <t>Atraminių apsauginių įėjimo į paplūdimį sienučių remontas</t>
  </si>
  <si>
    <t xml:space="preserve">Kapitališkai suremontuota atraminių apsauginių sienučių Smiltynės paplūdimyje prie centrinės gelbėtojų stoties. Užbaigtumas, proc. </t>
  </si>
  <si>
    <t xml:space="preserve">Kapitališkai suremontuota atraminių apsauginių sienučių prie Girulių centrinio paplūdimio. Užbaigtumas, proc. </t>
  </si>
  <si>
    <t>24</t>
  </si>
  <si>
    <t xml:space="preserve">Statinių administravimo skyrius </t>
  </si>
  <si>
    <t>Kadetų mokykla (Naikupės g. 25) (750 m)</t>
  </si>
  <si>
    <t>Skveras tarp H. Manto g. 38 ir 36</t>
  </si>
  <si>
    <t>Arimų g.</t>
  </si>
  <si>
    <t>Takas tarp Baltijos pr. 55 ir Baltijos pr. 63 (150 m)</t>
  </si>
  <si>
    <t>Parengtas Joniškės kapinių tvoros su kolumbariumu projektas, vnt.</t>
  </si>
  <si>
    <t>Želdinių tvarkymas</t>
  </si>
  <si>
    <t>N</t>
  </si>
  <si>
    <t xml:space="preserve">Prevencinio projekto „Saugi kaiminystė – kelias į saugesnę visuomenę“ įgyvendinimas kartu su Klaipėdos apskrities vyriausiuoju policijos komisariatu </t>
  </si>
  <si>
    <t>Prižiūrimos vaikų žaidimų aikštelės viešose erdvėse, vnt.</t>
  </si>
  <si>
    <t>ES</t>
  </si>
  <si>
    <t>Parengtas techninis darbo projektas, vnt.</t>
  </si>
  <si>
    <t>Įgyvendinta iniciatyvų, vnt.</t>
  </si>
  <si>
    <t>Atlikta vandens maudyklų tyrimų, skaičius</t>
  </si>
  <si>
    <t xml:space="preserve">Įsigyta transporto priemonių, vnt. </t>
  </si>
  <si>
    <t>Įsigyta ir įrengta inventoriaus, vnt.</t>
  </si>
  <si>
    <t xml:space="preserve">Atlikta rangos darbų (požeminio garažo statyba). Užbaigtumas, proc.  </t>
  </si>
  <si>
    <t xml:space="preserve">Atlikta rangos darbų (aikštės sutvarkymas). Užbaigtumas, proc. </t>
  </si>
  <si>
    <t xml:space="preserve">Atlikta rangos darbų. Užbaigtumas, proc. </t>
  </si>
  <si>
    <t xml:space="preserve">Atlikta rangos darbų. Užbaigtumas, proc.  </t>
  </si>
  <si>
    <t>Atlikta rangos darbų. Užbaigtumas, proc.</t>
  </si>
  <si>
    <t>Atlikta rangos darbų. Užbaigtumas proc.</t>
  </si>
  <si>
    <t>Suvartota elektros energijos, tūkst. MWh</t>
  </si>
  <si>
    <t>Nuvežta ir saugoma nenaudojamų automobilių, skaičius</t>
  </si>
  <si>
    <t>Pašalinta netinkamų naudoti įrenginių, vnt.</t>
  </si>
  <si>
    <t>Įrengta vaikų žaidimų aikštelių viešose erdvėse, vnt.</t>
  </si>
  <si>
    <t>Atnaujinta (pagerinta) sporto aikštelių daugiabučių namų kiemuose ar viešosiose miesto erdvėse, vnt.</t>
  </si>
  <si>
    <t>Kompleksiškai sutvarkyta sporto ir laisvalaikio zonų seniūnaitijose, vnt.</t>
  </si>
  <si>
    <t xml:space="preserve">Parengtas projektas,vnt. </t>
  </si>
  <si>
    <t>17</t>
  </si>
  <si>
    <t>25</t>
  </si>
  <si>
    <t>26</t>
  </si>
  <si>
    <t>Parengtas viešojo tualeto Lėbartų kapinių administraciniame pastate projektas, vnt.</t>
  </si>
  <si>
    <t xml:space="preserve">Atlikta viešojo tualeto rangos darbų. Užbaigtumas, proc.  </t>
  </si>
  <si>
    <t xml:space="preserve">Vyr. patarėjas
K. Macijauskas </t>
  </si>
  <si>
    <t>Vyr. patarėjas
G. Dovidaitis</t>
  </si>
  <si>
    <t>Vyr. patarėja
I. Kubilienė</t>
  </si>
  <si>
    <t>Įsigytas greideris, vnt.</t>
  </si>
  <si>
    <t>Atliktas Smiltynės gelbėjimo stoties avarinio stogo remontas. Užbaigtumas, proc.</t>
  </si>
  <si>
    <t xml:space="preserve">P       </t>
  </si>
  <si>
    <t>Projektų  skyrius</t>
  </si>
  <si>
    <t xml:space="preserve">AB „Klaipėdos energija“ teritorijos Danės g. 8, Klaipėdoje, konversija                                                </t>
  </si>
  <si>
    <t>Vyr. patarėjas D. Petrolevičius</t>
  </si>
  <si>
    <t>Iškelta nuotekų tinklų. Užbaigtumas, proc.</t>
  </si>
  <si>
    <t>Meninio akcento sukūrimas ir pagaminimas, vnt.</t>
  </si>
  <si>
    <t>SB(SPIL)</t>
  </si>
  <si>
    <r>
      <t xml:space="preserve">Pajamų įmokų infrastruktūros plėtrai lėšų likutis </t>
    </r>
    <r>
      <rPr>
        <b/>
        <sz val="10"/>
        <rFont val="Times New Roman"/>
        <family val="1"/>
        <charset val="186"/>
      </rPr>
      <t>SB(SPIL)</t>
    </r>
  </si>
  <si>
    <t>Vyr. patarėjas
K. Macijauskas</t>
  </si>
  <si>
    <t>SB(KPP)</t>
  </si>
  <si>
    <t>2023-iųjų metų lėšų projektas</t>
  </si>
  <si>
    <t>* Pagal Klaipėdos miesto savivaldybės tarybos sprendimus: 2021-02-25 Nr. T2-24, 2021-04-29 Nr. T2-90; 2021-06-22 Nr. T2-157; 2021-09-30 Nr. T2-192; 2021-11-25 Nr. T2-247.</t>
  </si>
  <si>
    <t>* Nurodoma: 1) ar priemonė nauja (N), ar tęstinė (T); 
                     2) ar projektas investicinis (I);
                     3) KMS 2021–2030 m. Strateginio plėtros plano priemonės, kuri įgyvendinama per šį (n-1)–(n+2) metų SVP, eil. Nr.</t>
  </si>
  <si>
    <t>Žemės sklypo padalijimas, proc.</t>
  </si>
  <si>
    <t>Suremontuota raudonų plytų siena H. Manto gatvėje, m</t>
  </si>
  <si>
    <t>Įsigyta šviesos elementų (LED girliandų) fasadams ir medžiams puošti, tūkst. vnt.</t>
  </si>
  <si>
    <t xml:space="preserve">Įrengtas elektros įvadas Smiltynės g. 25C, Klaipėda, vnt. </t>
  </si>
  <si>
    <t>Išnuomota mobilių dušų konteinerių ir kilnojamųjų lauko tualetų „Europiados“ programos vykdymui, vnt.</t>
  </si>
  <si>
    <t>Eksploatuojama belaidžio (Wi-Fi) ryšio stotelių, įrengtų šalia kamerų, vnt.</t>
  </si>
  <si>
    <t>Eksploatuojama viešųjų erdvių daugiafunkcių belaidžio (Wi-Fi) ryšio stotelių, vnt.</t>
  </si>
  <si>
    <t>Meno kūrinio pano „Plaukikas“ įrengimas</t>
  </si>
  <si>
    <t>I. Simonaitytės g. kalnelis (ties I. Simonaitytės g. 2–6</t>
  </si>
  <si>
    <t xml:space="preserve">Labrenciškių g. ir Martyno Jankaus g. </t>
  </si>
  <si>
    <t>Pravažiuojamasis kelias nuo S. Daukanto g. 13A iki Pievų Tako g. 8 (200 m)</t>
  </si>
  <si>
    <t>Praėjimo kelias nuo I. Simonaitytės g. 29 link I. Simonaitytės g. 33 (80 m)</t>
  </si>
  <si>
    <t>Takas nuo Baltijos pr. 45 palei Baltijos gimnaziją (230 m)</t>
  </si>
  <si>
    <t>Takas nuo I. Simonaitytės g. kalnelio iki „Aukuro“ gimnazijos (250 m)</t>
  </si>
  <si>
    <t>Projekto „Povandeniniai gelbėjimo ir paieškos darbai“ įgyvendinimas kartu su Klaipėdos apskrities priešgaisrine gelbėjimo valdyba</t>
  </si>
  <si>
    <t xml:space="preserve">Dalinio finansavimo skyrimas namų ūkiams prisijungti prie centralizuotų geriamojo vandens tiekimo ir nuotekų tvarkymo infrastruktūros
</t>
  </si>
  <si>
    <t xml:space="preserve">Aiškinamojo rašto 3 priedas </t>
  </si>
  <si>
    <t xml:space="preserve">2022–2024 M. KLAIPĖDOS MIESTO SAVIVALDYBĖS  </t>
  </si>
  <si>
    <t xml:space="preserve">Klaipėdos miesto savivaldybės miesto infrastruktūros objektų priežiūros ir modernizavimo programos (Nr. 07) aprašymo </t>
  </si>
  <si>
    <t>priedas</t>
  </si>
  <si>
    <t>SB'</t>
  </si>
  <si>
    <t>SB(SP)'</t>
  </si>
  <si>
    <t>SB(L)'</t>
  </si>
  <si>
    <t>SB(SPI)'</t>
  </si>
  <si>
    <t>SB(SPIL)'</t>
  </si>
  <si>
    <t>SB(P)'</t>
  </si>
  <si>
    <t>ES'</t>
  </si>
  <si>
    <t>SB(VB)'</t>
  </si>
  <si>
    <t>SB(VBL)'</t>
  </si>
  <si>
    <t>SB(ES)'</t>
  </si>
  <si>
    <t>SB(ESL)'</t>
  </si>
  <si>
    <t>Kt'</t>
  </si>
  <si>
    <t>SB(SPL)'</t>
  </si>
  <si>
    <t>SB(KPP)'</t>
  </si>
  <si>
    <t xml:space="preserve">P
N
</t>
  </si>
  <si>
    <t>* N – nauja priemonė, T – tęstinė priemonė, I – investicijų projektas.</t>
  </si>
  <si>
    <t>SAVIVALDYBĖS LĖŠOS, IŠ VISO:</t>
  </si>
  <si>
    <t>Skirtumas</t>
  </si>
  <si>
    <t>Siūlomas keisti 2023-iųjų metų lėšų projektas</t>
  </si>
  <si>
    <t>Siūlomas keisti 2023-iųjų
 metų lėšų projektas</t>
  </si>
  <si>
    <t>Siūlomas keisti 2024-iųjų
 metų lėšų projektas</t>
  </si>
  <si>
    <t>Siūlomas keisti 2024-ųjų metų lėšų projektas</t>
  </si>
  <si>
    <r>
      <t>Įrengtas konteinerinis tualetas galinėje autobusų stotelėje Mogiliovo g.</t>
    </r>
    <r>
      <rPr>
        <sz val="10"/>
        <rFont val="Times New Roman"/>
        <family val="1"/>
        <charset val="186"/>
      </rPr>
      <t xml:space="preserve">, vnt. </t>
    </r>
  </si>
  <si>
    <t>Pastatų, kuriuose atliktas remontas, skaičius</t>
  </si>
  <si>
    <t>Sutvarkytų krantinių prie Botanikos sodo ilgis, m</t>
  </si>
  <si>
    <t>Memorialų tvarkymas, perkėlimas, utilizavimas</t>
  </si>
  <si>
    <t>Klaipėdos miesto gatvių kietųjų dangų paviršinių nuotekų priežiūra</t>
  </si>
  <si>
    <t>Tvarkoma miesto gatvių kietųjų dangų paviršinių nuotekų, ha</t>
  </si>
  <si>
    <t>Parengtas Danės upės pakrantės ties Botanikos sodu sutvarkymo projektas, vnt.</t>
  </si>
  <si>
    <t xml:space="preserve">Įrengta Odesos tako riboženklių Melnragėje, vnt. </t>
  </si>
  <si>
    <t>Nukelta skulptūrų, paminklų, vnt.</t>
  </si>
  <si>
    <t>Įrengtas tualetas Ąžuolyno giraitėje, vnt.</t>
  </si>
  <si>
    <t>Išvalyta lietaus nuotekų šulinėlių, vnt.</t>
  </si>
  <si>
    <t>Įrengtas tualetas Danės krantinėje, vnt.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</si>
</sst>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409]General"/>
  </numFmts>
  <fonts count="38" x14ac:knownFonts="1">
    <font>
      <sz val="10"/>
      <name val="Arial"/>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sz val="10"/>
      <name val="Arial"/>
      <family val="2"/>
      <charset val="186"/>
    </font>
    <font>
      <sz val="9"/>
      <name val="Times New Roman"/>
      <family val="1"/>
      <charset val="186"/>
    </font>
    <font>
      <sz val="9"/>
      <color indexed="81"/>
      <name val="Tahoma"/>
      <family val="2"/>
      <charset val="186"/>
    </font>
    <font>
      <b/>
      <sz val="10"/>
      <name val="Times New Roman"/>
      <family val="1"/>
      <charset val="204"/>
    </font>
    <font>
      <sz val="10"/>
      <name val="Times New Roman"/>
      <family val="1"/>
      <charset val="204"/>
    </font>
    <font>
      <b/>
      <sz val="10"/>
      <name val="Times New Roman"/>
      <family val="1"/>
    </font>
    <font>
      <b/>
      <sz val="9"/>
      <color indexed="81"/>
      <name val="Tahoma"/>
      <family val="2"/>
      <charset val="186"/>
    </font>
    <font>
      <i/>
      <sz val="10"/>
      <name val="Times New Roman"/>
      <family val="1"/>
      <charset val="186"/>
    </font>
    <font>
      <u/>
      <sz val="10"/>
      <name val="Times New Roman"/>
      <family val="1"/>
      <charset val="186"/>
    </font>
    <font>
      <sz val="10"/>
      <name val="Cambria"/>
      <family val="1"/>
      <charset val="186"/>
    </font>
    <font>
      <sz val="11"/>
      <color rgb="FF000000"/>
      <name val="Calibri"/>
      <family val="2"/>
      <charset val="186"/>
    </font>
    <font>
      <sz val="11"/>
      <name val="Times"/>
      <family val="1"/>
    </font>
    <font>
      <b/>
      <sz val="10"/>
      <name val="Arial"/>
      <family val="2"/>
      <charset val="186"/>
    </font>
    <font>
      <sz val="12"/>
      <name val="Times New Roman"/>
      <family val="1"/>
    </font>
    <font>
      <sz val="9"/>
      <name val="Times New Roman"/>
      <family val="1"/>
    </font>
    <font>
      <b/>
      <sz val="9"/>
      <name val="Times New Roman"/>
      <family val="1"/>
      <charset val="186"/>
    </font>
    <font>
      <sz val="10"/>
      <name val="Times"/>
      <family val="1"/>
    </font>
    <font>
      <sz val="10"/>
      <color rgb="FF00B050"/>
      <name val="Times New Roman"/>
      <family val="1"/>
      <charset val="186"/>
    </font>
    <font>
      <b/>
      <sz val="10"/>
      <color rgb="FFC00000"/>
      <name val="Times New Roman"/>
      <family val="1"/>
      <charset val="186"/>
    </font>
    <font>
      <b/>
      <sz val="10"/>
      <color theme="1"/>
      <name val="Times New Roman"/>
      <family val="1"/>
      <charset val="186"/>
    </font>
    <font>
      <sz val="10"/>
      <color rgb="FFFF0000"/>
      <name val="Times New Roman"/>
      <family val="1"/>
      <charset val="186"/>
    </font>
    <font>
      <sz val="12"/>
      <color rgb="FFFF0000"/>
      <name val="Times New Roman"/>
      <family val="1"/>
      <charset val="186"/>
    </font>
    <font>
      <sz val="11"/>
      <color rgb="FFFF0000"/>
      <name val="Times New Roman"/>
      <family val="1"/>
      <charset val="186"/>
    </font>
    <font>
      <sz val="10"/>
      <name val="Times New Roman"/>
      <family val="1"/>
    </font>
    <font>
      <sz val="11"/>
      <name val="Times New Roman"/>
      <family val="1"/>
      <charset val="186"/>
    </font>
    <font>
      <sz val="10"/>
      <color theme="0"/>
      <name val="Times New Roman"/>
      <family val="1"/>
      <charset val="186"/>
    </font>
    <font>
      <sz val="10"/>
      <color theme="0"/>
      <name val="Times New Roman"/>
      <family val="1"/>
    </font>
    <font>
      <sz val="10"/>
      <color theme="0"/>
      <name val="Cambria"/>
      <family val="1"/>
      <charset val="186"/>
    </font>
    <font>
      <sz val="11"/>
      <color theme="0"/>
      <name val="Times New Roman"/>
      <family val="1"/>
      <charset val="186"/>
    </font>
    <font>
      <b/>
      <sz val="10"/>
      <color rgb="FFFF0000"/>
      <name val="Times New Roman"/>
      <family val="1"/>
      <charset val="186"/>
    </font>
    <font>
      <strike/>
      <sz val="10"/>
      <color rgb="FFFF0000"/>
      <name val="Times New Roman"/>
      <family val="1"/>
      <charset val="186"/>
    </font>
    <font>
      <b/>
      <i/>
      <sz val="9"/>
      <color indexed="81"/>
      <name val="Tahoma"/>
      <family val="2"/>
      <charset val="18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rgb="FFFFCCFF"/>
        <bgColor indexed="64"/>
      </patternFill>
    </fill>
    <fill>
      <patternFill patternType="solid">
        <fgColor theme="0" tint="-0.14999847407452621"/>
        <bgColor indexed="64"/>
      </patternFill>
    </fill>
    <fill>
      <patternFill patternType="solid">
        <fgColor rgb="FFCCFFCC"/>
        <bgColor indexed="64"/>
      </patternFill>
    </fill>
    <fill>
      <patternFill patternType="solid">
        <fgColor theme="3" tint="0.79998168889431442"/>
        <bgColor indexed="64"/>
      </patternFill>
    </fill>
    <fill>
      <patternFill patternType="solid">
        <fgColor rgb="FFC5D9F1"/>
        <bgColor indexed="64"/>
      </patternFill>
    </fill>
    <fill>
      <patternFill patternType="solid">
        <fgColor rgb="FFFFFFFF"/>
        <bgColor indexed="64"/>
      </patternFill>
    </fill>
  </fills>
  <borders count="119">
    <border>
      <left/>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right/>
      <top style="medium">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hair">
        <color indexed="64"/>
      </bottom>
      <diagonal/>
    </border>
    <border>
      <left/>
      <right/>
      <top style="hair">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bottom style="medium">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medium">
        <color indexed="64"/>
      </left>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top/>
      <bottom style="hair">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s>
  <cellStyleXfs count="4">
    <xf numFmtId="0" fontId="0" fillId="0" borderId="0"/>
    <xf numFmtId="0" fontId="6" fillId="0" borderId="0"/>
    <xf numFmtId="0" fontId="2" fillId="2" borderId="1" applyBorder="0">
      <alignment horizontal="left" vertical="top" wrapText="1"/>
    </xf>
    <xf numFmtId="166" fontId="16" fillId="0" borderId="0" applyBorder="0" applyProtection="0"/>
  </cellStyleXfs>
  <cellXfs count="1898">
    <xf numFmtId="0" fontId="0" fillId="0" borderId="0" xfId="0"/>
    <xf numFmtId="0" fontId="2" fillId="0" borderId="0" xfId="0" applyFont="1" applyFill="1" applyBorder="1" applyAlignment="1">
      <alignment horizontal="center" vertical="top"/>
    </xf>
    <xf numFmtId="0" fontId="2" fillId="0" borderId="0" xfId="0" applyFont="1" applyBorder="1" applyAlignment="1">
      <alignment vertical="top"/>
    </xf>
    <xf numFmtId="0" fontId="2" fillId="0" borderId="0" xfId="0" applyFont="1" applyAlignment="1">
      <alignment vertical="top"/>
    </xf>
    <xf numFmtId="49" fontId="4" fillId="3" borderId="4" xfId="0" applyNumberFormat="1" applyFont="1" applyFill="1" applyBorder="1" applyAlignment="1">
      <alignment horizontal="center" vertical="top"/>
    </xf>
    <xf numFmtId="0" fontId="2" fillId="0" borderId="0" xfId="0" applyFont="1" applyFill="1" applyAlignment="1">
      <alignment vertical="top"/>
    </xf>
    <xf numFmtId="0" fontId="2" fillId="2" borderId="0" xfId="0" applyFont="1" applyFill="1" applyAlignment="1">
      <alignment vertical="top"/>
    </xf>
    <xf numFmtId="0" fontId="6" fillId="0" borderId="0" xfId="0" applyFont="1"/>
    <xf numFmtId="0" fontId="2" fillId="0" borderId="0" xfId="0" applyFont="1" applyAlignment="1">
      <alignment vertical="center"/>
    </xf>
    <xf numFmtId="0" fontId="4" fillId="0" borderId="0" xfId="0" applyFont="1" applyAlignment="1">
      <alignment horizontal="left" vertical="top"/>
    </xf>
    <xf numFmtId="165" fontId="2" fillId="0" borderId="0" xfId="0" applyNumberFormat="1" applyFont="1" applyAlignment="1">
      <alignment vertical="top"/>
    </xf>
    <xf numFmtId="165" fontId="2" fillId="0" borderId="0" xfId="0" applyNumberFormat="1" applyFont="1" applyAlignment="1">
      <alignment horizontal="left" vertical="top"/>
    </xf>
    <xf numFmtId="0" fontId="2" fillId="0" borderId="0" xfId="0" applyNumberFormat="1" applyFont="1" applyFill="1" applyBorder="1" applyAlignment="1">
      <alignment vertical="top" wrapText="1"/>
    </xf>
    <xf numFmtId="164" fontId="2" fillId="0" borderId="0" xfId="0" applyNumberFormat="1" applyFont="1" applyAlignment="1">
      <alignment vertical="top"/>
    </xf>
    <xf numFmtId="0" fontId="2" fillId="0" borderId="0" xfId="0" applyFont="1" applyAlignment="1">
      <alignment horizontal="center" vertical="top"/>
    </xf>
    <xf numFmtId="49" fontId="4" fillId="4" borderId="47" xfId="0" applyNumberFormat="1" applyFont="1" applyFill="1" applyBorder="1" applyAlignment="1">
      <alignment horizontal="center" vertical="top"/>
    </xf>
    <xf numFmtId="0" fontId="4" fillId="8" borderId="52" xfId="0" applyFont="1" applyFill="1" applyBorder="1" applyAlignment="1">
      <alignment horizontal="center" vertical="top"/>
    </xf>
    <xf numFmtId="0" fontId="2" fillId="6" borderId="8" xfId="0" applyFont="1" applyFill="1" applyBorder="1" applyAlignment="1">
      <alignment horizontal="center" vertical="top"/>
    </xf>
    <xf numFmtId="49" fontId="4" fillId="10" borderId="31" xfId="0" applyNumberFormat="1" applyFont="1" applyFill="1" applyBorder="1" applyAlignment="1">
      <alignment horizontal="center" vertical="top"/>
    </xf>
    <xf numFmtId="49" fontId="4" fillId="10" borderId="26" xfId="0" applyNumberFormat="1" applyFont="1" applyFill="1" applyBorder="1" applyAlignment="1">
      <alignment horizontal="center" vertical="top"/>
    </xf>
    <xf numFmtId="49" fontId="4" fillId="10" borderId="47" xfId="0" applyNumberFormat="1" applyFont="1" applyFill="1" applyBorder="1" applyAlignment="1">
      <alignment horizontal="center" vertical="top"/>
    </xf>
    <xf numFmtId="49" fontId="4" fillId="10" borderId="50" xfId="0" applyNumberFormat="1" applyFont="1" applyFill="1" applyBorder="1" applyAlignment="1">
      <alignment horizontal="center" vertical="top"/>
    </xf>
    <xf numFmtId="49" fontId="4" fillId="10" borderId="7" xfId="0" applyNumberFormat="1" applyFont="1" applyFill="1" applyBorder="1" applyAlignment="1">
      <alignment horizontal="center" vertical="top" wrapText="1"/>
    </xf>
    <xf numFmtId="49" fontId="4" fillId="10" borderId="12" xfId="0" applyNumberFormat="1" applyFont="1" applyFill="1" applyBorder="1" applyAlignment="1">
      <alignment horizontal="center" vertical="top"/>
    </xf>
    <xf numFmtId="49" fontId="4" fillId="3" borderId="2" xfId="0" applyNumberFormat="1" applyFont="1" applyFill="1" applyBorder="1" applyAlignment="1">
      <alignment horizontal="center" vertical="top"/>
    </xf>
    <xf numFmtId="3" fontId="2" fillId="0" borderId="0" xfId="0" applyNumberFormat="1" applyFont="1" applyAlignment="1">
      <alignment vertical="top"/>
    </xf>
    <xf numFmtId="0" fontId="2" fillId="0" borderId="6" xfId="0" applyFont="1" applyBorder="1" applyAlignment="1">
      <alignment horizontal="center" vertical="center"/>
    </xf>
    <xf numFmtId="3" fontId="2" fillId="0" borderId="0" xfId="0" applyNumberFormat="1" applyFont="1" applyBorder="1" applyAlignment="1">
      <alignment vertical="top"/>
    </xf>
    <xf numFmtId="49" fontId="4" fillId="6" borderId="41" xfId="0" applyNumberFormat="1" applyFont="1" applyFill="1" applyBorder="1" applyAlignment="1">
      <alignment horizontal="center" vertical="center"/>
    </xf>
    <xf numFmtId="0" fontId="2" fillId="6" borderId="5" xfId="0" applyFont="1" applyFill="1" applyBorder="1" applyAlignment="1">
      <alignment horizontal="center" vertical="top"/>
    </xf>
    <xf numFmtId="49" fontId="4" fillId="3" borderId="60"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49" fontId="4" fillId="11" borderId="58" xfId="0" applyNumberFormat="1" applyFont="1" applyFill="1" applyBorder="1" applyAlignment="1">
      <alignment horizontal="center" vertical="top"/>
    </xf>
    <xf numFmtId="49" fontId="4" fillId="11" borderId="31" xfId="0" applyNumberFormat="1" applyFont="1" applyFill="1" applyBorder="1" applyAlignment="1">
      <alignment horizontal="center" vertical="top"/>
    </xf>
    <xf numFmtId="0" fontId="4" fillId="0" borderId="11" xfId="0" applyFont="1" applyFill="1" applyBorder="1" applyAlignment="1">
      <alignment horizontal="left" vertical="top" wrapText="1"/>
    </xf>
    <xf numFmtId="165" fontId="4" fillId="8" borderId="17" xfId="0" applyNumberFormat="1" applyFont="1" applyFill="1" applyBorder="1" applyAlignment="1">
      <alignment horizontal="center" vertical="top" wrapText="1"/>
    </xf>
    <xf numFmtId="165" fontId="2" fillId="0" borderId="17" xfId="0" applyNumberFormat="1" applyFont="1" applyBorder="1" applyAlignment="1">
      <alignment horizontal="center" vertical="top" wrapText="1"/>
    </xf>
    <xf numFmtId="165" fontId="2" fillId="8" borderId="17" xfId="0" applyNumberFormat="1" applyFont="1" applyFill="1" applyBorder="1" applyAlignment="1">
      <alignment horizontal="center" vertical="top" wrapText="1"/>
    </xf>
    <xf numFmtId="165" fontId="2" fillId="6" borderId="40" xfId="0" applyNumberFormat="1" applyFont="1" applyFill="1" applyBorder="1" applyAlignment="1">
      <alignment horizontal="center" vertical="top"/>
    </xf>
    <xf numFmtId="165" fontId="2" fillId="6" borderId="0" xfId="0" applyNumberFormat="1" applyFont="1" applyFill="1" applyBorder="1" applyAlignment="1">
      <alignment horizontal="center" vertical="top"/>
    </xf>
    <xf numFmtId="165" fontId="2" fillId="6" borderId="18" xfId="0" applyNumberFormat="1" applyFont="1" applyFill="1" applyBorder="1" applyAlignment="1">
      <alignment horizontal="center" vertical="top"/>
    </xf>
    <xf numFmtId="49" fontId="4" fillId="9" borderId="38" xfId="0" applyNumberFormat="1" applyFont="1" applyFill="1" applyBorder="1" applyAlignment="1">
      <alignment horizontal="center" vertical="top"/>
    </xf>
    <xf numFmtId="49" fontId="4" fillId="6" borderId="23" xfId="0" applyNumberFormat="1" applyFont="1" applyFill="1" applyBorder="1" applyAlignment="1">
      <alignment horizontal="center" vertical="center"/>
    </xf>
    <xf numFmtId="165" fontId="2" fillId="6" borderId="33" xfId="0" applyNumberFormat="1" applyFont="1" applyFill="1" applyBorder="1" applyAlignment="1">
      <alignment horizontal="center" vertical="top"/>
    </xf>
    <xf numFmtId="165" fontId="2" fillId="0" borderId="18" xfId="0" applyNumberFormat="1" applyFont="1" applyBorder="1" applyAlignment="1">
      <alignment horizontal="center" vertical="top"/>
    </xf>
    <xf numFmtId="165" fontId="2" fillId="6" borderId="46" xfId="0" applyNumberFormat="1" applyFont="1" applyFill="1" applyBorder="1" applyAlignment="1">
      <alignment horizontal="center" vertical="top"/>
    </xf>
    <xf numFmtId="165" fontId="2" fillId="6" borderId="8" xfId="0" applyNumberFormat="1" applyFont="1" applyFill="1" applyBorder="1" applyAlignment="1">
      <alignment horizontal="center" vertical="top" wrapText="1"/>
    </xf>
    <xf numFmtId="0" fontId="2" fillId="6" borderId="13" xfId="0" applyFont="1" applyFill="1" applyBorder="1" applyAlignment="1">
      <alignment horizontal="center" vertical="top" wrapText="1"/>
    </xf>
    <xf numFmtId="49" fontId="4" fillId="6" borderId="38" xfId="0" applyNumberFormat="1" applyFont="1" applyFill="1" applyBorder="1" applyAlignment="1">
      <alignment horizontal="center" vertical="center"/>
    </xf>
    <xf numFmtId="0" fontId="4" fillId="6" borderId="11" xfId="0" applyFont="1" applyFill="1" applyBorder="1" applyAlignment="1">
      <alignment vertical="top" wrapText="1"/>
    </xf>
    <xf numFmtId="49" fontId="4" fillId="3" borderId="20" xfId="0" applyNumberFormat="1" applyFont="1" applyFill="1" applyBorder="1" applyAlignment="1">
      <alignment horizontal="center" vertical="top" wrapText="1"/>
    </xf>
    <xf numFmtId="49" fontId="4" fillId="6" borderId="20" xfId="0" applyNumberFormat="1" applyFont="1" applyFill="1" applyBorder="1" applyAlignment="1">
      <alignment horizontal="center" vertical="top" wrapText="1"/>
    </xf>
    <xf numFmtId="49" fontId="4" fillId="9" borderId="41" xfId="0" applyNumberFormat="1" applyFont="1" applyFill="1" applyBorder="1" applyAlignment="1">
      <alignment horizontal="center" vertical="top"/>
    </xf>
    <xf numFmtId="49" fontId="4" fillId="3" borderId="13" xfId="0" applyNumberFormat="1" applyFont="1" applyFill="1" applyBorder="1" applyAlignment="1">
      <alignment horizontal="center" vertical="top" wrapText="1"/>
    </xf>
    <xf numFmtId="49" fontId="4" fillId="3" borderId="19" xfId="0" applyNumberFormat="1" applyFont="1" applyFill="1" applyBorder="1" applyAlignment="1">
      <alignment horizontal="center" vertical="top"/>
    </xf>
    <xf numFmtId="49" fontId="4" fillId="10" borderId="9" xfId="0" applyNumberFormat="1" applyFont="1" applyFill="1" applyBorder="1" applyAlignment="1">
      <alignment horizontal="center" vertical="top" wrapText="1"/>
    </xf>
    <xf numFmtId="0" fontId="2" fillId="0" borderId="0" xfId="0" applyNumberFormat="1" applyFont="1" applyAlignment="1">
      <alignment vertical="top"/>
    </xf>
    <xf numFmtId="165" fontId="2" fillId="8" borderId="18" xfId="0" applyNumberFormat="1" applyFont="1" applyFill="1" applyBorder="1" applyAlignment="1">
      <alignment horizontal="center" vertical="top"/>
    </xf>
    <xf numFmtId="0" fontId="4" fillId="2" borderId="25" xfId="0" applyFont="1" applyFill="1" applyBorder="1" applyAlignment="1">
      <alignment horizontal="center" vertical="top" wrapText="1"/>
    </xf>
    <xf numFmtId="0" fontId="2" fillId="6" borderId="63" xfId="0" applyFont="1" applyFill="1" applyBorder="1" applyAlignment="1">
      <alignment vertical="top" wrapText="1"/>
    </xf>
    <xf numFmtId="0" fontId="2" fillId="6" borderId="2" xfId="0" applyFont="1" applyFill="1" applyBorder="1" applyAlignment="1">
      <alignment vertical="top" wrapText="1"/>
    </xf>
    <xf numFmtId="165" fontId="4" fillId="0" borderId="0" xfId="0" applyNumberFormat="1" applyFont="1" applyAlignment="1">
      <alignment horizontal="left" vertical="top"/>
    </xf>
    <xf numFmtId="49" fontId="4" fillId="8" borderId="49" xfId="0" applyNumberFormat="1" applyFont="1" applyFill="1" applyBorder="1" applyAlignment="1">
      <alignment horizontal="center" vertical="top" wrapText="1"/>
    </xf>
    <xf numFmtId="49" fontId="4" fillId="8" borderId="41" xfId="0" applyNumberFormat="1" applyFont="1" applyFill="1" applyBorder="1" applyAlignment="1">
      <alignment horizontal="center" vertical="top"/>
    </xf>
    <xf numFmtId="49" fontId="4" fillId="8" borderId="0" xfId="0" applyNumberFormat="1" applyFont="1" applyFill="1" applyBorder="1" applyAlignment="1">
      <alignment horizontal="center" vertical="top"/>
    </xf>
    <xf numFmtId="49" fontId="4" fillId="8" borderId="20" xfId="0" applyNumberFormat="1" applyFont="1" applyFill="1" applyBorder="1" applyAlignment="1">
      <alignment horizontal="center" vertical="top" wrapText="1"/>
    </xf>
    <xf numFmtId="49" fontId="4" fillId="8" borderId="38" xfId="0" applyNumberFormat="1" applyFont="1" applyFill="1" applyBorder="1" applyAlignment="1">
      <alignment horizontal="center" vertical="top"/>
    </xf>
    <xf numFmtId="49" fontId="4" fillId="2" borderId="25" xfId="0" applyNumberFormat="1" applyFont="1" applyFill="1" applyBorder="1" applyAlignment="1">
      <alignment horizontal="center" vertical="top" wrapText="1"/>
    </xf>
    <xf numFmtId="0" fontId="4" fillId="2" borderId="25" xfId="0" applyFont="1" applyFill="1" applyBorder="1" applyAlignment="1">
      <alignment horizontal="left" vertical="top" wrapText="1"/>
    </xf>
    <xf numFmtId="0" fontId="2" fillId="0" borderId="18" xfId="0" applyFont="1" applyBorder="1" applyAlignment="1">
      <alignment horizontal="center" vertical="top" wrapText="1"/>
    </xf>
    <xf numFmtId="49" fontId="4" fillId="6" borderId="41" xfId="0" applyNumberFormat="1" applyFont="1" applyFill="1" applyBorder="1" applyAlignment="1">
      <alignment horizontal="center" vertical="top" wrapText="1"/>
    </xf>
    <xf numFmtId="165" fontId="4" fillId="4" borderId="6" xfId="0" applyNumberFormat="1" applyFont="1" applyFill="1" applyBorder="1" applyAlignment="1">
      <alignment horizontal="center" vertical="top"/>
    </xf>
    <xf numFmtId="165" fontId="4" fillId="5" borderId="52" xfId="0" applyNumberFormat="1" applyFont="1" applyFill="1" applyBorder="1" applyAlignment="1">
      <alignment horizontal="center" vertical="top"/>
    </xf>
    <xf numFmtId="3" fontId="2" fillId="0" borderId="0" xfId="0" applyNumberFormat="1" applyFont="1" applyFill="1" applyBorder="1" applyAlignment="1">
      <alignment horizontal="left" vertical="top" wrapText="1"/>
    </xf>
    <xf numFmtId="4" fontId="2" fillId="0" borderId="0" xfId="0" applyNumberFormat="1" applyFont="1" applyFill="1" applyAlignment="1">
      <alignment vertical="top"/>
    </xf>
    <xf numFmtId="0" fontId="2" fillId="6" borderId="5" xfId="0" applyFont="1" applyFill="1" applyBorder="1" applyAlignment="1">
      <alignment horizontal="center" vertical="top" wrapText="1"/>
    </xf>
    <xf numFmtId="165" fontId="4" fillId="4" borderId="17" xfId="0" applyNumberFormat="1" applyFont="1" applyFill="1" applyBorder="1" applyAlignment="1">
      <alignment horizontal="center" vertical="top" wrapText="1"/>
    </xf>
    <xf numFmtId="0" fontId="2" fillId="6" borderId="0" xfId="0" applyFont="1" applyFill="1" applyBorder="1" applyAlignment="1">
      <alignment horizontal="center" vertical="center" textRotation="90" wrapText="1"/>
    </xf>
    <xf numFmtId="0" fontId="4" fillId="6" borderId="20" xfId="0" applyFont="1" applyFill="1" applyBorder="1" applyAlignment="1">
      <alignment vertical="top" wrapText="1"/>
    </xf>
    <xf numFmtId="0" fontId="4" fillId="0" borderId="0" xfId="0" applyNumberFormat="1" applyFont="1" applyAlignment="1">
      <alignment horizontal="center" vertical="top"/>
    </xf>
    <xf numFmtId="0" fontId="6" fillId="0" borderId="0" xfId="0" applyFont="1" applyAlignment="1">
      <alignment horizontal="left" vertical="top" wrapText="1"/>
    </xf>
    <xf numFmtId="49" fontId="4" fillId="10" borderId="31" xfId="0" applyNumberFormat="1" applyFont="1" applyFill="1" applyBorder="1" applyAlignment="1">
      <alignment horizontal="center" vertical="top" wrapText="1"/>
    </xf>
    <xf numFmtId="49" fontId="4" fillId="8" borderId="0" xfId="0" applyNumberFormat="1" applyFont="1" applyFill="1" applyBorder="1" applyAlignment="1">
      <alignment horizontal="center" vertical="top" wrapText="1"/>
    </xf>
    <xf numFmtId="0" fontId="4" fillId="6" borderId="39" xfId="0" applyFont="1" applyFill="1" applyBorder="1" applyAlignment="1">
      <alignment horizontal="center" vertical="center" wrapText="1"/>
    </xf>
    <xf numFmtId="49" fontId="4" fillId="8" borderId="13" xfId="0" applyNumberFormat="1" applyFont="1" applyFill="1" applyBorder="1" applyAlignment="1">
      <alignment vertical="center" textRotation="90"/>
    </xf>
    <xf numFmtId="49" fontId="2" fillId="8" borderId="34" xfId="0" applyNumberFormat="1" applyFont="1" applyFill="1" applyBorder="1" applyAlignment="1">
      <alignment vertical="top"/>
    </xf>
    <xf numFmtId="165" fontId="2" fillId="8" borderId="34" xfId="0" applyNumberFormat="1" applyFont="1" applyFill="1" applyBorder="1" applyAlignment="1">
      <alignment horizontal="center" vertical="top"/>
    </xf>
    <xf numFmtId="3" fontId="2" fillId="6" borderId="44" xfId="0" applyNumberFormat="1" applyFont="1" applyFill="1" applyBorder="1" applyAlignment="1">
      <alignment horizontal="center" vertical="top"/>
    </xf>
    <xf numFmtId="3" fontId="2" fillId="6" borderId="44" xfId="0" applyNumberFormat="1" applyFont="1" applyFill="1" applyBorder="1" applyAlignment="1">
      <alignment horizontal="center" vertical="top" wrapText="1"/>
    </xf>
    <xf numFmtId="3" fontId="2" fillId="6" borderId="43" xfId="0" applyNumberFormat="1" applyFont="1" applyFill="1" applyBorder="1" applyAlignment="1">
      <alignment horizontal="center" vertical="top"/>
    </xf>
    <xf numFmtId="49" fontId="4" fillId="10" borderId="10" xfId="0" applyNumberFormat="1" applyFont="1" applyFill="1" applyBorder="1" applyAlignment="1">
      <alignment horizontal="center" vertical="top"/>
    </xf>
    <xf numFmtId="49" fontId="4" fillId="3" borderId="49" xfId="0" applyNumberFormat="1" applyFont="1" applyFill="1" applyBorder="1" applyAlignment="1">
      <alignment horizontal="center" vertical="top"/>
    </xf>
    <xf numFmtId="0" fontId="4" fillId="6" borderId="25" xfId="0" applyFont="1" applyFill="1" applyBorder="1" applyAlignment="1">
      <alignment horizontal="center" vertical="top" wrapText="1"/>
    </xf>
    <xf numFmtId="3" fontId="2" fillId="6" borderId="46" xfId="0" applyNumberFormat="1" applyFont="1" applyFill="1" applyBorder="1" applyAlignment="1">
      <alignment horizontal="center" vertical="top"/>
    </xf>
    <xf numFmtId="3" fontId="2" fillId="6" borderId="43" xfId="0" applyNumberFormat="1" applyFont="1" applyFill="1" applyBorder="1" applyAlignment="1">
      <alignment horizontal="center" vertical="top" wrapText="1"/>
    </xf>
    <xf numFmtId="3" fontId="2" fillId="6" borderId="75" xfId="0" applyNumberFormat="1" applyFont="1" applyFill="1" applyBorder="1" applyAlignment="1">
      <alignment horizontal="center" vertical="top" wrapText="1"/>
    </xf>
    <xf numFmtId="3" fontId="2" fillId="6" borderId="46" xfId="0" applyNumberFormat="1" applyFont="1" applyFill="1" applyBorder="1" applyAlignment="1">
      <alignment horizontal="center" vertical="top" wrapText="1"/>
    </xf>
    <xf numFmtId="3" fontId="2" fillId="8" borderId="35" xfId="0" applyNumberFormat="1" applyFont="1" applyFill="1" applyBorder="1" applyAlignment="1">
      <alignment horizontal="center" vertical="top" wrapText="1"/>
    </xf>
    <xf numFmtId="3" fontId="2" fillId="6" borderId="43" xfId="1" applyNumberFormat="1" applyFont="1" applyFill="1" applyBorder="1" applyAlignment="1">
      <alignment horizontal="center" vertical="top"/>
    </xf>
    <xf numFmtId="3" fontId="2" fillId="6" borderId="76" xfId="0" applyNumberFormat="1" applyFont="1" applyFill="1" applyBorder="1" applyAlignment="1">
      <alignment horizontal="center" vertical="top" wrapText="1"/>
    </xf>
    <xf numFmtId="1" fontId="2" fillId="6" borderId="79" xfId="0" applyNumberFormat="1" applyFont="1" applyFill="1" applyBorder="1" applyAlignment="1">
      <alignment horizontal="center" vertical="top" wrapText="1"/>
    </xf>
    <xf numFmtId="3" fontId="2" fillId="6" borderId="79" xfId="0" applyNumberFormat="1" applyFont="1" applyFill="1" applyBorder="1" applyAlignment="1">
      <alignment horizontal="center" vertical="top"/>
    </xf>
    <xf numFmtId="3" fontId="2" fillId="6" borderId="76" xfId="0" applyNumberFormat="1" applyFont="1" applyFill="1" applyBorder="1" applyAlignment="1">
      <alignment horizontal="center" vertical="top"/>
    </xf>
    <xf numFmtId="0" fontId="2" fillId="6" borderId="41" xfId="0" applyFont="1" applyFill="1" applyBorder="1" applyAlignment="1">
      <alignment vertical="center" textRotation="90" wrapText="1"/>
    </xf>
    <xf numFmtId="0" fontId="1" fillId="6" borderId="0" xfId="0" applyFont="1" applyFill="1" applyBorder="1" applyAlignment="1">
      <alignment vertical="center" textRotation="90" wrapText="1"/>
    </xf>
    <xf numFmtId="49" fontId="2" fillId="6" borderId="41" xfId="0" applyNumberFormat="1" applyFont="1" applyFill="1" applyBorder="1" applyAlignment="1">
      <alignment horizontal="center" vertical="center"/>
    </xf>
    <xf numFmtId="49" fontId="2" fillId="6" borderId="13" xfId="0" applyNumberFormat="1" applyFont="1" applyFill="1" applyBorder="1" applyAlignment="1">
      <alignment horizontal="center" vertical="top"/>
    </xf>
    <xf numFmtId="49" fontId="2" fillId="6" borderId="13" xfId="0" applyNumberFormat="1" applyFont="1" applyFill="1" applyBorder="1" applyAlignment="1">
      <alignment horizontal="center" vertical="top" wrapText="1"/>
    </xf>
    <xf numFmtId="165" fontId="2" fillId="6" borderId="0" xfId="0" applyNumberFormat="1" applyFont="1" applyFill="1" applyBorder="1" applyAlignment="1">
      <alignment horizontal="center" vertical="top" wrapText="1"/>
    </xf>
    <xf numFmtId="3" fontId="4" fillId="6" borderId="44" xfId="0" applyNumberFormat="1" applyFont="1" applyFill="1" applyBorder="1" applyAlignment="1">
      <alignment horizontal="center" vertical="top" wrapText="1"/>
    </xf>
    <xf numFmtId="0" fontId="2" fillId="6" borderId="76" xfId="0" applyNumberFormat="1" applyFont="1" applyFill="1" applyBorder="1" applyAlignment="1">
      <alignment horizontal="center" vertical="top" wrapText="1"/>
    </xf>
    <xf numFmtId="3" fontId="2" fillId="6" borderId="80" xfId="0" applyNumberFormat="1" applyFont="1" applyFill="1" applyBorder="1" applyAlignment="1">
      <alignment horizontal="center" vertical="top" wrapText="1"/>
    </xf>
    <xf numFmtId="49" fontId="2" fillId="6" borderId="76" xfId="0" applyNumberFormat="1" applyFont="1" applyFill="1" applyBorder="1" applyAlignment="1">
      <alignment horizontal="center" vertical="top" wrapText="1"/>
    </xf>
    <xf numFmtId="49" fontId="2" fillId="6" borderId="44" xfId="0" applyNumberFormat="1" applyFont="1" applyFill="1" applyBorder="1" applyAlignment="1">
      <alignment horizontal="center" vertical="top" wrapText="1"/>
    </xf>
    <xf numFmtId="1" fontId="2" fillId="6" borderId="44" xfId="0" applyNumberFormat="1" applyFont="1" applyFill="1" applyBorder="1" applyAlignment="1">
      <alignment horizontal="center" vertical="top" wrapText="1"/>
    </xf>
    <xf numFmtId="49" fontId="2" fillId="6" borderId="75" xfId="0" applyNumberFormat="1" applyFont="1" applyFill="1" applyBorder="1" applyAlignment="1">
      <alignment horizontal="center" vertical="top" wrapText="1"/>
    </xf>
    <xf numFmtId="165" fontId="2" fillId="6" borderId="79" xfId="0" applyNumberFormat="1" applyFont="1" applyFill="1" applyBorder="1" applyAlignment="1">
      <alignment horizontal="center" vertical="top" wrapText="1"/>
    </xf>
    <xf numFmtId="1" fontId="2" fillId="6" borderId="44" xfId="1" applyNumberFormat="1" applyFont="1" applyFill="1" applyBorder="1" applyAlignment="1">
      <alignment horizontal="center" vertical="top" wrapText="1"/>
    </xf>
    <xf numFmtId="3" fontId="2" fillId="6" borderId="75" xfId="1" applyNumberFormat="1" applyFont="1" applyFill="1" applyBorder="1" applyAlignment="1">
      <alignment horizontal="center" vertical="top" wrapText="1"/>
    </xf>
    <xf numFmtId="165" fontId="2" fillId="6" borderId="44" xfId="0" applyNumberFormat="1" applyFont="1" applyFill="1" applyBorder="1" applyAlignment="1">
      <alignment horizontal="center" vertical="top" wrapText="1"/>
    </xf>
    <xf numFmtId="165" fontId="2" fillId="0" borderId="51" xfId="0" applyNumberFormat="1" applyFont="1" applyFill="1" applyBorder="1" applyAlignment="1">
      <alignment horizontal="center" vertical="top" wrapText="1"/>
    </xf>
    <xf numFmtId="165" fontId="2" fillId="6" borderId="43" xfId="0" applyNumberFormat="1" applyFont="1" applyFill="1" applyBorder="1" applyAlignment="1">
      <alignment horizontal="center" vertical="top" wrapText="1"/>
    </xf>
    <xf numFmtId="1" fontId="2" fillId="6" borderId="76" xfId="0" applyNumberFormat="1" applyFont="1" applyFill="1" applyBorder="1" applyAlignment="1">
      <alignment horizontal="center" vertical="top" wrapText="1"/>
    </xf>
    <xf numFmtId="3" fontId="2" fillId="0" borderId="0" xfId="0" applyNumberFormat="1" applyFont="1" applyFill="1" applyBorder="1" applyAlignment="1">
      <alignment horizontal="center" vertical="top" wrapText="1"/>
    </xf>
    <xf numFmtId="3" fontId="2" fillId="6" borderId="75" xfId="0" applyNumberFormat="1" applyFont="1" applyFill="1" applyBorder="1" applyAlignment="1">
      <alignment horizontal="center" vertical="top"/>
    </xf>
    <xf numFmtId="3" fontId="2" fillId="6" borderId="35" xfId="0" applyNumberFormat="1" applyFont="1" applyFill="1" applyBorder="1" applyAlignment="1">
      <alignment horizontal="center" vertical="top"/>
    </xf>
    <xf numFmtId="3" fontId="2" fillId="6" borderId="45" xfId="0" applyNumberFormat="1" applyFont="1" applyFill="1" applyBorder="1" applyAlignment="1">
      <alignment horizontal="center" vertical="top"/>
    </xf>
    <xf numFmtId="0" fontId="2" fillId="6" borderId="44" xfId="0" applyNumberFormat="1" applyFont="1" applyFill="1" applyBorder="1" applyAlignment="1">
      <alignment horizontal="center" vertical="top" wrapText="1"/>
    </xf>
    <xf numFmtId="165" fontId="4" fillId="10" borderId="54" xfId="0" applyNumberFormat="1" applyFont="1" applyFill="1" applyBorder="1" applyAlignment="1">
      <alignment horizontal="center" vertical="top"/>
    </xf>
    <xf numFmtId="165" fontId="4" fillId="4" borderId="54" xfId="0" applyNumberFormat="1" applyFont="1" applyFill="1" applyBorder="1" applyAlignment="1">
      <alignment horizontal="center" vertical="top"/>
    </xf>
    <xf numFmtId="3" fontId="2" fillId="2" borderId="40" xfId="0" applyNumberFormat="1" applyFont="1" applyFill="1" applyBorder="1" applyAlignment="1">
      <alignment horizontal="right" vertical="top"/>
    </xf>
    <xf numFmtId="165" fontId="4" fillId="8" borderId="21" xfId="0" applyNumberFormat="1" applyFont="1" applyFill="1" applyBorder="1" applyAlignment="1">
      <alignment horizontal="center" vertical="top"/>
    </xf>
    <xf numFmtId="165" fontId="2" fillId="6" borderId="32" xfId="0" applyNumberFormat="1" applyFont="1" applyFill="1" applyBorder="1" applyAlignment="1">
      <alignment horizontal="center" vertical="top"/>
    </xf>
    <xf numFmtId="165" fontId="2" fillId="6" borderId="82" xfId="0" applyNumberFormat="1" applyFont="1" applyFill="1" applyBorder="1" applyAlignment="1">
      <alignment horizontal="center" vertical="top"/>
    </xf>
    <xf numFmtId="165" fontId="2" fillId="6" borderId="56" xfId="0" applyNumberFormat="1" applyFont="1" applyFill="1" applyBorder="1" applyAlignment="1">
      <alignment horizontal="center" vertical="top"/>
    </xf>
    <xf numFmtId="0" fontId="2" fillId="0" borderId="0" xfId="0" applyNumberFormat="1" applyFont="1" applyFill="1" applyBorder="1" applyAlignment="1">
      <alignment horizontal="center" vertical="top" wrapText="1"/>
    </xf>
    <xf numFmtId="3" fontId="2" fillId="0" borderId="0" xfId="0" applyNumberFormat="1" applyFont="1" applyAlignment="1">
      <alignment horizontal="center" vertical="top"/>
    </xf>
    <xf numFmtId="0" fontId="2" fillId="0" borderId="0" xfId="0" applyFont="1" applyBorder="1" applyAlignment="1">
      <alignment horizontal="center" vertical="top"/>
    </xf>
    <xf numFmtId="0" fontId="2" fillId="0" borderId="0" xfId="0" applyFont="1" applyFill="1" applyAlignment="1">
      <alignment horizontal="center" vertical="top"/>
    </xf>
    <xf numFmtId="0" fontId="4" fillId="8" borderId="87" xfId="0" applyFont="1" applyFill="1" applyBorder="1" applyAlignment="1">
      <alignment horizontal="center" vertical="top"/>
    </xf>
    <xf numFmtId="3" fontId="4" fillId="6" borderId="43" xfId="0" applyNumberFormat="1" applyFont="1" applyFill="1" applyBorder="1" applyAlignment="1">
      <alignment horizontal="center" vertical="top" wrapText="1"/>
    </xf>
    <xf numFmtId="3" fontId="2" fillId="6" borderId="89" xfId="0" applyNumberFormat="1" applyFont="1" applyFill="1" applyBorder="1" applyAlignment="1">
      <alignment horizontal="center" vertical="top" wrapText="1"/>
    </xf>
    <xf numFmtId="49" fontId="2" fillId="6" borderId="79" xfId="0" applyNumberFormat="1" applyFont="1" applyFill="1" applyBorder="1" applyAlignment="1">
      <alignment horizontal="center" vertical="top" wrapText="1"/>
    </xf>
    <xf numFmtId="3" fontId="2" fillId="6" borderId="78" xfId="0" applyNumberFormat="1" applyFont="1" applyFill="1" applyBorder="1" applyAlignment="1">
      <alignment horizontal="center" vertical="top" wrapText="1"/>
    </xf>
    <xf numFmtId="49" fontId="4" fillId="6" borderId="41" xfId="0" applyNumberFormat="1" applyFont="1" applyFill="1" applyBorder="1" applyAlignment="1">
      <alignment horizontal="center" vertical="top"/>
    </xf>
    <xf numFmtId="49" fontId="4" fillId="6" borderId="39" xfId="0" applyNumberFormat="1" applyFont="1" applyFill="1" applyBorder="1" applyAlignment="1">
      <alignment horizontal="center" vertical="top"/>
    </xf>
    <xf numFmtId="0" fontId="18" fillId="6" borderId="25" xfId="0" applyFont="1" applyFill="1" applyBorder="1" applyAlignment="1">
      <alignment horizontal="center" vertical="top" wrapText="1"/>
    </xf>
    <xf numFmtId="49" fontId="4" fillId="6" borderId="42" xfId="0" applyNumberFormat="1" applyFont="1" applyFill="1" applyBorder="1" applyAlignment="1">
      <alignment horizontal="center" vertical="top" wrapText="1"/>
    </xf>
    <xf numFmtId="0" fontId="18" fillId="6" borderId="13" xfId="0" applyFont="1" applyFill="1" applyBorder="1" applyAlignment="1">
      <alignment horizontal="center" vertical="top" wrapText="1"/>
    </xf>
    <xf numFmtId="49" fontId="4" fillId="6" borderId="13" xfId="0" applyNumberFormat="1" applyFont="1" applyFill="1" applyBorder="1" applyAlignment="1">
      <alignment horizontal="center" vertical="center"/>
    </xf>
    <xf numFmtId="49" fontId="4" fillId="2" borderId="41" xfId="0" applyNumberFormat="1" applyFont="1" applyFill="1" applyBorder="1" applyAlignment="1">
      <alignment horizontal="center" vertical="top" wrapText="1"/>
    </xf>
    <xf numFmtId="49" fontId="4" fillId="6" borderId="13" xfId="0" applyNumberFormat="1" applyFont="1" applyFill="1" applyBorder="1" applyAlignment="1">
      <alignment vertical="top"/>
    </xf>
    <xf numFmtId="49" fontId="4" fillId="6" borderId="2" xfId="0" applyNumberFormat="1" applyFont="1" applyFill="1" applyBorder="1" applyAlignment="1">
      <alignment horizontal="center" vertical="top" wrapText="1"/>
    </xf>
    <xf numFmtId="165" fontId="2" fillId="6" borderId="30" xfId="0" applyNumberFormat="1" applyFont="1" applyFill="1" applyBorder="1" applyAlignment="1">
      <alignment horizontal="center" vertical="top"/>
    </xf>
    <xf numFmtId="3" fontId="2" fillId="6" borderId="32" xfId="0" applyNumberFormat="1" applyFont="1" applyFill="1" applyBorder="1" applyAlignment="1">
      <alignment horizontal="right" vertical="center"/>
    </xf>
    <xf numFmtId="49" fontId="2" fillId="6" borderId="14" xfId="0" applyNumberFormat="1" applyFont="1" applyFill="1" applyBorder="1" applyAlignment="1">
      <alignment horizontal="center" vertical="top" wrapText="1"/>
    </xf>
    <xf numFmtId="0" fontId="2" fillId="6" borderId="74" xfId="0" applyFont="1" applyFill="1" applyBorder="1" applyAlignment="1">
      <alignment horizontal="center" vertical="top" wrapText="1"/>
    </xf>
    <xf numFmtId="0" fontId="2" fillId="6" borderId="46" xfId="0" applyFont="1" applyFill="1" applyBorder="1" applyAlignment="1">
      <alignment horizontal="center" vertical="top"/>
    </xf>
    <xf numFmtId="1" fontId="2" fillId="6" borderId="75" xfId="0" applyNumberFormat="1" applyFont="1" applyFill="1" applyBorder="1" applyAlignment="1">
      <alignment horizontal="center" vertical="top" wrapText="1"/>
    </xf>
    <xf numFmtId="165" fontId="6" fillId="0" borderId="0" xfId="0" applyNumberFormat="1" applyFont="1" applyAlignment="1">
      <alignment horizontal="left" vertical="top" wrapText="1"/>
    </xf>
    <xf numFmtId="2" fontId="2" fillId="0" borderId="0" xfId="0" applyNumberFormat="1" applyFont="1" applyAlignment="1">
      <alignment horizontal="center" vertical="top"/>
    </xf>
    <xf numFmtId="0" fontId="2" fillId="6" borderId="13" xfId="0" applyFont="1" applyFill="1" applyBorder="1" applyAlignment="1">
      <alignment vertical="center" wrapText="1"/>
    </xf>
    <xf numFmtId="0" fontId="2" fillId="6" borderId="25" xfId="0" applyFont="1" applyFill="1" applyBorder="1" applyAlignment="1">
      <alignment vertical="center" wrapText="1"/>
    </xf>
    <xf numFmtId="0" fontId="2" fillId="6" borderId="43" xfId="0" applyNumberFormat="1" applyFont="1" applyFill="1" applyBorder="1" applyAlignment="1">
      <alignment horizontal="center" vertical="top" wrapText="1"/>
    </xf>
    <xf numFmtId="165" fontId="2" fillId="6" borderId="15" xfId="0" applyNumberFormat="1" applyFont="1" applyFill="1" applyBorder="1" applyAlignment="1">
      <alignment horizontal="center" vertical="top"/>
    </xf>
    <xf numFmtId="0" fontId="2" fillId="0" borderId="22" xfId="0" applyFont="1" applyBorder="1" applyAlignment="1">
      <alignment vertical="top"/>
    </xf>
    <xf numFmtId="0" fontId="2" fillId="6" borderId="30" xfId="0" applyFont="1" applyFill="1" applyBorder="1" applyAlignment="1">
      <alignment horizontal="center" vertical="top"/>
    </xf>
    <xf numFmtId="165" fontId="2" fillId="6" borderId="42" xfId="0" applyNumberFormat="1" applyFont="1" applyFill="1" applyBorder="1" applyAlignment="1">
      <alignment horizontal="center" vertical="top"/>
    </xf>
    <xf numFmtId="0" fontId="4" fillId="8" borderId="88" xfId="0" applyFont="1" applyFill="1" applyBorder="1" applyAlignment="1">
      <alignment horizontal="center" vertical="top"/>
    </xf>
    <xf numFmtId="0" fontId="2" fillId="8" borderId="34" xfId="0" applyFont="1" applyFill="1" applyBorder="1" applyAlignment="1">
      <alignment horizontal="center" vertical="top"/>
    </xf>
    <xf numFmtId="165" fontId="2" fillId="6" borderId="8" xfId="0" applyNumberFormat="1" applyFont="1" applyFill="1" applyBorder="1" applyAlignment="1">
      <alignment horizontal="center" vertical="top"/>
    </xf>
    <xf numFmtId="0" fontId="4" fillId="6" borderId="41" xfId="0" applyFont="1" applyFill="1" applyBorder="1" applyAlignment="1">
      <alignment horizontal="center" vertical="center" wrapText="1"/>
    </xf>
    <xf numFmtId="0" fontId="4" fillId="6" borderId="41" xfId="0" applyFont="1" applyFill="1" applyBorder="1" applyAlignment="1">
      <alignment horizontal="center" vertical="top" wrapText="1"/>
    </xf>
    <xf numFmtId="0" fontId="2" fillId="6" borderId="13" xfId="0" applyFont="1" applyFill="1" applyBorder="1" applyAlignment="1">
      <alignment vertical="center" textRotation="90"/>
    </xf>
    <xf numFmtId="0" fontId="2" fillId="6" borderId="16" xfId="0" applyFont="1" applyFill="1" applyBorder="1" applyAlignment="1">
      <alignment horizontal="left" vertical="top" wrapText="1"/>
    </xf>
    <xf numFmtId="0" fontId="2" fillId="6" borderId="13" xfId="0" applyFont="1" applyFill="1" applyBorder="1" applyAlignment="1">
      <alignment horizontal="left" vertical="top" wrapText="1"/>
    </xf>
    <xf numFmtId="49" fontId="4" fillId="10" borderId="9" xfId="0" applyNumberFormat="1" applyFont="1" applyFill="1" applyBorder="1" applyAlignment="1">
      <alignment horizontal="center" vertical="top"/>
    </xf>
    <xf numFmtId="49" fontId="4" fillId="3" borderId="13" xfId="0" applyNumberFormat="1" applyFont="1" applyFill="1" applyBorder="1" applyAlignment="1">
      <alignment horizontal="center" vertical="top"/>
    </xf>
    <xf numFmtId="49" fontId="4" fillId="8" borderId="13" xfId="0" applyNumberFormat="1" applyFont="1" applyFill="1" applyBorder="1" applyAlignment="1">
      <alignment horizontal="center" vertical="top"/>
    </xf>
    <xf numFmtId="0" fontId="2" fillId="6" borderId="25" xfId="0" applyFont="1" applyFill="1" applyBorder="1" applyAlignment="1">
      <alignment horizontal="left" vertical="top" wrapText="1"/>
    </xf>
    <xf numFmtId="0" fontId="2" fillId="6" borderId="41" xfId="0" applyFont="1" applyFill="1" applyBorder="1" applyAlignment="1">
      <alignment horizontal="left" vertical="top" wrapText="1"/>
    </xf>
    <xf numFmtId="0" fontId="6" fillId="6" borderId="13" xfId="0" applyFont="1" applyFill="1" applyBorder="1" applyAlignment="1">
      <alignment vertical="top" wrapText="1"/>
    </xf>
    <xf numFmtId="49" fontId="4" fillId="3" borderId="41" xfId="0" applyNumberFormat="1" applyFont="1" applyFill="1" applyBorder="1" applyAlignment="1">
      <alignment horizontal="center" vertical="top"/>
    </xf>
    <xf numFmtId="0" fontId="6" fillId="6" borderId="13" xfId="0" applyFont="1" applyFill="1" applyBorder="1" applyAlignment="1">
      <alignment horizontal="left" vertical="top" wrapText="1"/>
    </xf>
    <xf numFmtId="0" fontId="2" fillId="6" borderId="30" xfId="0" applyFont="1" applyFill="1" applyBorder="1" applyAlignment="1">
      <alignment horizontal="center" vertical="center" textRotation="90" wrapText="1"/>
    </xf>
    <xf numFmtId="0" fontId="2" fillId="6" borderId="13" xfId="0" applyFont="1" applyFill="1" applyBorder="1" applyAlignment="1">
      <alignment vertical="top" wrapText="1"/>
    </xf>
    <xf numFmtId="0" fontId="2" fillId="6" borderId="25" xfId="0" applyFont="1" applyFill="1" applyBorder="1" applyAlignment="1">
      <alignment vertical="top" wrapText="1"/>
    </xf>
    <xf numFmtId="0" fontId="6" fillId="6" borderId="41" xfId="0" applyFont="1" applyFill="1" applyBorder="1" applyAlignment="1"/>
    <xf numFmtId="0" fontId="6" fillId="9" borderId="53" xfId="0" applyFont="1" applyFill="1" applyBorder="1" applyAlignment="1">
      <alignment horizontal="left" vertical="top" wrapText="1"/>
    </xf>
    <xf numFmtId="49" fontId="4" fillId="8" borderId="13" xfId="0" applyNumberFormat="1" applyFont="1" applyFill="1" applyBorder="1" applyAlignment="1">
      <alignment horizontal="center" vertical="top" wrapText="1"/>
    </xf>
    <xf numFmtId="0" fontId="4" fillId="6" borderId="16" xfId="0" applyFont="1" applyFill="1" applyBorder="1" applyAlignment="1">
      <alignment horizontal="center" vertical="top" wrapText="1"/>
    </xf>
    <xf numFmtId="0" fontId="4" fillId="6" borderId="13" xfId="0" applyFont="1" applyFill="1" applyBorder="1" applyAlignment="1">
      <alignment horizontal="center" vertical="top" wrapText="1"/>
    </xf>
    <xf numFmtId="0" fontId="2" fillId="6" borderId="18" xfId="0" applyFont="1" applyFill="1" applyBorder="1" applyAlignment="1">
      <alignment horizontal="center" vertical="top" wrapText="1"/>
    </xf>
    <xf numFmtId="49" fontId="4" fillId="6" borderId="16" xfId="0" applyNumberFormat="1" applyFont="1" applyFill="1" applyBorder="1" applyAlignment="1">
      <alignment horizontal="center" vertical="top"/>
    </xf>
    <xf numFmtId="49" fontId="4" fillId="6" borderId="25" xfId="0" applyNumberFormat="1" applyFont="1" applyFill="1" applyBorder="1" applyAlignment="1">
      <alignment horizontal="center" vertical="top"/>
    </xf>
    <xf numFmtId="49" fontId="4" fillId="6" borderId="13" xfId="0" applyNumberFormat="1" applyFont="1" applyFill="1" applyBorder="1" applyAlignment="1">
      <alignment horizontal="center" vertical="top"/>
    </xf>
    <xf numFmtId="0" fontId="2" fillId="6" borderId="8" xfId="0" applyFont="1" applyFill="1" applyBorder="1" applyAlignment="1">
      <alignment horizontal="center" vertical="top" wrapText="1"/>
    </xf>
    <xf numFmtId="49" fontId="4" fillId="6" borderId="16" xfId="0" applyNumberFormat="1" applyFont="1" applyFill="1" applyBorder="1" applyAlignment="1">
      <alignment horizontal="center" vertical="top" wrapText="1"/>
    </xf>
    <xf numFmtId="49" fontId="4" fillId="6" borderId="13" xfId="0" applyNumberFormat="1" applyFont="1" applyFill="1" applyBorder="1" applyAlignment="1">
      <alignment horizontal="center" vertical="top" wrapText="1"/>
    </xf>
    <xf numFmtId="0" fontId="2" fillId="6" borderId="13" xfId="0" applyFont="1" applyFill="1" applyBorder="1" applyAlignment="1">
      <alignment horizontal="center" vertical="center" textRotation="90" wrapText="1"/>
    </xf>
    <xf numFmtId="0" fontId="2" fillId="6" borderId="25" xfId="0" applyFont="1" applyFill="1" applyBorder="1" applyAlignment="1">
      <alignment horizontal="center" vertical="center" textRotation="90" wrapText="1"/>
    </xf>
    <xf numFmtId="0" fontId="17" fillId="0" borderId="0" xfId="0" applyFont="1" applyAlignment="1">
      <alignment vertical="top" wrapText="1"/>
    </xf>
    <xf numFmtId="165" fontId="2" fillId="6" borderId="42" xfId="0" applyNumberFormat="1" applyFont="1" applyFill="1" applyBorder="1" applyAlignment="1">
      <alignment horizontal="center" vertical="top" wrapText="1"/>
    </xf>
    <xf numFmtId="0" fontId="2" fillId="6" borderId="18" xfId="0" applyFont="1" applyFill="1" applyBorder="1" applyAlignment="1">
      <alignment horizontal="center" vertical="top"/>
    </xf>
    <xf numFmtId="3" fontId="2" fillId="6" borderId="80" xfId="0" applyNumberFormat="1" applyFont="1" applyFill="1" applyBorder="1" applyAlignment="1">
      <alignment horizontal="center" vertical="top"/>
    </xf>
    <xf numFmtId="3" fontId="2" fillId="6" borderId="44" xfId="1" applyNumberFormat="1" applyFont="1" applyFill="1" applyBorder="1" applyAlignment="1">
      <alignment horizontal="center" vertical="top"/>
    </xf>
    <xf numFmtId="3" fontId="2" fillId="8" borderId="46" xfId="0" applyNumberFormat="1" applyFont="1" applyFill="1" applyBorder="1" applyAlignment="1">
      <alignment horizontal="center" vertical="top"/>
    </xf>
    <xf numFmtId="165" fontId="2" fillId="6" borderId="78" xfId="0" applyNumberFormat="1" applyFont="1" applyFill="1" applyBorder="1" applyAlignment="1">
      <alignment horizontal="center" vertical="top"/>
    </xf>
    <xf numFmtId="0" fontId="2" fillId="6" borderId="6" xfId="0" applyFont="1" applyFill="1" applyBorder="1" applyAlignment="1">
      <alignment horizontal="center" vertical="top" wrapText="1"/>
    </xf>
    <xf numFmtId="0" fontId="2" fillId="6" borderId="37" xfId="0" applyFont="1" applyFill="1" applyBorder="1" applyAlignment="1">
      <alignment horizontal="center" vertical="top" wrapText="1"/>
    </xf>
    <xf numFmtId="165" fontId="4" fillId="8" borderId="88" xfId="0" applyNumberFormat="1" applyFont="1" applyFill="1" applyBorder="1" applyAlignment="1">
      <alignment horizontal="center" vertical="top"/>
    </xf>
    <xf numFmtId="165" fontId="4" fillId="3" borderId="95" xfId="0" applyNumberFormat="1" applyFont="1" applyFill="1" applyBorder="1" applyAlignment="1">
      <alignment horizontal="center" vertical="top"/>
    </xf>
    <xf numFmtId="3" fontId="2" fillId="0" borderId="51" xfId="0" applyNumberFormat="1" applyFont="1" applyFill="1" applyBorder="1" applyAlignment="1">
      <alignment horizontal="center" vertical="top"/>
    </xf>
    <xf numFmtId="3" fontId="2" fillId="6" borderId="79" xfId="1" applyNumberFormat="1" applyFont="1" applyFill="1" applyBorder="1" applyAlignment="1">
      <alignment horizontal="center" vertical="top" wrapText="1"/>
    </xf>
    <xf numFmtId="0" fontId="2" fillId="2" borderId="51" xfId="0" applyFont="1" applyFill="1" applyBorder="1" applyAlignment="1">
      <alignment horizontal="center" vertical="top" wrapText="1"/>
    </xf>
    <xf numFmtId="49" fontId="2" fillId="6" borderId="44" xfId="0" applyNumberFormat="1" applyFont="1" applyFill="1" applyBorder="1" applyAlignment="1">
      <alignment horizontal="center" vertical="center" wrapText="1"/>
    </xf>
    <xf numFmtId="0" fontId="1" fillId="6" borderId="13" xfId="0" applyFont="1" applyFill="1" applyBorder="1" applyAlignment="1">
      <alignment vertical="center" textRotation="90" wrapText="1"/>
    </xf>
    <xf numFmtId="0" fontId="2" fillId="6" borderId="44" xfId="0" applyFont="1" applyFill="1" applyBorder="1" applyAlignment="1">
      <alignment horizontal="center" vertical="center" wrapText="1"/>
    </xf>
    <xf numFmtId="49" fontId="2" fillId="6" borderId="45" xfId="0" applyNumberFormat="1" applyFont="1" applyFill="1" applyBorder="1" applyAlignment="1">
      <alignment vertical="top" wrapText="1"/>
    </xf>
    <xf numFmtId="49" fontId="2" fillId="6" borderId="43" xfId="0" applyNumberFormat="1" applyFont="1" applyFill="1" applyBorder="1" applyAlignment="1">
      <alignment horizontal="center" vertical="top" wrapText="1"/>
    </xf>
    <xf numFmtId="0" fontId="4" fillId="6" borderId="20" xfId="0" applyFont="1" applyFill="1" applyBorder="1" applyAlignment="1">
      <alignment horizontal="center" vertical="top" wrapText="1"/>
    </xf>
    <xf numFmtId="49" fontId="4" fillId="8" borderId="19" xfId="0" applyNumberFormat="1" applyFont="1" applyFill="1" applyBorder="1" applyAlignment="1">
      <alignment horizontal="center" vertical="top" wrapText="1"/>
    </xf>
    <xf numFmtId="0" fontId="6" fillId="6" borderId="32" xfId="0" applyFont="1" applyFill="1" applyBorder="1" applyAlignment="1">
      <alignment horizontal="left" vertical="top" wrapText="1"/>
    </xf>
    <xf numFmtId="0" fontId="6" fillId="6" borderId="0" xfId="0" applyFont="1" applyFill="1" applyBorder="1" applyAlignment="1">
      <alignment horizontal="left" vertical="top" wrapText="1"/>
    </xf>
    <xf numFmtId="0" fontId="2" fillId="6" borderId="85" xfId="0" applyFont="1" applyFill="1" applyBorder="1" applyAlignment="1">
      <alignment vertical="top" wrapText="1"/>
    </xf>
    <xf numFmtId="49" fontId="2" fillId="6" borderId="86" xfId="0" applyNumberFormat="1" applyFont="1" applyFill="1" applyBorder="1" applyAlignment="1">
      <alignment horizontal="center" vertical="top" wrapText="1"/>
    </xf>
    <xf numFmtId="3" fontId="2" fillId="6" borderId="86" xfId="0" applyNumberFormat="1" applyFont="1" applyFill="1" applyBorder="1" applyAlignment="1">
      <alignment horizontal="center" vertical="top"/>
    </xf>
    <xf numFmtId="49" fontId="4" fillId="6" borderId="85" xfId="0" applyNumberFormat="1" applyFont="1" applyFill="1" applyBorder="1" applyAlignment="1">
      <alignment horizontal="center" vertical="top" wrapText="1"/>
    </xf>
    <xf numFmtId="0" fontId="4" fillId="6" borderId="85" xfId="0" applyFont="1" applyFill="1" applyBorder="1" applyAlignment="1">
      <alignment horizontal="center" vertical="top" wrapText="1"/>
    </xf>
    <xf numFmtId="165" fontId="2" fillId="6" borderId="5" xfId="0" applyNumberFormat="1" applyFont="1" applyFill="1" applyBorder="1" applyAlignment="1">
      <alignment horizontal="center" vertical="top"/>
    </xf>
    <xf numFmtId="0" fontId="2" fillId="6" borderId="45" xfId="0" applyFont="1" applyFill="1" applyBorder="1" applyAlignment="1">
      <alignment vertical="center" wrapText="1"/>
    </xf>
    <xf numFmtId="0" fontId="2" fillId="0" borderId="11" xfId="0" applyFont="1" applyBorder="1" applyAlignment="1">
      <alignment horizontal="center" vertical="center" textRotation="90" wrapText="1"/>
    </xf>
    <xf numFmtId="49" fontId="2" fillId="6" borderId="44" xfId="0" applyNumberFormat="1" applyFont="1" applyFill="1" applyBorder="1" applyAlignment="1">
      <alignment horizontal="center" vertical="top"/>
    </xf>
    <xf numFmtId="164" fontId="2" fillId="6" borderId="76" xfId="0" applyNumberFormat="1" applyFont="1" applyFill="1" applyBorder="1" applyAlignment="1">
      <alignment horizontal="center" vertical="top"/>
    </xf>
    <xf numFmtId="49" fontId="4" fillId="6" borderId="45" xfId="0" applyNumberFormat="1" applyFont="1" applyFill="1" applyBorder="1" applyAlignment="1">
      <alignment horizontal="center" vertical="top"/>
    </xf>
    <xf numFmtId="49" fontId="2" fillId="6" borderId="24" xfId="0" applyNumberFormat="1" applyFont="1" applyFill="1" applyBorder="1" applyAlignment="1">
      <alignment horizontal="center" vertical="center" wrapText="1"/>
    </xf>
    <xf numFmtId="0" fontId="2" fillId="6" borderId="89" xfId="0" applyFont="1" applyFill="1" applyBorder="1" applyAlignment="1">
      <alignment horizontal="center" vertical="top"/>
    </xf>
    <xf numFmtId="49" fontId="2" fillId="6" borderId="77" xfId="0" applyNumberFormat="1" applyFont="1" applyFill="1" applyBorder="1" applyAlignment="1">
      <alignment horizontal="center" vertical="top" wrapText="1"/>
    </xf>
    <xf numFmtId="0" fontId="2" fillId="6" borderId="11" xfId="0" applyFont="1" applyFill="1" applyBorder="1" applyAlignment="1">
      <alignment horizontal="center" vertical="center" textRotation="90" wrapText="1"/>
    </xf>
    <xf numFmtId="0" fontId="2" fillId="6" borderId="96" xfId="0" applyFont="1" applyFill="1" applyBorder="1" applyAlignment="1">
      <alignment vertical="top" wrapText="1"/>
    </xf>
    <xf numFmtId="49" fontId="2" fillId="6" borderId="3" xfId="0" applyNumberFormat="1" applyFont="1" applyFill="1" applyBorder="1" applyAlignment="1">
      <alignment horizontal="center" vertical="top" wrapText="1"/>
    </xf>
    <xf numFmtId="0" fontId="6" fillId="6" borderId="44" xfId="0" applyFont="1" applyFill="1" applyBorder="1" applyAlignment="1">
      <alignment horizontal="center" vertical="top" wrapText="1"/>
    </xf>
    <xf numFmtId="0" fontId="4" fillId="6" borderId="13" xfId="0" applyFont="1" applyFill="1" applyBorder="1" applyAlignment="1">
      <alignment horizontal="center" vertical="center" wrapText="1"/>
    </xf>
    <xf numFmtId="0" fontId="2" fillId="6" borderId="44" xfId="0" applyFont="1" applyFill="1" applyBorder="1" applyAlignment="1">
      <alignment horizontal="center" vertical="top" wrapText="1"/>
    </xf>
    <xf numFmtId="0" fontId="2" fillId="6" borderId="46" xfId="0" applyFont="1" applyFill="1" applyBorder="1" applyAlignment="1">
      <alignment horizontal="center" vertical="top" wrapText="1"/>
    </xf>
    <xf numFmtId="3" fontId="2" fillId="6" borderId="44" xfId="1" applyNumberFormat="1" applyFont="1" applyFill="1" applyBorder="1" applyAlignment="1">
      <alignment horizontal="center" vertical="top" wrapText="1"/>
    </xf>
    <xf numFmtId="49" fontId="4" fillId="6" borderId="84" xfId="0" applyNumberFormat="1" applyFont="1" applyFill="1" applyBorder="1" applyAlignment="1">
      <alignment horizontal="center" vertical="top" wrapText="1"/>
    </xf>
    <xf numFmtId="0" fontId="2" fillId="6" borderId="13" xfId="0" applyFont="1" applyFill="1" applyBorder="1" applyAlignment="1">
      <alignment vertical="center" textRotation="90" wrapText="1"/>
    </xf>
    <xf numFmtId="49" fontId="2" fillId="6" borderId="1" xfId="0" applyNumberFormat="1" applyFont="1" applyFill="1" applyBorder="1" applyAlignment="1">
      <alignment vertical="top" wrapText="1"/>
    </xf>
    <xf numFmtId="49" fontId="2" fillId="6" borderId="14" xfId="0" applyNumberFormat="1" applyFont="1" applyFill="1" applyBorder="1" applyAlignment="1">
      <alignment vertical="top" wrapText="1"/>
    </xf>
    <xf numFmtId="0" fontId="4" fillId="6" borderId="13" xfId="0" applyFont="1" applyFill="1" applyBorder="1" applyAlignment="1">
      <alignment horizontal="center" vertical="top"/>
    </xf>
    <xf numFmtId="3" fontId="4" fillId="6" borderId="16" xfId="0" applyNumberFormat="1" applyFont="1" applyFill="1" applyBorder="1" applyAlignment="1">
      <alignment horizontal="center" vertical="top"/>
    </xf>
    <xf numFmtId="0" fontId="4" fillId="6" borderId="23" xfId="0" applyFont="1" applyFill="1" applyBorder="1" applyAlignment="1">
      <alignment horizontal="center" vertical="top"/>
    </xf>
    <xf numFmtId="0" fontId="4" fillId="6" borderId="39" xfId="0" applyFont="1" applyFill="1" applyBorder="1" applyAlignment="1">
      <alignment horizontal="center" vertical="top"/>
    </xf>
    <xf numFmtId="0" fontId="4" fillId="6" borderId="16"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2" fillId="0" borderId="18" xfId="0" applyFont="1" applyBorder="1" applyAlignment="1">
      <alignment vertical="top"/>
    </xf>
    <xf numFmtId="3" fontId="2" fillId="6" borderId="67" xfId="0" applyNumberFormat="1" applyFont="1" applyFill="1" applyBorder="1" applyAlignment="1">
      <alignment horizontal="center" vertical="top" wrapText="1"/>
    </xf>
    <xf numFmtId="0" fontId="2" fillId="6" borderId="67" xfId="0" applyFont="1" applyFill="1" applyBorder="1" applyAlignment="1">
      <alignment horizontal="center" vertical="top"/>
    </xf>
    <xf numFmtId="0" fontId="2" fillId="6" borderId="1" xfId="0" applyFont="1" applyFill="1" applyBorder="1" applyAlignment="1">
      <alignment horizontal="center" vertical="top"/>
    </xf>
    <xf numFmtId="0" fontId="2" fillId="6" borderId="72" xfId="0" applyFont="1" applyFill="1" applyBorder="1" applyAlignment="1">
      <alignment horizontal="center" vertical="top"/>
    </xf>
    <xf numFmtId="165" fontId="4" fillId="3" borderId="50" xfId="0" applyNumberFormat="1" applyFont="1" applyFill="1" applyBorder="1" applyAlignment="1">
      <alignment horizontal="center" vertical="top"/>
    </xf>
    <xf numFmtId="0" fontId="4" fillId="0" borderId="56" xfId="0" applyNumberFormat="1" applyFont="1" applyBorder="1" applyAlignment="1">
      <alignment horizontal="center" vertical="top"/>
    </xf>
    <xf numFmtId="0" fontId="2" fillId="0" borderId="56" xfId="0" applyFont="1" applyBorder="1" applyAlignment="1">
      <alignment horizontal="center" vertical="top"/>
    </xf>
    <xf numFmtId="0" fontId="2" fillId="0" borderId="56" xfId="0" applyFont="1" applyFill="1" applyBorder="1" applyAlignment="1">
      <alignment vertical="top"/>
    </xf>
    <xf numFmtId="165" fontId="2" fillId="0" borderId="0" xfId="0" applyNumberFormat="1" applyFont="1" applyFill="1" applyBorder="1" applyAlignment="1">
      <alignment horizontal="left" vertical="top" wrapText="1"/>
    </xf>
    <xf numFmtId="3" fontId="4" fillId="0" borderId="0" xfId="0" applyNumberFormat="1" applyFont="1" applyFill="1" applyBorder="1" applyAlignment="1">
      <alignment horizontal="center" vertical="top"/>
    </xf>
    <xf numFmtId="0" fontId="2" fillId="0" borderId="0" xfId="0" applyFont="1" applyFill="1" applyBorder="1" applyAlignment="1">
      <alignment vertical="top"/>
    </xf>
    <xf numFmtId="0" fontId="2" fillId="6" borderId="13" xfId="0" applyFont="1" applyFill="1" applyBorder="1" applyAlignment="1">
      <alignment horizontal="left" vertical="top" wrapText="1"/>
    </xf>
    <xf numFmtId="49" fontId="2" fillId="6" borderId="44" xfId="0" applyNumberFormat="1" applyFont="1" applyFill="1" applyBorder="1" applyAlignment="1">
      <alignment horizontal="center" vertical="top" wrapText="1"/>
    </xf>
    <xf numFmtId="49" fontId="4" fillId="6" borderId="13" xfId="0" applyNumberFormat="1" applyFont="1" applyFill="1" applyBorder="1" applyAlignment="1">
      <alignment horizontal="center" vertical="top"/>
    </xf>
    <xf numFmtId="49" fontId="4" fillId="10" borderId="9" xfId="0" applyNumberFormat="1" applyFont="1" applyFill="1" applyBorder="1" applyAlignment="1">
      <alignment horizontal="center" vertical="top"/>
    </xf>
    <xf numFmtId="49" fontId="4" fillId="3" borderId="13" xfId="0" applyNumberFormat="1" applyFont="1" applyFill="1" applyBorder="1" applyAlignment="1">
      <alignment horizontal="center" vertical="top"/>
    </xf>
    <xf numFmtId="49" fontId="4" fillId="3" borderId="41" xfId="0" applyNumberFormat="1" applyFont="1" applyFill="1" applyBorder="1" applyAlignment="1">
      <alignment horizontal="center" vertical="top"/>
    </xf>
    <xf numFmtId="0" fontId="6" fillId="6" borderId="13" xfId="0" applyFont="1" applyFill="1" applyBorder="1" applyAlignment="1">
      <alignment horizontal="left" vertical="top" wrapText="1"/>
    </xf>
    <xf numFmtId="165" fontId="2" fillId="6" borderId="17" xfId="0" applyNumberFormat="1" applyFont="1" applyFill="1" applyBorder="1" applyAlignment="1">
      <alignment horizontal="center" vertical="top"/>
    </xf>
    <xf numFmtId="3" fontId="2" fillId="6" borderId="79" xfId="0" applyNumberFormat="1" applyFont="1" applyFill="1" applyBorder="1" applyAlignment="1">
      <alignment horizontal="center" vertical="top" wrapText="1"/>
    </xf>
    <xf numFmtId="3" fontId="2" fillId="6" borderId="78" xfId="1" applyNumberFormat="1" applyFont="1" applyFill="1" applyBorder="1" applyAlignment="1">
      <alignment horizontal="center" vertical="top" wrapText="1"/>
    </xf>
    <xf numFmtId="49" fontId="2" fillId="6" borderId="14" xfId="0" applyNumberFormat="1" applyFont="1" applyFill="1" applyBorder="1" applyAlignment="1">
      <alignment horizontal="center" vertical="top" wrapText="1"/>
    </xf>
    <xf numFmtId="49" fontId="2" fillId="6" borderId="44" xfId="0" applyNumberFormat="1" applyFont="1" applyFill="1" applyBorder="1" applyAlignment="1">
      <alignment horizontal="center" vertical="top" wrapText="1"/>
    </xf>
    <xf numFmtId="49" fontId="4" fillId="6" borderId="13" xfId="0" applyNumberFormat="1" applyFont="1" applyFill="1" applyBorder="1" applyAlignment="1">
      <alignment horizontal="center" vertical="top"/>
    </xf>
    <xf numFmtId="0" fontId="6" fillId="6" borderId="13" xfId="0" applyFont="1" applyFill="1" applyBorder="1" applyAlignment="1">
      <alignment vertical="top" wrapText="1"/>
    </xf>
    <xf numFmtId="0" fontId="2" fillId="6" borderId="13" xfId="0" applyFont="1" applyFill="1" applyBorder="1" applyAlignment="1">
      <alignment horizontal="center" vertical="center" textRotation="90" wrapText="1"/>
    </xf>
    <xf numFmtId="49" fontId="4" fillId="10" borderId="9" xfId="0" applyNumberFormat="1" applyFont="1" applyFill="1" applyBorder="1" applyAlignment="1">
      <alignment horizontal="center" vertical="top"/>
    </xf>
    <xf numFmtId="49" fontId="4" fillId="3" borderId="41" xfId="0" applyNumberFormat="1" applyFont="1" applyFill="1" applyBorder="1" applyAlignment="1">
      <alignment horizontal="center" vertical="top"/>
    </xf>
    <xf numFmtId="49" fontId="4" fillId="8" borderId="13" xfId="0" applyNumberFormat="1" applyFont="1" applyFill="1" applyBorder="1" applyAlignment="1">
      <alignment horizontal="center" vertical="top"/>
    </xf>
    <xf numFmtId="49" fontId="4" fillId="3" borderId="13" xfId="0" applyNumberFormat="1" applyFont="1" applyFill="1" applyBorder="1" applyAlignment="1">
      <alignment horizontal="center" vertical="top"/>
    </xf>
    <xf numFmtId="0" fontId="2" fillId="6" borderId="41" xfId="0" applyFont="1" applyFill="1" applyBorder="1" applyAlignment="1">
      <alignment horizontal="left" vertical="top" wrapText="1"/>
    </xf>
    <xf numFmtId="49" fontId="2" fillId="6" borderId="14" xfId="0" applyNumberFormat="1" applyFont="1" applyFill="1" applyBorder="1" applyAlignment="1">
      <alignment horizontal="center" vertical="center" wrapText="1"/>
    </xf>
    <xf numFmtId="3" fontId="4" fillId="6" borderId="16" xfId="0" applyNumberFormat="1" applyFont="1" applyFill="1" applyBorder="1" applyAlignment="1">
      <alignment horizontal="center" vertical="top" wrapText="1"/>
    </xf>
    <xf numFmtId="3" fontId="4" fillId="6" borderId="13" xfId="0" applyNumberFormat="1" applyFont="1" applyFill="1" applyBorder="1" applyAlignment="1">
      <alignment horizontal="center" vertical="top" wrapText="1"/>
    </xf>
    <xf numFmtId="0" fontId="6" fillId="9" borderId="53" xfId="0" applyFont="1" applyFill="1" applyBorder="1" applyAlignment="1">
      <alignment horizontal="left" vertical="top" wrapText="1"/>
    </xf>
    <xf numFmtId="0" fontId="2" fillId="0" borderId="9" xfId="0" applyFont="1" applyBorder="1" applyAlignment="1">
      <alignment horizontal="center" vertical="top"/>
    </xf>
    <xf numFmtId="0" fontId="2" fillId="0" borderId="22" xfId="0" applyFont="1" applyBorder="1" applyAlignment="1">
      <alignment horizontal="center" vertical="top"/>
    </xf>
    <xf numFmtId="49" fontId="4" fillId="8" borderId="13" xfId="0" applyNumberFormat="1" applyFont="1" applyFill="1" applyBorder="1" applyAlignment="1">
      <alignment horizontal="center" vertical="top" wrapText="1"/>
    </xf>
    <xf numFmtId="0" fontId="2" fillId="6" borderId="25" xfId="0" applyFont="1" applyFill="1" applyBorder="1" applyAlignment="1">
      <alignment horizontal="center" vertical="center" textRotation="90" wrapText="1"/>
    </xf>
    <xf numFmtId="0" fontId="2" fillId="6" borderId="16" xfId="0" applyFont="1" applyFill="1" applyBorder="1" applyAlignment="1">
      <alignment vertical="top" wrapText="1"/>
    </xf>
    <xf numFmtId="49" fontId="4" fillId="3" borderId="41" xfId="0" applyNumberFormat="1" applyFont="1" applyFill="1" applyBorder="1" applyAlignment="1">
      <alignment horizontal="center" vertical="top"/>
    </xf>
    <xf numFmtId="49" fontId="4" fillId="6" borderId="16" xfId="0" applyNumberFormat="1" applyFont="1" applyFill="1" applyBorder="1" applyAlignment="1">
      <alignment horizontal="center" vertical="top" wrapText="1"/>
    </xf>
    <xf numFmtId="165" fontId="4" fillId="8" borderId="87" xfId="0" applyNumberFormat="1" applyFont="1" applyFill="1" applyBorder="1" applyAlignment="1">
      <alignment horizontal="center" vertical="top"/>
    </xf>
    <xf numFmtId="165" fontId="4" fillId="3" borderId="53" xfId="0" applyNumberFormat="1" applyFont="1" applyFill="1" applyBorder="1" applyAlignment="1">
      <alignment horizontal="center" vertical="top"/>
    </xf>
    <xf numFmtId="49" fontId="4" fillId="0" borderId="0" xfId="0" applyNumberFormat="1" applyFont="1" applyFill="1" applyBorder="1" applyAlignment="1">
      <alignment horizontal="center" vertical="top" wrapText="1"/>
    </xf>
    <xf numFmtId="165" fontId="2" fillId="6" borderId="43" xfId="0" applyNumberFormat="1" applyFont="1" applyFill="1" applyBorder="1" applyAlignment="1">
      <alignment horizontal="center" vertical="top"/>
    </xf>
    <xf numFmtId="0" fontId="2" fillId="0" borderId="8" xfId="0" applyFont="1" applyBorder="1" applyAlignment="1">
      <alignment vertical="top"/>
    </xf>
    <xf numFmtId="0" fontId="2" fillId="0" borderId="46" xfId="0" applyFont="1" applyBorder="1" applyAlignment="1">
      <alignment vertical="top"/>
    </xf>
    <xf numFmtId="165" fontId="2" fillId="6" borderId="74" xfId="0" applyNumberFormat="1" applyFont="1" applyFill="1" applyBorder="1" applyAlignment="1">
      <alignment horizontal="center" vertical="top"/>
    </xf>
    <xf numFmtId="165" fontId="2" fillId="6" borderId="6" xfId="0" applyNumberFormat="1" applyFont="1" applyFill="1" applyBorder="1" applyAlignment="1">
      <alignment horizontal="center" vertical="top"/>
    </xf>
    <xf numFmtId="165" fontId="2" fillId="6" borderId="90" xfId="0" applyNumberFormat="1" applyFont="1" applyFill="1" applyBorder="1" applyAlignment="1">
      <alignment horizontal="center" vertical="top"/>
    </xf>
    <xf numFmtId="165" fontId="2" fillId="6" borderId="37" xfId="0" applyNumberFormat="1" applyFont="1" applyFill="1" applyBorder="1" applyAlignment="1">
      <alignment horizontal="center" vertical="top"/>
    </xf>
    <xf numFmtId="3" fontId="2" fillId="6" borderId="37" xfId="0" applyNumberFormat="1" applyFont="1" applyFill="1" applyBorder="1" applyAlignment="1">
      <alignment horizontal="right" vertical="center"/>
    </xf>
    <xf numFmtId="165" fontId="2" fillId="6" borderId="44" xfId="0" applyNumberFormat="1" applyFont="1" applyFill="1" applyBorder="1" applyAlignment="1">
      <alignment horizontal="center" vertical="top"/>
    </xf>
    <xf numFmtId="3" fontId="2" fillId="2" borderId="6" xfId="0" applyNumberFormat="1" applyFont="1" applyFill="1" applyBorder="1" applyAlignment="1">
      <alignment horizontal="right" vertical="top"/>
    </xf>
    <xf numFmtId="165" fontId="4" fillId="9" borderId="88" xfId="0" applyNumberFormat="1" applyFont="1" applyFill="1" applyBorder="1" applyAlignment="1">
      <alignment horizontal="center" vertical="top"/>
    </xf>
    <xf numFmtId="165" fontId="4" fillId="10" borderId="95" xfId="0" applyNumberFormat="1" applyFont="1" applyFill="1" applyBorder="1" applyAlignment="1">
      <alignment horizontal="center" vertical="top"/>
    </xf>
    <xf numFmtId="165" fontId="2" fillId="6" borderId="36" xfId="0" applyNumberFormat="1" applyFont="1" applyFill="1" applyBorder="1" applyAlignment="1">
      <alignment horizontal="center" vertical="top"/>
    </xf>
    <xf numFmtId="165" fontId="2" fillId="6" borderId="9" xfId="0" applyNumberFormat="1" applyFont="1" applyFill="1" applyBorder="1" applyAlignment="1">
      <alignment horizontal="center" vertical="top"/>
    </xf>
    <xf numFmtId="165" fontId="2" fillId="6" borderId="22" xfId="0" applyNumberFormat="1" applyFont="1" applyFill="1" applyBorder="1" applyAlignment="1">
      <alignment horizontal="center" vertical="top"/>
    </xf>
    <xf numFmtId="0" fontId="2" fillId="6" borderId="9" xfId="0" applyFont="1" applyFill="1" applyBorder="1" applyAlignment="1">
      <alignment horizontal="center" vertical="top"/>
    </xf>
    <xf numFmtId="165" fontId="2" fillId="6" borderId="9" xfId="0" applyNumberFormat="1" applyFont="1" applyFill="1" applyBorder="1" applyAlignment="1">
      <alignment horizontal="center" vertical="top" wrapText="1"/>
    </xf>
    <xf numFmtId="0" fontId="2" fillId="6" borderId="0" xfId="0" applyFont="1" applyFill="1" applyBorder="1" applyAlignment="1">
      <alignment horizontal="center" vertical="top"/>
    </xf>
    <xf numFmtId="165" fontId="2" fillId="6" borderId="16" xfId="0" applyNumberFormat="1" applyFont="1" applyFill="1" applyBorder="1" applyAlignment="1">
      <alignment horizontal="center" vertical="top"/>
    </xf>
    <xf numFmtId="165" fontId="2" fillId="6" borderId="13" xfId="0" applyNumberFormat="1" applyFont="1" applyFill="1" applyBorder="1" applyAlignment="1">
      <alignment horizontal="center" vertical="top"/>
    </xf>
    <xf numFmtId="165" fontId="2" fillId="6" borderId="25" xfId="0" applyNumberFormat="1" applyFont="1" applyFill="1" applyBorder="1" applyAlignment="1">
      <alignment horizontal="center" vertical="top"/>
    </xf>
    <xf numFmtId="0" fontId="2" fillId="6" borderId="13" xfId="0" applyFont="1" applyFill="1" applyBorder="1" applyAlignment="1">
      <alignment horizontal="center" vertical="top"/>
    </xf>
    <xf numFmtId="165" fontId="2" fillId="6" borderId="13" xfId="0" applyNumberFormat="1" applyFont="1" applyFill="1" applyBorder="1" applyAlignment="1">
      <alignment horizontal="center" vertical="top" wrapText="1"/>
    </xf>
    <xf numFmtId="165" fontId="2" fillId="6" borderId="30" xfId="0" applyNumberFormat="1" applyFont="1" applyFill="1" applyBorder="1" applyAlignment="1">
      <alignment horizontal="center" vertical="top" wrapText="1"/>
    </xf>
    <xf numFmtId="0" fontId="2" fillId="0" borderId="15" xfId="0" applyFont="1" applyBorder="1" applyAlignment="1">
      <alignment vertical="top"/>
    </xf>
    <xf numFmtId="165" fontId="2" fillId="6" borderId="71" xfId="0" applyNumberFormat="1" applyFont="1" applyFill="1" applyBorder="1" applyAlignment="1">
      <alignment horizontal="center" vertical="top"/>
    </xf>
    <xf numFmtId="165" fontId="4" fillId="8" borderId="10" xfId="0" applyNumberFormat="1" applyFont="1" applyFill="1" applyBorder="1" applyAlignment="1">
      <alignment horizontal="center" vertical="top"/>
    </xf>
    <xf numFmtId="165" fontId="4" fillId="8" borderId="19" xfId="0" applyNumberFormat="1" applyFont="1" applyFill="1" applyBorder="1" applyAlignment="1">
      <alignment horizontal="center" vertical="top"/>
    </xf>
    <xf numFmtId="165" fontId="2" fillId="6" borderId="81" xfId="0" applyNumberFormat="1" applyFont="1" applyFill="1" applyBorder="1" applyAlignment="1">
      <alignment horizontal="center" vertical="top"/>
    </xf>
    <xf numFmtId="165" fontId="2" fillId="6" borderId="62" xfId="0" applyNumberFormat="1" applyFont="1" applyFill="1" applyBorder="1" applyAlignment="1">
      <alignment horizontal="center" vertical="top"/>
    </xf>
    <xf numFmtId="165" fontId="2" fillId="6" borderId="12" xfId="0" applyNumberFormat="1" applyFont="1" applyFill="1" applyBorder="1" applyAlignment="1">
      <alignment horizontal="center" vertical="top"/>
    </xf>
    <xf numFmtId="165" fontId="2" fillId="6" borderId="11" xfId="0" applyNumberFormat="1" applyFont="1" applyFill="1" applyBorder="1" applyAlignment="1">
      <alignment horizontal="center" vertical="top"/>
    </xf>
    <xf numFmtId="165" fontId="4" fillId="8" borderId="93" xfId="0" applyNumberFormat="1" applyFont="1" applyFill="1" applyBorder="1" applyAlignment="1">
      <alignment horizontal="center" vertical="top"/>
    </xf>
    <xf numFmtId="165" fontId="4" fillId="8" borderId="3" xfId="0" applyNumberFormat="1" applyFont="1" applyFill="1" applyBorder="1" applyAlignment="1">
      <alignment horizontal="center" vertical="top"/>
    </xf>
    <xf numFmtId="165" fontId="4" fillId="8" borderId="86" xfId="0" applyNumberFormat="1" applyFont="1" applyFill="1" applyBorder="1" applyAlignment="1">
      <alignment horizontal="center" vertical="top"/>
    </xf>
    <xf numFmtId="165" fontId="4" fillId="3" borderId="54" xfId="0" applyNumberFormat="1" applyFont="1" applyFill="1" applyBorder="1" applyAlignment="1">
      <alignment horizontal="center" vertical="top"/>
    </xf>
    <xf numFmtId="165" fontId="2" fillId="6" borderId="7" xfId="0" applyNumberFormat="1" applyFont="1" applyFill="1" applyBorder="1" applyAlignment="1">
      <alignment horizontal="center" vertical="top"/>
    </xf>
    <xf numFmtId="165" fontId="4" fillId="3" borderId="47" xfId="0" applyNumberFormat="1" applyFont="1" applyFill="1" applyBorder="1" applyAlignment="1">
      <alignment horizontal="center" vertical="top"/>
    </xf>
    <xf numFmtId="165" fontId="2" fillId="6" borderId="20" xfId="0" applyNumberFormat="1" applyFont="1" applyFill="1" applyBorder="1" applyAlignment="1">
      <alignment horizontal="center" vertical="top"/>
    </xf>
    <xf numFmtId="165" fontId="4" fillId="8" borderId="85" xfId="0" applyNumberFormat="1" applyFont="1" applyFill="1" applyBorder="1" applyAlignment="1">
      <alignment horizontal="center" vertical="top"/>
    </xf>
    <xf numFmtId="165" fontId="4" fillId="3" borderId="4" xfId="0" applyNumberFormat="1" applyFont="1" applyFill="1" applyBorder="1" applyAlignment="1">
      <alignment horizontal="center" vertical="top"/>
    </xf>
    <xf numFmtId="3" fontId="2" fillId="6" borderId="7" xfId="0" applyNumberFormat="1" applyFont="1" applyFill="1" applyBorder="1" applyAlignment="1">
      <alignment horizontal="right" vertical="center"/>
    </xf>
    <xf numFmtId="3" fontId="2" fillId="6" borderId="20" xfId="0" applyNumberFormat="1" applyFont="1" applyFill="1" applyBorder="1" applyAlignment="1">
      <alignment horizontal="right" vertical="center"/>
    </xf>
    <xf numFmtId="3" fontId="2" fillId="6" borderId="85" xfId="0" applyNumberFormat="1" applyFont="1" applyFill="1" applyBorder="1" applyAlignment="1">
      <alignment horizontal="center" vertical="top"/>
    </xf>
    <xf numFmtId="165" fontId="4" fillId="3" borderId="100" xfId="0" applyNumberFormat="1" applyFont="1" applyFill="1" applyBorder="1" applyAlignment="1">
      <alignment horizontal="center" vertical="top"/>
    </xf>
    <xf numFmtId="3" fontId="2" fillId="2" borderId="81"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65" fontId="4" fillId="8" borderId="77" xfId="0" applyNumberFormat="1" applyFont="1" applyFill="1" applyBorder="1" applyAlignment="1">
      <alignment horizontal="center" vertical="top"/>
    </xf>
    <xf numFmtId="165" fontId="4" fillId="3" borderId="60" xfId="0" applyNumberFormat="1" applyFont="1" applyFill="1" applyBorder="1" applyAlignment="1">
      <alignment horizontal="center" vertical="top"/>
    </xf>
    <xf numFmtId="165" fontId="4" fillId="9" borderId="93" xfId="0" applyNumberFormat="1" applyFont="1" applyFill="1" applyBorder="1" applyAlignment="1">
      <alignment horizontal="center" vertical="top"/>
    </xf>
    <xf numFmtId="165" fontId="4" fillId="10" borderId="47" xfId="0" applyNumberFormat="1" applyFont="1" applyFill="1" applyBorder="1" applyAlignment="1">
      <alignment horizontal="center" vertical="top"/>
    </xf>
    <xf numFmtId="165" fontId="4" fillId="4" borderId="47" xfId="0" applyNumberFormat="1" applyFont="1" applyFill="1" applyBorder="1" applyAlignment="1">
      <alignment horizontal="center" vertical="top"/>
    </xf>
    <xf numFmtId="165" fontId="4" fillId="9" borderId="85" xfId="0" applyNumberFormat="1" applyFont="1" applyFill="1" applyBorder="1" applyAlignment="1">
      <alignment horizontal="center" vertical="top"/>
    </xf>
    <xf numFmtId="165" fontId="4" fillId="10" borderId="4" xfId="0" applyNumberFormat="1" applyFont="1" applyFill="1" applyBorder="1" applyAlignment="1">
      <alignment horizontal="center" vertical="top"/>
    </xf>
    <xf numFmtId="165" fontId="4" fillId="4" borderId="4" xfId="0" applyNumberFormat="1" applyFont="1" applyFill="1" applyBorder="1" applyAlignment="1">
      <alignment horizontal="center" vertical="top"/>
    </xf>
    <xf numFmtId="165" fontId="4" fillId="9" borderId="86" xfId="0" applyNumberFormat="1" applyFont="1" applyFill="1" applyBorder="1" applyAlignment="1">
      <alignment horizontal="center" vertical="top"/>
    </xf>
    <xf numFmtId="0" fontId="2" fillId="6" borderId="48" xfId="1" applyFont="1" applyFill="1" applyBorder="1" applyAlignment="1">
      <alignment vertical="top" wrapText="1"/>
    </xf>
    <xf numFmtId="0" fontId="6" fillId="6" borderId="55" xfId="0" applyFont="1" applyFill="1" applyBorder="1" applyAlignment="1">
      <alignment vertical="top" wrapText="1"/>
    </xf>
    <xf numFmtId="3" fontId="4" fillId="6" borderId="5" xfId="0" applyNumberFormat="1" applyFont="1" applyFill="1" applyBorder="1" applyAlignment="1">
      <alignment horizontal="center" vertical="top" wrapText="1"/>
    </xf>
    <xf numFmtId="3" fontId="4" fillId="6" borderId="8" xfId="0" applyNumberFormat="1" applyFont="1" applyFill="1" applyBorder="1" applyAlignment="1">
      <alignment horizontal="center" vertical="top" wrapText="1"/>
    </xf>
    <xf numFmtId="3" fontId="2" fillId="6" borderId="5" xfId="0" applyNumberFormat="1" applyFont="1" applyFill="1" applyBorder="1" applyAlignment="1">
      <alignment horizontal="center" vertical="top" wrapText="1"/>
    </xf>
    <xf numFmtId="3" fontId="2" fillId="6" borderId="8" xfId="0" applyNumberFormat="1" applyFont="1" applyFill="1" applyBorder="1" applyAlignment="1">
      <alignment horizontal="center" vertical="top" wrapText="1"/>
    </xf>
    <xf numFmtId="3" fontId="2" fillId="6" borderId="18" xfId="0" applyNumberFormat="1" applyFont="1" applyFill="1" applyBorder="1" applyAlignment="1">
      <alignment horizontal="center" vertical="top" wrapText="1"/>
    </xf>
    <xf numFmtId="0" fontId="2" fillId="0" borderId="44" xfId="0" applyFont="1" applyBorder="1" applyAlignment="1">
      <alignment horizontal="center" vertical="top"/>
    </xf>
    <xf numFmtId="0" fontId="2" fillId="6" borderId="5" xfId="0" applyFont="1" applyFill="1" applyBorder="1" applyAlignment="1">
      <alignment vertical="top" wrapText="1"/>
    </xf>
    <xf numFmtId="0" fontId="2" fillId="6" borderId="18" xfId="0" applyFont="1" applyFill="1" applyBorder="1" applyAlignment="1">
      <alignment vertical="top" wrapText="1"/>
    </xf>
    <xf numFmtId="0" fontId="2" fillId="6" borderId="8" xfId="0" applyFont="1" applyFill="1" applyBorder="1" applyAlignment="1">
      <alignment vertical="top" wrapText="1"/>
    </xf>
    <xf numFmtId="0" fontId="6" fillId="6" borderId="18" xfId="0" applyFont="1" applyFill="1" applyBorder="1" applyAlignment="1">
      <alignment vertical="top" wrapText="1"/>
    </xf>
    <xf numFmtId="0" fontId="2" fillId="6" borderId="8" xfId="1" applyFont="1" applyFill="1" applyBorder="1" applyAlignment="1">
      <alignment vertical="top" wrapText="1"/>
    </xf>
    <xf numFmtId="0" fontId="6" fillId="6" borderId="8" xfId="0" applyFont="1" applyFill="1" applyBorder="1" applyAlignment="1">
      <alignment vertical="top" wrapText="1"/>
    </xf>
    <xf numFmtId="0" fontId="2" fillId="6" borderId="101" xfId="1" applyFont="1" applyFill="1" applyBorder="1" applyAlignment="1">
      <alignment vertical="top" wrapText="1"/>
    </xf>
    <xf numFmtId="0" fontId="2" fillId="6" borderId="90" xfId="1" applyFont="1" applyFill="1" applyBorder="1" applyAlignment="1">
      <alignment vertical="top" wrapText="1"/>
    </xf>
    <xf numFmtId="0" fontId="2" fillId="8" borderId="57" xfId="1" applyFont="1" applyFill="1" applyBorder="1" applyAlignment="1">
      <alignment vertical="top" wrapText="1"/>
    </xf>
    <xf numFmtId="3" fontId="2" fillId="8" borderId="17" xfId="0" applyNumberFormat="1" applyFont="1" applyFill="1" applyBorder="1" applyAlignment="1">
      <alignment horizontal="center" vertical="top"/>
    </xf>
    <xf numFmtId="0" fontId="2" fillId="6" borderId="101" xfId="0" applyFont="1" applyFill="1" applyBorder="1" applyAlignment="1">
      <alignment horizontal="left" vertical="top" wrapText="1"/>
    </xf>
    <xf numFmtId="0" fontId="2" fillId="6" borderId="73" xfId="0" applyFont="1" applyFill="1" applyBorder="1" applyAlignment="1">
      <alignment horizontal="left" vertical="top" wrapText="1"/>
    </xf>
    <xf numFmtId="0" fontId="2" fillId="6" borderId="8" xfId="0" applyFont="1" applyFill="1" applyBorder="1" applyAlignment="1">
      <alignment horizontal="left" vertical="top" wrapText="1"/>
    </xf>
    <xf numFmtId="0" fontId="14" fillId="6" borderId="5" xfId="0" applyFont="1" applyFill="1" applyBorder="1" applyAlignment="1">
      <alignment horizontal="left" vertical="top" wrapText="1"/>
    </xf>
    <xf numFmtId="0" fontId="2" fillId="6" borderId="74" xfId="0" applyFont="1" applyFill="1" applyBorder="1" applyAlignment="1">
      <alignment horizontal="left" vertical="top" wrapText="1"/>
    </xf>
    <xf numFmtId="0" fontId="2" fillId="6" borderId="90" xfId="0" applyFont="1" applyFill="1" applyBorder="1" applyAlignment="1">
      <alignment horizontal="left" vertical="top" wrapText="1"/>
    </xf>
    <xf numFmtId="0" fontId="14" fillId="6" borderId="73" xfId="0" applyFont="1" applyFill="1" applyBorder="1" applyAlignment="1">
      <alignment vertical="top" wrapText="1"/>
    </xf>
    <xf numFmtId="0" fontId="2" fillId="6" borderId="73" xfId="0" applyFont="1" applyFill="1" applyBorder="1" applyAlignment="1">
      <alignment vertical="top" wrapText="1"/>
    </xf>
    <xf numFmtId="0" fontId="2" fillId="6" borderId="90" xfId="0" applyFont="1" applyFill="1" applyBorder="1" applyAlignment="1">
      <alignment vertical="top" wrapText="1"/>
    </xf>
    <xf numFmtId="0" fontId="2" fillId="6" borderId="5" xfId="1" applyFont="1" applyFill="1" applyBorder="1" applyAlignment="1">
      <alignment vertical="top" wrapText="1"/>
    </xf>
    <xf numFmtId="0" fontId="13" fillId="8" borderId="35" xfId="0" applyFont="1" applyFill="1" applyBorder="1" applyAlignment="1">
      <alignment horizontal="left" vertical="top" wrapText="1"/>
    </xf>
    <xf numFmtId="49" fontId="2" fillId="8" borderId="35" xfId="0" applyNumberFormat="1" applyFont="1" applyFill="1" applyBorder="1" applyAlignment="1">
      <alignment vertical="top"/>
    </xf>
    <xf numFmtId="0" fontId="2" fillId="0" borderId="46" xfId="0" applyFont="1" applyBorder="1" applyAlignment="1">
      <alignment horizontal="center" vertical="top"/>
    </xf>
    <xf numFmtId="3" fontId="2" fillId="6" borderId="79" xfId="1" applyNumberFormat="1" applyFont="1" applyFill="1" applyBorder="1" applyAlignment="1">
      <alignment horizontal="center" vertical="top"/>
    </xf>
    <xf numFmtId="3" fontId="2" fillId="6" borderId="80" xfId="1" applyNumberFormat="1" applyFont="1" applyFill="1" applyBorder="1" applyAlignment="1">
      <alignment horizontal="center" vertical="top"/>
    </xf>
    <xf numFmtId="3" fontId="2" fillId="6" borderId="78" xfId="1" applyNumberFormat="1" applyFont="1" applyFill="1" applyBorder="1" applyAlignment="1">
      <alignment horizontal="center" vertical="top"/>
    </xf>
    <xf numFmtId="3" fontId="2" fillId="6" borderId="46" xfId="1" applyNumberFormat="1" applyFont="1" applyFill="1" applyBorder="1" applyAlignment="1">
      <alignment horizontal="center" vertical="top"/>
    </xf>
    <xf numFmtId="0" fontId="2" fillId="6" borderId="5" xfId="0" applyFont="1" applyFill="1" applyBorder="1" applyAlignment="1">
      <alignment horizontal="left" vertical="top" wrapText="1"/>
    </xf>
    <xf numFmtId="0" fontId="2" fillId="6" borderId="18" xfId="0" applyFont="1" applyFill="1" applyBorder="1" applyAlignment="1">
      <alignment horizontal="left" vertical="top" wrapText="1"/>
    </xf>
    <xf numFmtId="0" fontId="2" fillId="6" borderId="74" xfId="0" applyFont="1" applyFill="1" applyBorder="1" applyAlignment="1">
      <alignment vertical="top" wrapText="1"/>
    </xf>
    <xf numFmtId="0" fontId="2" fillId="6" borderId="102" xfId="0" applyFont="1" applyFill="1" applyBorder="1" applyAlignment="1">
      <alignment vertical="top" wrapText="1"/>
    </xf>
    <xf numFmtId="0" fontId="2" fillId="6" borderId="101" xfId="1" applyFont="1" applyFill="1" applyBorder="1" applyAlignment="1">
      <alignment horizontal="left" vertical="top" wrapText="1"/>
    </xf>
    <xf numFmtId="0" fontId="2" fillId="6" borderId="8" xfId="1" applyFont="1" applyFill="1" applyBorder="1" applyAlignment="1">
      <alignment horizontal="left" vertical="top" wrapText="1"/>
    </xf>
    <xf numFmtId="0" fontId="7" fillId="0" borderId="6" xfId="0" applyFont="1" applyFill="1" applyBorder="1" applyAlignment="1">
      <alignment vertical="top" wrapText="1"/>
    </xf>
    <xf numFmtId="0" fontId="2" fillId="6" borderId="101" xfId="0" applyFont="1" applyFill="1" applyBorder="1" applyAlignment="1">
      <alignment vertical="top" wrapText="1"/>
    </xf>
    <xf numFmtId="0" fontId="2" fillId="6" borderId="88" xfId="0" applyFont="1" applyFill="1" applyBorder="1" applyAlignment="1">
      <alignment horizontal="left" vertical="top" wrapText="1"/>
    </xf>
    <xf numFmtId="164" fontId="2" fillId="6" borderId="78" xfId="0" applyNumberFormat="1" applyFont="1" applyFill="1" applyBorder="1" applyAlignment="1">
      <alignment horizontal="center" vertical="center" wrapText="1"/>
    </xf>
    <xf numFmtId="165" fontId="2" fillId="6" borderId="80" xfId="0" applyNumberFormat="1" applyFont="1" applyFill="1" applyBorder="1" applyAlignment="1">
      <alignment horizontal="center" vertical="top" wrapText="1"/>
    </xf>
    <xf numFmtId="165" fontId="2" fillId="6" borderId="78" xfId="0" applyNumberFormat="1" applyFont="1" applyFill="1" applyBorder="1" applyAlignment="1">
      <alignment horizontal="center" vertical="top" wrapText="1"/>
    </xf>
    <xf numFmtId="0" fontId="2" fillId="6" borderId="78" xfId="0" applyFont="1" applyFill="1" applyBorder="1" applyAlignment="1">
      <alignment horizontal="center" vertical="top"/>
    </xf>
    <xf numFmtId="0" fontId="2" fillId="6" borderId="80" xfId="0" applyFont="1" applyFill="1" applyBorder="1" applyAlignment="1">
      <alignment horizontal="center" vertical="top"/>
    </xf>
    <xf numFmtId="0" fontId="2" fillId="6" borderId="79" xfId="0" applyFont="1" applyFill="1" applyBorder="1" applyAlignment="1">
      <alignment horizontal="center" vertical="top"/>
    </xf>
    <xf numFmtId="0" fontId="2" fillId="6" borderId="76" xfId="0" applyFont="1" applyFill="1" applyBorder="1" applyAlignment="1">
      <alignment horizontal="center" vertical="top"/>
    </xf>
    <xf numFmtId="0" fontId="2" fillId="6" borderId="75" xfId="0" applyFont="1" applyFill="1" applyBorder="1" applyAlignment="1">
      <alignment horizontal="center" vertical="top"/>
    </xf>
    <xf numFmtId="0" fontId="2" fillId="6" borderId="43" xfId="0" applyFont="1" applyFill="1" applyBorder="1" applyAlignment="1">
      <alignment horizontal="center" vertical="top"/>
    </xf>
    <xf numFmtId="0" fontId="2" fillId="0" borderId="51" xfId="0" applyFont="1" applyBorder="1" applyAlignment="1">
      <alignment horizontal="center" vertical="center"/>
    </xf>
    <xf numFmtId="0" fontId="2" fillId="0" borderId="8" xfId="0" applyFont="1" applyBorder="1" applyAlignment="1">
      <alignment vertical="center"/>
    </xf>
    <xf numFmtId="0" fontId="2" fillId="6" borderId="8" xfId="0" applyFont="1" applyFill="1" applyBorder="1" applyAlignment="1">
      <alignment vertical="top" wrapText="1"/>
    </xf>
    <xf numFmtId="0" fontId="2" fillId="0" borderId="37" xfId="0" applyFont="1" applyBorder="1" applyAlignment="1">
      <alignment vertical="center" wrapText="1"/>
    </xf>
    <xf numFmtId="1" fontId="2" fillId="6" borderId="43" xfId="0" applyNumberFormat="1" applyFont="1" applyFill="1" applyBorder="1" applyAlignment="1">
      <alignment horizontal="center" vertical="top" wrapText="1"/>
    </xf>
    <xf numFmtId="0" fontId="2" fillId="0" borderId="75" xfId="0" applyFont="1" applyBorder="1" applyAlignment="1">
      <alignment horizontal="center" vertical="top"/>
    </xf>
    <xf numFmtId="49" fontId="2" fillId="6" borderId="76" xfId="0" applyNumberFormat="1" applyFont="1" applyFill="1" applyBorder="1" applyAlignment="1">
      <alignment horizontal="center" vertical="top"/>
    </xf>
    <xf numFmtId="165" fontId="2" fillId="6" borderId="51" xfId="0" applyNumberFormat="1" applyFont="1" applyFill="1" applyBorder="1" applyAlignment="1">
      <alignment horizontal="center" vertical="top"/>
    </xf>
    <xf numFmtId="0" fontId="2" fillId="6" borderId="52" xfId="0" applyFont="1" applyFill="1" applyBorder="1" applyAlignment="1">
      <alignment horizontal="left" vertical="top" wrapText="1"/>
    </xf>
    <xf numFmtId="0" fontId="2" fillId="6" borderId="6" xfId="0" applyFont="1" applyFill="1" applyBorder="1" applyAlignment="1">
      <alignment vertical="top" wrapText="1"/>
    </xf>
    <xf numFmtId="0" fontId="2" fillId="6" borderId="37" xfId="0" applyFont="1" applyFill="1" applyBorder="1" applyAlignment="1">
      <alignment horizontal="left" vertical="top" wrapText="1"/>
    </xf>
    <xf numFmtId="0" fontId="2" fillId="6" borderId="17" xfId="0" applyFont="1" applyFill="1" applyBorder="1" applyAlignment="1">
      <alignment horizontal="left" vertical="top" wrapText="1"/>
    </xf>
    <xf numFmtId="0" fontId="2" fillId="6" borderId="46" xfId="0" applyNumberFormat="1" applyFont="1" applyFill="1" applyBorder="1" applyAlignment="1">
      <alignment horizontal="center" vertical="top" wrapText="1"/>
    </xf>
    <xf numFmtId="165" fontId="2" fillId="0" borderId="32" xfId="0" applyNumberFormat="1" applyFont="1" applyFill="1" applyBorder="1" applyAlignment="1">
      <alignment horizontal="left" vertical="top" wrapText="1"/>
    </xf>
    <xf numFmtId="49" fontId="4" fillId="10" borderId="22" xfId="0" applyNumberFormat="1" applyFont="1" applyFill="1" applyBorder="1" applyAlignment="1">
      <alignment horizontal="center" vertical="top" wrapText="1"/>
    </xf>
    <xf numFmtId="3" fontId="4" fillId="6" borderId="36" xfId="0" applyNumberFormat="1" applyFont="1" applyFill="1" applyBorder="1" applyAlignment="1">
      <alignment horizontal="center" vertical="top" wrapText="1"/>
    </xf>
    <xf numFmtId="3" fontId="4" fillId="6" borderId="9" xfId="0" applyNumberFormat="1" applyFont="1" applyFill="1" applyBorder="1" applyAlignment="1">
      <alignment horizontal="center" vertical="top" wrapText="1"/>
    </xf>
    <xf numFmtId="3" fontId="2" fillId="6" borderId="36" xfId="0" applyNumberFormat="1" applyFont="1" applyFill="1" applyBorder="1" applyAlignment="1">
      <alignment horizontal="center" vertical="top" wrapText="1"/>
    </xf>
    <xf numFmtId="3" fontId="2" fillId="6" borderId="9" xfId="0" applyNumberFormat="1" applyFont="1" applyFill="1" applyBorder="1" applyAlignment="1">
      <alignment horizontal="center" vertical="top" wrapText="1"/>
    </xf>
    <xf numFmtId="3" fontId="2" fillId="6" borderId="69" xfId="0" applyNumberFormat="1" applyFont="1" applyFill="1" applyBorder="1" applyAlignment="1">
      <alignment horizontal="center" vertical="top" wrapText="1"/>
    </xf>
    <xf numFmtId="3" fontId="2" fillId="6" borderId="22" xfId="0" applyNumberFormat="1" applyFont="1" applyFill="1" applyBorder="1" applyAlignment="1">
      <alignment horizontal="center" vertical="top" wrapText="1"/>
    </xf>
    <xf numFmtId="3" fontId="2" fillId="6" borderId="64" xfId="0" applyNumberFormat="1" applyFont="1" applyFill="1" applyBorder="1" applyAlignment="1">
      <alignment horizontal="center" vertical="top" wrapText="1"/>
    </xf>
    <xf numFmtId="3" fontId="2" fillId="6" borderId="68" xfId="0" applyNumberFormat="1" applyFont="1" applyFill="1" applyBorder="1" applyAlignment="1">
      <alignment horizontal="center" vertical="top" wrapText="1"/>
    </xf>
    <xf numFmtId="3" fontId="2" fillId="6" borderId="16" xfId="0" applyNumberFormat="1" applyFont="1" applyFill="1" applyBorder="1" applyAlignment="1">
      <alignment horizontal="center" vertical="top" wrapText="1"/>
    </xf>
    <xf numFmtId="3" fontId="2" fillId="6" borderId="13" xfId="0" applyNumberFormat="1" applyFont="1" applyFill="1" applyBorder="1" applyAlignment="1">
      <alignment horizontal="center" vertical="top" wrapText="1"/>
    </xf>
    <xf numFmtId="3" fontId="2" fillId="6" borderId="70" xfId="0" applyNumberFormat="1" applyFont="1" applyFill="1" applyBorder="1" applyAlignment="1">
      <alignment horizontal="center" vertical="top" wrapText="1"/>
    </xf>
    <xf numFmtId="3" fontId="2" fillId="6" borderId="25" xfId="0" applyNumberFormat="1" applyFont="1" applyFill="1" applyBorder="1" applyAlignment="1">
      <alignment horizontal="center" vertical="top" wrapText="1"/>
    </xf>
    <xf numFmtId="0" fontId="2" fillId="0" borderId="13" xfId="0" applyFont="1" applyBorder="1" applyAlignment="1">
      <alignment horizontal="center" vertical="top"/>
    </xf>
    <xf numFmtId="3" fontId="2" fillId="6" borderId="103" xfId="0" applyNumberFormat="1" applyFont="1" applyFill="1" applyBorder="1" applyAlignment="1">
      <alignment horizontal="center" vertical="top" wrapText="1"/>
    </xf>
    <xf numFmtId="3" fontId="2" fillId="6" borderId="71" xfId="0" applyNumberFormat="1" applyFont="1" applyFill="1" applyBorder="1" applyAlignment="1">
      <alignment horizontal="center" vertical="top" wrapText="1"/>
    </xf>
    <xf numFmtId="3" fontId="2" fillId="6" borderId="36" xfId="0" applyNumberFormat="1" applyFont="1" applyFill="1" applyBorder="1" applyAlignment="1">
      <alignment horizontal="center" vertical="top"/>
    </xf>
    <xf numFmtId="3" fontId="2" fillId="6" borderId="22" xfId="0" applyNumberFormat="1" applyFont="1" applyFill="1" applyBorder="1" applyAlignment="1">
      <alignment horizontal="center" vertical="top"/>
    </xf>
    <xf numFmtId="3" fontId="2" fillId="6" borderId="9" xfId="0" applyNumberFormat="1" applyFont="1" applyFill="1" applyBorder="1" applyAlignment="1">
      <alignment horizontal="center" vertical="top"/>
    </xf>
    <xf numFmtId="3" fontId="2" fillId="6" borderId="36" xfId="1" applyNumberFormat="1" applyFont="1" applyFill="1" applyBorder="1" applyAlignment="1">
      <alignment horizontal="center" vertical="top"/>
    </xf>
    <xf numFmtId="3" fontId="2" fillId="6" borderId="9" xfId="1" applyNumberFormat="1" applyFont="1" applyFill="1" applyBorder="1" applyAlignment="1">
      <alignment horizontal="center" vertical="top"/>
    </xf>
    <xf numFmtId="0" fontId="2" fillId="6" borderId="22" xfId="0" applyFont="1" applyFill="1" applyBorder="1" applyAlignment="1">
      <alignment horizontal="center" vertical="top"/>
    </xf>
    <xf numFmtId="3" fontId="2" fillId="8" borderId="22" xfId="0" applyNumberFormat="1" applyFont="1" applyFill="1" applyBorder="1" applyAlignment="1">
      <alignment horizontal="center" vertical="top"/>
    </xf>
    <xf numFmtId="165" fontId="2" fillId="6" borderId="64" xfId="0" applyNumberFormat="1" applyFont="1" applyFill="1" applyBorder="1" applyAlignment="1">
      <alignment horizontal="center" vertical="top"/>
    </xf>
    <xf numFmtId="3" fontId="2" fillId="6" borderId="16" xfId="0" applyNumberFormat="1" applyFont="1" applyFill="1" applyBorder="1" applyAlignment="1">
      <alignment horizontal="center" vertical="top"/>
    </xf>
    <xf numFmtId="3" fontId="2" fillId="6" borderId="25" xfId="0" applyNumberFormat="1" applyFont="1" applyFill="1" applyBorder="1" applyAlignment="1">
      <alignment horizontal="center" vertical="top"/>
    </xf>
    <xf numFmtId="3" fontId="2" fillId="6" borderId="13" xfId="0" applyNumberFormat="1" applyFont="1" applyFill="1" applyBorder="1" applyAlignment="1">
      <alignment horizontal="center" vertical="top"/>
    </xf>
    <xf numFmtId="3" fontId="2" fillId="6" borderId="16" xfId="1" applyNumberFormat="1" applyFont="1" applyFill="1" applyBorder="1" applyAlignment="1">
      <alignment horizontal="center" vertical="top"/>
    </xf>
    <xf numFmtId="3" fontId="2" fillId="6" borderId="13" xfId="1" applyNumberFormat="1" applyFont="1" applyFill="1" applyBorder="1" applyAlignment="1">
      <alignment horizontal="center" vertical="top"/>
    </xf>
    <xf numFmtId="0" fontId="2" fillId="6" borderId="25" xfId="0" applyFont="1" applyFill="1" applyBorder="1" applyAlignment="1">
      <alignment horizontal="center" vertical="top"/>
    </xf>
    <xf numFmtId="3" fontId="2" fillId="8" borderId="25" xfId="0" applyNumberFormat="1" applyFont="1" applyFill="1" applyBorder="1" applyAlignment="1">
      <alignment horizontal="center" vertical="top"/>
    </xf>
    <xf numFmtId="165" fontId="2" fillId="6" borderId="103" xfId="0" applyNumberFormat="1" applyFont="1" applyFill="1" applyBorder="1" applyAlignment="1">
      <alignment horizontal="center" vertical="top"/>
    </xf>
    <xf numFmtId="0" fontId="2" fillId="6" borderId="68" xfId="0" applyNumberFormat="1" applyFont="1" applyFill="1" applyBorder="1" applyAlignment="1">
      <alignment horizontal="center" vertical="top" wrapText="1"/>
    </xf>
    <xf numFmtId="49" fontId="2" fillId="6" borderId="68" xfId="0" applyNumberFormat="1" applyFont="1" applyFill="1" applyBorder="1" applyAlignment="1">
      <alignment horizontal="center" vertical="top" wrapText="1"/>
    </xf>
    <xf numFmtId="49" fontId="2" fillId="6" borderId="62" xfId="0" applyNumberFormat="1" applyFont="1" applyFill="1" applyBorder="1" applyAlignment="1">
      <alignment horizontal="center" vertical="top" wrapText="1"/>
    </xf>
    <xf numFmtId="1" fontId="2" fillId="6" borderId="69" xfId="0" applyNumberFormat="1" applyFont="1" applyFill="1" applyBorder="1" applyAlignment="1">
      <alignment horizontal="center" vertical="top" wrapText="1"/>
    </xf>
    <xf numFmtId="1" fontId="2" fillId="6" borderId="9" xfId="0" applyNumberFormat="1" applyFont="1" applyFill="1" applyBorder="1" applyAlignment="1">
      <alignment horizontal="center" vertical="top" wrapText="1"/>
    </xf>
    <xf numFmtId="0" fontId="2" fillId="6" borderId="71" xfId="0" applyNumberFormat="1" applyFont="1" applyFill="1" applyBorder="1" applyAlignment="1">
      <alignment horizontal="center" vertical="top" wrapText="1"/>
    </xf>
    <xf numFmtId="49" fontId="2" fillId="6" borderId="71" xfId="0" applyNumberFormat="1" applyFont="1" applyFill="1" applyBorder="1" applyAlignment="1">
      <alignment horizontal="center" vertical="top" wrapText="1"/>
    </xf>
    <xf numFmtId="49" fontId="2" fillId="6" borderId="70" xfId="0" applyNumberFormat="1" applyFont="1" applyFill="1" applyBorder="1" applyAlignment="1">
      <alignment horizontal="center" vertical="top" wrapText="1"/>
    </xf>
    <xf numFmtId="49" fontId="2" fillId="6" borderId="63" xfId="0" applyNumberFormat="1" applyFont="1" applyFill="1" applyBorder="1" applyAlignment="1">
      <alignment horizontal="center" vertical="top" wrapText="1"/>
    </xf>
    <xf numFmtId="1" fontId="2" fillId="6" borderId="70" xfId="0" applyNumberFormat="1" applyFont="1" applyFill="1" applyBorder="1" applyAlignment="1">
      <alignment horizontal="center" vertical="top" wrapText="1"/>
    </xf>
    <xf numFmtId="1" fontId="2" fillId="6" borderId="13" xfId="0" applyNumberFormat="1" applyFont="1" applyFill="1" applyBorder="1" applyAlignment="1">
      <alignment horizontal="center" vertical="top" wrapText="1"/>
    </xf>
    <xf numFmtId="165" fontId="2" fillId="6" borderId="62" xfId="0" applyNumberFormat="1" applyFont="1" applyFill="1" applyBorder="1" applyAlignment="1">
      <alignment horizontal="center" vertical="top" wrapText="1"/>
    </xf>
    <xf numFmtId="3" fontId="2" fillId="8" borderId="12" xfId="0" applyNumberFormat="1" applyFont="1" applyFill="1" applyBorder="1" applyAlignment="1">
      <alignment horizontal="center" vertical="top" wrapText="1"/>
    </xf>
    <xf numFmtId="3" fontId="2" fillId="8" borderId="2" xfId="0" applyNumberFormat="1" applyFont="1" applyFill="1" applyBorder="1" applyAlignment="1">
      <alignment horizontal="center" vertical="top" wrapText="1"/>
    </xf>
    <xf numFmtId="3" fontId="2" fillId="6" borderId="64" xfId="1" applyNumberFormat="1" applyFont="1" applyFill="1" applyBorder="1" applyAlignment="1">
      <alignment horizontal="center" vertical="top" wrapText="1"/>
    </xf>
    <xf numFmtId="1" fontId="2" fillId="6" borderId="9" xfId="1" applyNumberFormat="1" applyFont="1" applyFill="1" applyBorder="1" applyAlignment="1">
      <alignment horizontal="center" vertical="top" wrapText="1"/>
    </xf>
    <xf numFmtId="3" fontId="2" fillId="6" borderId="62" xfId="1" applyNumberFormat="1" applyFont="1" applyFill="1" applyBorder="1" applyAlignment="1">
      <alignment horizontal="center" vertical="top" wrapText="1"/>
    </xf>
    <xf numFmtId="3" fontId="2" fillId="6" borderId="69" xfId="1" applyNumberFormat="1" applyFont="1" applyFill="1" applyBorder="1" applyAlignment="1">
      <alignment horizontal="center" vertical="top" wrapText="1"/>
    </xf>
    <xf numFmtId="3" fontId="2" fillId="6" borderId="62" xfId="0" applyNumberFormat="1" applyFont="1" applyFill="1" applyBorder="1" applyAlignment="1">
      <alignment horizontal="center" vertical="top" wrapText="1"/>
    </xf>
    <xf numFmtId="3" fontId="2" fillId="6" borderId="9" xfId="1" applyNumberFormat="1" applyFont="1" applyFill="1" applyBorder="1" applyAlignment="1">
      <alignment horizontal="center" vertical="top" wrapText="1"/>
    </xf>
    <xf numFmtId="3" fontId="2" fillId="6" borderId="66" xfId="1" applyNumberFormat="1" applyFont="1" applyFill="1" applyBorder="1" applyAlignment="1">
      <alignment horizontal="center" vertical="top"/>
    </xf>
    <xf numFmtId="3" fontId="2" fillId="6" borderId="64" xfId="1" applyNumberFormat="1" applyFont="1" applyFill="1" applyBorder="1" applyAlignment="1">
      <alignment horizontal="center" vertical="top"/>
    </xf>
    <xf numFmtId="3" fontId="2" fillId="6" borderId="22" xfId="1" applyNumberFormat="1" applyFont="1" applyFill="1" applyBorder="1" applyAlignment="1">
      <alignment horizontal="center" vertical="top"/>
    </xf>
    <xf numFmtId="3" fontId="2" fillId="6" borderId="93" xfId="0" applyNumberFormat="1" applyFont="1" applyFill="1" applyBorder="1" applyAlignment="1">
      <alignment horizontal="center" vertical="top"/>
    </xf>
    <xf numFmtId="165" fontId="2" fillId="0" borderId="81" xfId="0" applyNumberFormat="1" applyFont="1" applyFill="1" applyBorder="1" applyAlignment="1">
      <alignment horizontal="center" vertical="top" wrapText="1"/>
    </xf>
    <xf numFmtId="3" fontId="2" fillId="6" borderId="103" xfId="1" applyNumberFormat="1" applyFont="1" applyFill="1" applyBorder="1" applyAlignment="1">
      <alignment horizontal="center" vertical="top" wrapText="1"/>
    </xf>
    <xf numFmtId="1" fontId="2" fillId="6" borderId="13" xfId="1" applyNumberFormat="1" applyFont="1" applyFill="1" applyBorder="1" applyAlignment="1">
      <alignment horizontal="center" vertical="top" wrapText="1"/>
    </xf>
    <xf numFmtId="3" fontId="2" fillId="6" borderId="63" xfId="1" applyNumberFormat="1" applyFont="1" applyFill="1" applyBorder="1" applyAlignment="1">
      <alignment horizontal="center" vertical="top" wrapText="1"/>
    </xf>
    <xf numFmtId="3" fontId="2" fillId="6" borderId="70" xfId="1" applyNumberFormat="1" applyFont="1" applyFill="1" applyBorder="1" applyAlignment="1">
      <alignment horizontal="center" vertical="top" wrapText="1"/>
    </xf>
    <xf numFmtId="3" fontId="2" fillId="6" borderId="63" xfId="0" applyNumberFormat="1" applyFont="1" applyFill="1" applyBorder="1" applyAlignment="1">
      <alignment horizontal="center" vertical="top" wrapText="1"/>
    </xf>
    <xf numFmtId="0" fontId="2" fillId="0" borderId="25" xfId="0" applyFont="1" applyBorder="1" applyAlignment="1">
      <alignment horizontal="center" vertical="top"/>
    </xf>
    <xf numFmtId="3" fontId="2" fillId="6" borderId="63" xfId="1" applyNumberFormat="1" applyFont="1" applyFill="1" applyBorder="1" applyAlignment="1">
      <alignment horizontal="center" vertical="top"/>
    </xf>
    <xf numFmtId="3" fontId="2" fillId="6" borderId="104" xfId="1" applyNumberFormat="1" applyFont="1" applyFill="1" applyBorder="1" applyAlignment="1">
      <alignment horizontal="center" vertical="top"/>
    </xf>
    <xf numFmtId="3" fontId="2" fillId="6" borderId="103" xfId="1" applyNumberFormat="1" applyFont="1" applyFill="1" applyBorder="1" applyAlignment="1">
      <alignment horizontal="center" vertical="top"/>
    </xf>
    <xf numFmtId="3" fontId="2" fillId="6" borderId="25" xfId="1" applyNumberFormat="1" applyFont="1" applyFill="1" applyBorder="1" applyAlignment="1">
      <alignment horizontal="center" vertical="top"/>
    </xf>
    <xf numFmtId="165" fontId="2" fillId="0" borderId="11" xfId="0" applyNumberFormat="1" applyFont="1" applyFill="1" applyBorder="1" applyAlignment="1">
      <alignment horizontal="center" vertical="top" wrapText="1"/>
    </xf>
    <xf numFmtId="3" fontId="2" fillId="6" borderId="66" xfId="0" applyNumberFormat="1" applyFont="1" applyFill="1" applyBorder="1" applyAlignment="1">
      <alignment horizontal="center" vertical="top" wrapText="1"/>
    </xf>
    <xf numFmtId="1" fontId="2" fillId="6" borderId="68" xfId="0" applyNumberFormat="1" applyFont="1" applyFill="1" applyBorder="1" applyAlignment="1">
      <alignment horizontal="center" vertical="top" wrapText="1"/>
    </xf>
    <xf numFmtId="1" fontId="2" fillId="6" borderId="62" xfId="0" applyNumberFormat="1" applyFont="1" applyFill="1" applyBorder="1" applyAlignment="1">
      <alignment horizontal="center" vertical="top" wrapText="1"/>
    </xf>
    <xf numFmtId="3" fontId="2" fillId="6" borderId="104" xfId="0" applyNumberFormat="1" applyFont="1" applyFill="1" applyBorder="1" applyAlignment="1">
      <alignment horizontal="center" vertical="top" wrapText="1"/>
    </xf>
    <xf numFmtId="1" fontId="2" fillId="6" borderId="71" xfId="0" applyNumberFormat="1" applyFont="1" applyFill="1" applyBorder="1" applyAlignment="1">
      <alignment horizontal="center" vertical="top" wrapText="1"/>
    </xf>
    <xf numFmtId="1" fontId="2" fillId="6" borderId="63" xfId="0" applyNumberFormat="1" applyFont="1" applyFill="1" applyBorder="1" applyAlignment="1">
      <alignment horizontal="center" vertical="top" wrapText="1"/>
    </xf>
    <xf numFmtId="164" fontId="2" fillId="6" borderId="64" xfId="0" applyNumberFormat="1" applyFont="1" applyFill="1" applyBorder="1" applyAlignment="1">
      <alignment horizontal="center" vertical="center" wrapText="1"/>
    </xf>
    <xf numFmtId="165" fontId="2" fillId="6" borderId="66" xfId="0" applyNumberFormat="1" applyFont="1" applyFill="1" applyBorder="1" applyAlignment="1">
      <alignment horizontal="center" vertical="top" wrapText="1"/>
    </xf>
    <xf numFmtId="165" fontId="2" fillId="6" borderId="64" xfId="0" applyNumberFormat="1" applyFont="1" applyFill="1" applyBorder="1" applyAlignment="1">
      <alignment horizontal="center" vertical="top" wrapText="1"/>
    </xf>
    <xf numFmtId="0" fontId="2" fillId="6" borderId="64" xfId="0" applyFont="1" applyFill="1" applyBorder="1" applyAlignment="1">
      <alignment horizontal="center" vertical="top"/>
    </xf>
    <xf numFmtId="0" fontId="2" fillId="6" borderId="66" xfId="0" applyFont="1" applyFill="1" applyBorder="1" applyAlignment="1">
      <alignment horizontal="center" vertical="top"/>
    </xf>
    <xf numFmtId="164" fontId="2" fillId="6" borderId="98" xfId="0" applyNumberFormat="1" applyFont="1" applyFill="1" applyBorder="1" applyAlignment="1">
      <alignment horizontal="center" vertical="center" wrapText="1"/>
    </xf>
    <xf numFmtId="165" fontId="2" fillId="6" borderId="105" xfId="0" applyNumberFormat="1" applyFont="1" applyFill="1" applyBorder="1" applyAlignment="1">
      <alignment horizontal="center" vertical="top" wrapText="1"/>
    </xf>
    <xf numFmtId="165" fontId="2" fillId="6" borderId="98" xfId="0" applyNumberFormat="1" applyFont="1" applyFill="1" applyBorder="1" applyAlignment="1">
      <alignment horizontal="center" vertical="top" wrapText="1"/>
    </xf>
    <xf numFmtId="1" fontId="2" fillId="6" borderId="91" xfId="0" applyNumberFormat="1" applyFont="1" applyFill="1" applyBorder="1" applyAlignment="1">
      <alignment horizontal="center" vertical="top" wrapText="1"/>
    </xf>
    <xf numFmtId="0" fontId="2" fillId="6" borderId="98" xfId="0" applyFont="1" applyFill="1" applyBorder="1" applyAlignment="1">
      <alignment horizontal="center" vertical="top"/>
    </xf>
    <xf numFmtId="0" fontId="2" fillId="6" borderId="105" xfId="0" applyFont="1" applyFill="1" applyBorder="1" applyAlignment="1">
      <alignment horizontal="center" vertical="top"/>
    </xf>
    <xf numFmtId="3" fontId="2" fillId="6" borderId="96" xfId="0" applyNumberFormat="1" applyFont="1" applyFill="1" applyBorder="1" applyAlignment="1">
      <alignment horizontal="center" vertical="top"/>
    </xf>
    <xf numFmtId="0" fontId="2" fillId="0" borderId="81" xfId="0" applyFont="1" applyBorder="1" applyAlignment="1">
      <alignment horizontal="center" vertical="center"/>
    </xf>
    <xf numFmtId="0" fontId="2" fillId="6" borderId="62" xfId="0" applyFont="1" applyFill="1" applyBorder="1" applyAlignment="1">
      <alignment horizontal="center" vertical="top"/>
    </xf>
    <xf numFmtId="0" fontId="2" fillId="6" borderId="36" xfId="0" applyFont="1" applyFill="1" applyBorder="1" applyAlignment="1">
      <alignment horizontal="center" vertical="top"/>
    </xf>
    <xf numFmtId="0" fontId="2" fillId="6" borderId="69" xfId="0" applyFont="1" applyFill="1" applyBorder="1" applyAlignment="1">
      <alignment horizontal="center" vertical="top"/>
    </xf>
    <xf numFmtId="0" fontId="2" fillId="6" borderId="68" xfId="0" applyFont="1" applyFill="1" applyBorder="1" applyAlignment="1">
      <alignment horizontal="center" vertical="top"/>
    </xf>
    <xf numFmtId="0" fontId="2" fillId="0" borderId="11" xfId="0" applyFont="1" applyBorder="1" applyAlignment="1">
      <alignment horizontal="center" vertical="center"/>
    </xf>
    <xf numFmtId="0" fontId="2" fillId="6" borderId="103" xfId="0" applyFont="1" applyFill="1" applyBorder="1" applyAlignment="1">
      <alignment horizontal="center" vertical="top"/>
    </xf>
    <xf numFmtId="0" fontId="2" fillId="6" borderId="63" xfId="0" applyFont="1" applyFill="1" applyBorder="1" applyAlignment="1">
      <alignment horizontal="center" vertical="top"/>
    </xf>
    <xf numFmtId="0" fontId="2" fillId="6" borderId="104" xfId="0" applyFont="1" applyFill="1" applyBorder="1" applyAlignment="1">
      <alignment horizontal="center" vertical="top"/>
    </xf>
    <xf numFmtId="0" fontId="2" fillId="6" borderId="16" xfId="0" applyFont="1" applyFill="1" applyBorder="1" applyAlignment="1">
      <alignment horizontal="center" vertical="top"/>
    </xf>
    <xf numFmtId="0" fontId="2" fillId="6" borderId="70" xfId="0" applyFont="1" applyFill="1" applyBorder="1" applyAlignment="1">
      <alignment horizontal="center" vertical="top"/>
    </xf>
    <xf numFmtId="0" fontId="2" fillId="6" borderId="71" xfId="0" applyFont="1" applyFill="1" applyBorder="1" applyAlignment="1">
      <alignment horizontal="center" vertical="top"/>
    </xf>
    <xf numFmtId="1" fontId="2" fillId="6" borderId="36" xfId="0" applyNumberFormat="1" applyFont="1" applyFill="1" applyBorder="1" applyAlignment="1">
      <alignment horizontal="center" vertical="top" wrapText="1"/>
    </xf>
    <xf numFmtId="0" fontId="2" fillId="0" borderId="69" xfId="0" applyFont="1" applyBorder="1" applyAlignment="1">
      <alignment horizontal="center" vertical="top"/>
    </xf>
    <xf numFmtId="3" fontId="2" fillId="6" borderId="62" xfId="0" applyNumberFormat="1" applyFont="1" applyFill="1" applyBorder="1" applyAlignment="1">
      <alignment horizontal="center" vertical="top"/>
    </xf>
    <xf numFmtId="3" fontId="2" fillId="6" borderId="68" xfId="0" applyNumberFormat="1" applyFont="1" applyFill="1" applyBorder="1" applyAlignment="1">
      <alignment horizontal="center" vertical="top"/>
    </xf>
    <xf numFmtId="3" fontId="2" fillId="6" borderId="66" xfId="0" applyNumberFormat="1" applyFont="1" applyFill="1" applyBorder="1" applyAlignment="1">
      <alignment horizontal="center" vertical="top"/>
    </xf>
    <xf numFmtId="3" fontId="2" fillId="6" borderId="69" xfId="0" applyNumberFormat="1" applyFont="1" applyFill="1" applyBorder="1" applyAlignment="1">
      <alignment horizontal="center" vertical="top"/>
    </xf>
    <xf numFmtId="164" fontId="2" fillId="6" borderId="68" xfId="0" applyNumberFormat="1" applyFont="1" applyFill="1" applyBorder="1" applyAlignment="1">
      <alignment horizontal="center" vertical="top"/>
    </xf>
    <xf numFmtId="1" fontId="2" fillId="6" borderId="16" xfId="0" applyNumberFormat="1" applyFont="1" applyFill="1" applyBorder="1" applyAlignment="1">
      <alignment horizontal="center" vertical="top" wrapText="1"/>
    </xf>
    <xf numFmtId="0" fontId="2" fillId="0" borderId="70" xfId="0" applyFont="1" applyBorder="1" applyAlignment="1">
      <alignment horizontal="center" vertical="top"/>
    </xf>
    <xf numFmtId="3" fontId="2" fillId="6" borderId="63" xfId="0" applyNumberFormat="1" applyFont="1" applyFill="1" applyBorder="1" applyAlignment="1">
      <alignment horizontal="center" vertical="top"/>
    </xf>
    <xf numFmtId="3" fontId="2" fillId="6" borderId="71" xfId="0" applyNumberFormat="1" applyFont="1" applyFill="1" applyBorder="1" applyAlignment="1">
      <alignment horizontal="center" vertical="top"/>
    </xf>
    <xf numFmtId="3" fontId="2" fillId="6" borderId="104" xfId="0" applyNumberFormat="1" applyFont="1" applyFill="1" applyBorder="1" applyAlignment="1">
      <alignment horizontal="center" vertical="top"/>
    </xf>
    <xf numFmtId="49" fontId="2" fillId="6" borderId="71" xfId="0" applyNumberFormat="1" applyFont="1" applyFill="1" applyBorder="1" applyAlignment="1">
      <alignment horizontal="center" vertical="top"/>
    </xf>
    <xf numFmtId="3" fontId="2" fillId="6" borderId="70" xfId="0" applyNumberFormat="1" applyFont="1" applyFill="1" applyBorder="1" applyAlignment="1">
      <alignment horizontal="center" vertical="top"/>
    </xf>
    <xf numFmtId="164" fontId="2" fillId="6" borderId="71" xfId="0" applyNumberFormat="1" applyFont="1" applyFill="1" applyBorder="1" applyAlignment="1">
      <alignment horizontal="center" vertical="top"/>
    </xf>
    <xf numFmtId="3" fontId="2" fillId="0" borderId="81" xfId="0" applyNumberFormat="1" applyFont="1" applyFill="1" applyBorder="1" applyAlignment="1">
      <alignment horizontal="center" vertical="top"/>
    </xf>
    <xf numFmtId="3" fontId="2" fillId="6" borderId="12" xfId="0" applyNumberFormat="1" applyFont="1" applyFill="1" applyBorder="1" applyAlignment="1">
      <alignment horizontal="center" vertical="top"/>
    </xf>
    <xf numFmtId="3" fontId="2" fillId="0" borderId="11" xfId="0" applyNumberFormat="1" applyFont="1" applyFill="1" applyBorder="1" applyAlignment="1">
      <alignment horizontal="center" vertical="top"/>
    </xf>
    <xf numFmtId="3" fontId="2" fillId="6" borderId="2" xfId="0" applyNumberFormat="1" applyFont="1" applyFill="1" applyBorder="1" applyAlignment="1">
      <alignment horizontal="center" vertical="top"/>
    </xf>
    <xf numFmtId="3" fontId="2" fillId="6" borderId="7" xfId="0" applyNumberFormat="1" applyFont="1" applyFill="1" applyBorder="1" applyAlignment="1">
      <alignment horizontal="center" vertical="top"/>
    </xf>
    <xf numFmtId="0" fontId="2" fillId="6" borderId="22" xfId="0" applyNumberFormat="1" applyFont="1" applyFill="1" applyBorder="1" applyAlignment="1">
      <alignment horizontal="center" vertical="top" wrapText="1"/>
    </xf>
    <xf numFmtId="0" fontId="2" fillId="6" borderId="9" xfId="0" applyNumberFormat="1" applyFont="1" applyFill="1" applyBorder="1" applyAlignment="1">
      <alignment horizontal="center" vertical="top" wrapText="1"/>
    </xf>
    <xf numFmtId="3" fontId="2" fillId="6" borderId="20" xfId="0" applyNumberFormat="1" applyFont="1" applyFill="1" applyBorder="1" applyAlignment="1">
      <alignment horizontal="center" vertical="top"/>
    </xf>
    <xf numFmtId="0" fontId="2" fillId="6" borderId="25" xfId="0" applyNumberFormat="1" applyFont="1" applyFill="1" applyBorder="1" applyAlignment="1">
      <alignment horizontal="center" vertical="top" wrapText="1"/>
    </xf>
    <xf numFmtId="0" fontId="2" fillId="6" borderId="13" xfId="0" applyNumberFormat="1" applyFont="1" applyFill="1" applyBorder="1" applyAlignment="1">
      <alignment horizontal="center" vertical="top" wrapText="1"/>
    </xf>
    <xf numFmtId="0" fontId="2" fillId="0" borderId="93" xfId="0" applyFont="1" applyBorder="1" applyAlignment="1">
      <alignment horizontal="center" vertical="center" textRotation="90"/>
    </xf>
    <xf numFmtId="0" fontId="2" fillId="0" borderId="33" xfId="0" applyFont="1" applyBorder="1" applyAlignment="1">
      <alignment horizontal="center" vertical="center" textRotation="90"/>
    </xf>
    <xf numFmtId="0" fontId="2" fillId="0" borderId="3" xfId="0" applyFont="1" applyBorder="1" applyAlignment="1">
      <alignment horizontal="center" vertical="center" textRotation="90"/>
    </xf>
    <xf numFmtId="0" fontId="20" fillId="0" borderId="0" xfId="0" applyFont="1" applyFill="1" applyAlignment="1">
      <alignment vertical="top"/>
    </xf>
    <xf numFmtId="0" fontId="20" fillId="2" borderId="0" xfId="0" applyFont="1" applyFill="1" applyAlignment="1">
      <alignment vertical="top"/>
    </xf>
    <xf numFmtId="0" fontId="21" fillId="0" borderId="50" xfId="0" applyFont="1" applyBorder="1" applyAlignment="1">
      <alignment horizontal="center" vertical="center" textRotation="90" wrapText="1"/>
    </xf>
    <xf numFmtId="0" fontId="21" fillId="0" borderId="47" xfId="0" applyFont="1" applyBorder="1" applyAlignment="1">
      <alignment horizontal="center" vertical="center" textRotation="90" wrapText="1"/>
    </xf>
    <xf numFmtId="0" fontId="21" fillId="0" borderId="4" xfId="0" applyFont="1" applyBorder="1" applyAlignment="1">
      <alignment horizontal="center" vertical="center" textRotation="90" wrapText="1"/>
    </xf>
    <xf numFmtId="0" fontId="21" fillId="0" borderId="54" xfId="0" applyFont="1" applyBorder="1" applyAlignment="1">
      <alignment horizontal="center" vertical="center" textRotation="90" wrapText="1"/>
    </xf>
    <xf numFmtId="165" fontId="4" fillId="8" borderId="35" xfId="0" applyNumberFormat="1" applyFont="1" applyFill="1" applyBorder="1" applyAlignment="1">
      <alignment horizontal="center" vertical="top" wrapText="1"/>
    </xf>
    <xf numFmtId="165" fontId="2" fillId="0" borderId="46" xfId="0" applyNumberFormat="1" applyFont="1" applyBorder="1" applyAlignment="1">
      <alignment horizontal="center" vertical="top"/>
    </xf>
    <xf numFmtId="165" fontId="2" fillId="8" borderId="46" xfId="0" applyNumberFormat="1" applyFont="1" applyFill="1" applyBorder="1" applyAlignment="1">
      <alignment horizontal="center" vertical="top"/>
    </xf>
    <xf numFmtId="165" fontId="2" fillId="8" borderId="35" xfId="0" applyNumberFormat="1" applyFont="1" applyFill="1" applyBorder="1" applyAlignment="1">
      <alignment horizontal="center" vertical="top" wrapText="1"/>
    </xf>
    <xf numFmtId="165" fontId="4" fillId="4" borderId="35" xfId="0" applyNumberFormat="1" applyFont="1" applyFill="1" applyBorder="1" applyAlignment="1">
      <alignment horizontal="center" vertical="top" wrapText="1"/>
    </xf>
    <xf numFmtId="165" fontId="2" fillId="0" borderId="35" xfId="0" applyNumberFormat="1" applyFont="1" applyBorder="1" applyAlignment="1">
      <alignment horizontal="center" vertical="top" wrapText="1"/>
    </xf>
    <xf numFmtId="165" fontId="4" fillId="5" borderId="27" xfId="0" applyNumberFormat="1" applyFont="1" applyFill="1" applyBorder="1" applyAlignment="1">
      <alignment horizontal="center" vertical="top"/>
    </xf>
    <xf numFmtId="165" fontId="4" fillId="8" borderId="12" xfId="0" applyNumberFormat="1" applyFont="1" applyFill="1" applyBorder="1" applyAlignment="1">
      <alignment horizontal="center" vertical="top" wrapText="1"/>
    </xf>
    <xf numFmtId="165" fontId="2" fillId="0" borderId="22" xfId="0" applyNumberFormat="1" applyFont="1" applyBorder="1" applyAlignment="1">
      <alignment horizontal="center" vertical="top"/>
    </xf>
    <xf numFmtId="165" fontId="2" fillId="8" borderId="22" xfId="0" applyNumberFormat="1" applyFont="1" applyFill="1" applyBorder="1" applyAlignment="1">
      <alignment horizontal="center" vertical="top"/>
    </xf>
    <xf numFmtId="165" fontId="2" fillId="8" borderId="12" xfId="0" applyNumberFormat="1" applyFont="1" applyFill="1" applyBorder="1" applyAlignment="1">
      <alignment horizontal="center" vertical="top" wrapText="1"/>
    </xf>
    <xf numFmtId="165" fontId="4" fillId="4" borderId="12" xfId="0" applyNumberFormat="1" applyFont="1" applyFill="1" applyBorder="1" applyAlignment="1">
      <alignment horizontal="center" vertical="top" wrapText="1"/>
    </xf>
    <xf numFmtId="165" fontId="2" fillId="0" borderId="12" xfId="0" applyNumberFormat="1" applyFont="1" applyBorder="1" applyAlignment="1">
      <alignment horizontal="center" vertical="top" wrapText="1"/>
    </xf>
    <xf numFmtId="165" fontId="4" fillId="5" borderId="10" xfId="0" applyNumberFormat="1" applyFont="1" applyFill="1" applyBorder="1" applyAlignment="1">
      <alignment horizontal="center" vertical="top"/>
    </xf>
    <xf numFmtId="165" fontId="4" fillId="4" borderId="51" xfId="0" applyNumberFormat="1" applyFont="1" applyFill="1" applyBorder="1" applyAlignment="1">
      <alignment horizontal="center" vertical="top"/>
    </xf>
    <xf numFmtId="165" fontId="4" fillId="4" borderId="81" xfId="0" applyNumberFormat="1" applyFont="1" applyFill="1" applyBorder="1" applyAlignment="1">
      <alignment horizontal="center" vertical="top"/>
    </xf>
    <xf numFmtId="165" fontId="4" fillId="4" borderId="11" xfId="0" applyNumberFormat="1" applyFont="1" applyFill="1" applyBorder="1" applyAlignment="1">
      <alignment horizontal="center" vertical="top"/>
    </xf>
    <xf numFmtId="165" fontId="4" fillId="8" borderId="2" xfId="0" applyNumberFormat="1" applyFont="1" applyFill="1" applyBorder="1" applyAlignment="1">
      <alignment horizontal="center" vertical="top" wrapText="1"/>
    </xf>
    <xf numFmtId="165" fontId="2" fillId="0" borderId="25" xfId="0" applyNumberFormat="1" applyFont="1" applyBorder="1" applyAlignment="1">
      <alignment horizontal="center" vertical="top"/>
    </xf>
    <xf numFmtId="165" fontId="2" fillId="8" borderId="25" xfId="0" applyNumberFormat="1" applyFont="1" applyFill="1" applyBorder="1" applyAlignment="1">
      <alignment horizontal="center" vertical="top"/>
    </xf>
    <xf numFmtId="165" fontId="2" fillId="8" borderId="2" xfId="0" applyNumberFormat="1" applyFont="1" applyFill="1" applyBorder="1" applyAlignment="1">
      <alignment horizontal="center" vertical="top" wrapText="1"/>
    </xf>
    <xf numFmtId="165" fontId="4" fillId="4" borderId="2" xfId="0" applyNumberFormat="1" applyFont="1" applyFill="1" applyBorder="1" applyAlignment="1">
      <alignment horizontal="center" vertical="top" wrapText="1"/>
    </xf>
    <xf numFmtId="165" fontId="2" fillId="0" borderId="2" xfId="0" applyNumberFormat="1" applyFont="1" applyBorder="1" applyAlignment="1">
      <alignment horizontal="center" vertical="top" wrapText="1"/>
    </xf>
    <xf numFmtId="165" fontId="4" fillId="5" borderId="19" xfId="0" applyNumberFormat="1" applyFont="1" applyFill="1" applyBorder="1" applyAlignment="1">
      <alignment horizontal="center" vertical="top"/>
    </xf>
    <xf numFmtId="3" fontId="2" fillId="6" borderId="91" xfId="0" applyNumberFormat="1" applyFont="1" applyFill="1" applyBorder="1" applyAlignment="1">
      <alignment horizontal="center" vertical="top" wrapText="1"/>
    </xf>
    <xf numFmtId="3" fontId="2" fillId="6" borderId="65" xfId="0" applyNumberFormat="1" applyFont="1" applyFill="1" applyBorder="1" applyAlignment="1">
      <alignment horizontal="center" vertical="top" wrapText="1"/>
    </xf>
    <xf numFmtId="3" fontId="2" fillId="6" borderId="107" xfId="0" applyNumberFormat="1" applyFont="1" applyFill="1" applyBorder="1" applyAlignment="1">
      <alignment horizontal="center" vertical="top" wrapText="1"/>
    </xf>
    <xf numFmtId="3" fontId="2" fillId="6" borderId="90" xfId="0" applyNumberFormat="1" applyFont="1" applyFill="1" applyBorder="1" applyAlignment="1">
      <alignment horizontal="center" vertical="top" wrapText="1"/>
    </xf>
    <xf numFmtId="3" fontId="2" fillId="6" borderId="89" xfId="0" applyNumberFormat="1" applyFont="1" applyFill="1" applyBorder="1" applyAlignment="1">
      <alignment horizontal="center" vertical="top"/>
    </xf>
    <xf numFmtId="165" fontId="2" fillId="6" borderId="94" xfId="0" applyNumberFormat="1" applyFont="1" applyFill="1" applyBorder="1" applyAlignment="1">
      <alignment horizontal="center" vertical="top"/>
    </xf>
    <xf numFmtId="3" fontId="4" fillId="6" borderId="39" xfId="0" applyNumberFormat="1" applyFont="1" applyFill="1" applyBorder="1" applyAlignment="1">
      <alignment horizontal="center" vertical="top"/>
    </xf>
    <xf numFmtId="3" fontId="4" fillId="6" borderId="41" xfId="0" applyNumberFormat="1" applyFont="1" applyFill="1" applyBorder="1" applyAlignment="1">
      <alignment horizontal="center" vertical="top"/>
    </xf>
    <xf numFmtId="0" fontId="4" fillId="6" borderId="0" xfId="0" applyFont="1" applyFill="1" applyBorder="1" applyAlignment="1">
      <alignment horizontal="center" vertical="center" wrapText="1"/>
    </xf>
    <xf numFmtId="3" fontId="2" fillId="6" borderId="83" xfId="0" applyNumberFormat="1" applyFont="1" applyFill="1" applyBorder="1" applyAlignment="1">
      <alignment horizontal="center" vertical="top" wrapText="1"/>
    </xf>
    <xf numFmtId="0" fontId="2" fillId="0" borderId="67" xfId="0" applyFont="1" applyBorder="1" applyAlignment="1">
      <alignment vertical="top"/>
    </xf>
    <xf numFmtId="0" fontId="2" fillId="6" borderId="41" xfId="0" applyFont="1" applyFill="1" applyBorder="1" applyAlignment="1">
      <alignment horizontal="center" vertical="center" textRotation="90" wrapText="1"/>
    </xf>
    <xf numFmtId="49" fontId="2" fillId="6" borderId="107" xfId="0" applyNumberFormat="1" applyFont="1" applyFill="1" applyBorder="1" applyAlignment="1">
      <alignment horizontal="center" vertical="top" wrapText="1"/>
    </xf>
    <xf numFmtId="3" fontId="2" fillId="6" borderId="99" xfId="0" applyNumberFormat="1" applyFont="1" applyFill="1" applyBorder="1" applyAlignment="1">
      <alignment horizontal="center" vertical="top" wrapText="1"/>
    </xf>
    <xf numFmtId="3" fontId="2" fillId="6" borderId="40" xfId="0" applyNumberFormat="1" applyFont="1" applyFill="1" applyBorder="1" applyAlignment="1">
      <alignment horizontal="center" vertical="top" wrapText="1"/>
    </xf>
    <xf numFmtId="165" fontId="2" fillId="6" borderId="1" xfId="0" applyNumberFormat="1" applyFont="1" applyFill="1" applyBorder="1" applyAlignment="1">
      <alignment horizontal="center" vertical="top"/>
    </xf>
    <xf numFmtId="3" fontId="2" fillId="6" borderId="101" xfId="0" applyNumberFormat="1" applyFont="1" applyFill="1" applyBorder="1" applyAlignment="1">
      <alignment horizontal="center" vertical="top" wrapText="1"/>
    </xf>
    <xf numFmtId="49" fontId="2" fillId="6" borderId="65" xfId="0" applyNumberFormat="1" applyFont="1" applyFill="1" applyBorder="1" applyAlignment="1">
      <alignment horizontal="center" vertical="top" wrapText="1"/>
    </xf>
    <xf numFmtId="1" fontId="2" fillId="6" borderId="92" xfId="0" applyNumberFormat="1" applyFont="1" applyFill="1" applyBorder="1" applyAlignment="1">
      <alignment horizontal="center" vertical="top" wrapText="1"/>
    </xf>
    <xf numFmtId="0" fontId="2" fillId="6" borderId="44" xfId="0" applyFont="1" applyFill="1" applyBorder="1" applyAlignment="1">
      <alignment horizontal="center" vertical="top"/>
    </xf>
    <xf numFmtId="0" fontId="2" fillId="6" borderId="103" xfId="0" applyFont="1" applyFill="1" applyBorder="1" applyAlignment="1">
      <alignment horizontal="left" vertical="top" wrapText="1"/>
    </xf>
    <xf numFmtId="0" fontId="2" fillId="6" borderId="102" xfId="0" applyFont="1" applyFill="1" applyBorder="1" applyAlignment="1">
      <alignment horizontal="center" vertical="top"/>
    </xf>
    <xf numFmtId="0" fontId="2" fillId="6" borderId="63" xfId="0" applyFont="1" applyFill="1" applyBorder="1" applyAlignment="1">
      <alignment horizontal="left" vertical="top" wrapText="1"/>
    </xf>
    <xf numFmtId="0" fontId="2" fillId="6" borderId="14" xfId="0" applyFont="1" applyFill="1" applyBorder="1" applyAlignment="1">
      <alignment horizontal="center" vertical="top"/>
    </xf>
    <xf numFmtId="0" fontId="2" fillId="6" borderId="24" xfId="0" applyFont="1" applyFill="1" applyBorder="1" applyAlignment="1">
      <alignment horizontal="center" vertical="top"/>
    </xf>
    <xf numFmtId="3" fontId="2" fillId="6" borderId="33" xfId="0" applyNumberFormat="1" applyFont="1" applyFill="1" applyBorder="1" applyAlignment="1">
      <alignment horizontal="center" vertical="top" wrapText="1"/>
    </xf>
    <xf numFmtId="0" fontId="2" fillId="6" borderId="8" xfId="0" applyFont="1" applyFill="1" applyBorder="1"/>
    <xf numFmtId="3" fontId="2" fillId="6" borderId="73" xfId="0" applyNumberFormat="1" applyFont="1" applyFill="1" applyBorder="1" applyAlignment="1">
      <alignment horizontal="center" vertical="top" wrapText="1"/>
    </xf>
    <xf numFmtId="3" fontId="2" fillId="6" borderId="39" xfId="0" applyNumberFormat="1" applyFont="1" applyFill="1" applyBorder="1" applyAlignment="1">
      <alignment horizontal="center" vertical="top" wrapText="1"/>
    </xf>
    <xf numFmtId="0" fontId="2" fillId="6" borderId="90" xfId="0" applyFont="1" applyFill="1" applyBorder="1" applyAlignment="1">
      <alignment vertical="center" wrapText="1"/>
    </xf>
    <xf numFmtId="49" fontId="4" fillId="6" borderId="25" xfId="0" applyNumberFormat="1" applyFont="1" applyFill="1" applyBorder="1" applyAlignment="1">
      <alignment horizontal="center" vertical="center"/>
    </xf>
    <xf numFmtId="3" fontId="2" fillId="6" borderId="88" xfId="0" applyNumberFormat="1" applyFont="1" applyFill="1" applyBorder="1" applyAlignment="1">
      <alignment horizontal="center" vertical="top"/>
    </xf>
    <xf numFmtId="3" fontId="2" fillId="6" borderId="30" xfId="0" applyNumberFormat="1" applyFont="1" applyFill="1" applyBorder="1" applyAlignment="1">
      <alignment horizontal="center" vertical="top" wrapText="1"/>
    </xf>
    <xf numFmtId="0" fontId="6" fillId="6" borderId="13" xfId="0" applyFont="1" applyFill="1" applyBorder="1" applyAlignment="1">
      <alignment vertical="top" wrapText="1"/>
    </xf>
    <xf numFmtId="0" fontId="2" fillId="6" borderId="13" xfId="0" applyFont="1" applyFill="1" applyBorder="1" applyAlignment="1">
      <alignment horizontal="center" vertical="center" textRotation="90" wrapText="1"/>
    </xf>
    <xf numFmtId="0" fontId="2" fillId="6" borderId="18" xfId="0" applyFont="1" applyFill="1" applyBorder="1" applyAlignment="1">
      <alignment horizontal="left" vertical="top" wrapText="1"/>
    </xf>
    <xf numFmtId="49" fontId="4" fillId="10" borderId="9" xfId="0" applyNumberFormat="1" applyFont="1" applyFill="1" applyBorder="1" applyAlignment="1">
      <alignment horizontal="center" vertical="top"/>
    </xf>
    <xf numFmtId="49" fontId="4" fillId="3" borderId="13" xfId="0" applyNumberFormat="1" applyFont="1" applyFill="1" applyBorder="1" applyAlignment="1">
      <alignment horizontal="center" vertical="top"/>
    </xf>
    <xf numFmtId="0" fontId="2" fillId="6" borderId="90" xfId="0" applyFont="1" applyFill="1" applyBorder="1" applyAlignment="1">
      <alignment horizontal="center" vertical="top"/>
    </xf>
    <xf numFmtId="0" fontId="2" fillId="6" borderId="111" xfId="0" applyFont="1" applyFill="1" applyBorder="1" applyAlignment="1">
      <alignment vertical="top" wrapText="1"/>
    </xf>
    <xf numFmtId="0" fontId="23" fillId="6" borderId="8" xfId="0" applyFont="1" applyFill="1" applyBorder="1" applyAlignment="1">
      <alignment horizontal="center" vertical="top" wrapText="1"/>
    </xf>
    <xf numFmtId="165" fontId="23" fillId="6" borderId="8" xfId="0" applyNumberFormat="1" applyFont="1" applyFill="1" applyBorder="1" applyAlignment="1">
      <alignment horizontal="center" vertical="top"/>
    </xf>
    <xf numFmtId="165" fontId="23" fillId="6" borderId="9" xfId="0" applyNumberFormat="1" applyFont="1" applyFill="1" applyBorder="1" applyAlignment="1">
      <alignment horizontal="center" vertical="top"/>
    </xf>
    <xf numFmtId="0" fontId="2" fillId="0" borderId="104" xfId="0" applyFont="1" applyBorder="1" applyAlignment="1">
      <alignment horizontal="center" vertical="top"/>
    </xf>
    <xf numFmtId="165" fontId="2" fillId="6" borderId="102" xfId="0" applyNumberFormat="1" applyFont="1" applyFill="1" applyBorder="1" applyAlignment="1">
      <alignment horizontal="center" vertical="top"/>
    </xf>
    <xf numFmtId="165" fontId="2" fillId="6" borderId="104" xfId="0" applyNumberFormat="1" applyFont="1" applyFill="1" applyBorder="1" applyAlignment="1">
      <alignment horizontal="center" vertical="top"/>
    </xf>
    <xf numFmtId="0" fontId="2" fillId="6" borderId="13" xfId="0" applyFont="1" applyFill="1" applyBorder="1" applyAlignment="1">
      <alignment horizontal="left" vertical="top" wrapText="1"/>
    </xf>
    <xf numFmtId="0" fontId="2" fillId="6" borderId="25" xfId="0" applyFont="1" applyFill="1" applyBorder="1" applyAlignment="1">
      <alignment horizontal="left" vertical="top" wrapText="1"/>
    </xf>
    <xf numFmtId="0" fontId="2" fillId="6" borderId="73" xfId="0" applyFont="1" applyFill="1" applyBorder="1" applyAlignment="1">
      <alignment horizontal="left" vertical="top" wrapText="1"/>
    </xf>
    <xf numFmtId="0" fontId="2" fillId="6" borderId="74" xfId="0" applyFont="1" applyFill="1" applyBorder="1" applyAlignment="1">
      <alignment horizontal="left" vertical="top" wrapText="1"/>
    </xf>
    <xf numFmtId="49" fontId="2" fillId="6" borderId="14" xfId="0" applyNumberFormat="1" applyFont="1" applyFill="1" applyBorder="1" applyAlignment="1">
      <alignment horizontal="center" vertical="top" wrapText="1"/>
    </xf>
    <xf numFmtId="49" fontId="2" fillId="6" borderId="44" xfId="0" applyNumberFormat="1" applyFont="1" applyFill="1" applyBorder="1" applyAlignment="1">
      <alignment horizontal="center" vertical="top" wrapText="1"/>
    </xf>
    <xf numFmtId="49" fontId="4" fillId="6" borderId="13" xfId="0" applyNumberFormat="1" applyFont="1" applyFill="1" applyBorder="1" applyAlignment="1">
      <alignment horizontal="center" vertical="top"/>
    </xf>
    <xf numFmtId="0" fontId="6" fillId="6" borderId="13" xfId="0" applyFont="1" applyFill="1" applyBorder="1" applyAlignment="1">
      <alignment vertical="top" wrapText="1"/>
    </xf>
    <xf numFmtId="0" fontId="2" fillId="6" borderId="13" xfId="0" applyFont="1" applyFill="1" applyBorder="1" applyAlignment="1">
      <alignment horizontal="center" vertical="center" textRotation="90" wrapText="1"/>
    </xf>
    <xf numFmtId="49" fontId="4" fillId="10" borderId="9" xfId="0" applyNumberFormat="1" applyFont="1" applyFill="1" applyBorder="1" applyAlignment="1">
      <alignment horizontal="center" vertical="top"/>
    </xf>
    <xf numFmtId="49" fontId="4" fillId="3" borderId="41" xfId="0" applyNumberFormat="1" applyFont="1" applyFill="1" applyBorder="1" applyAlignment="1">
      <alignment horizontal="center" vertical="top"/>
    </xf>
    <xf numFmtId="49" fontId="4" fillId="8" borderId="13" xfId="0" applyNumberFormat="1" applyFont="1" applyFill="1" applyBorder="1" applyAlignment="1">
      <alignment horizontal="center" vertical="top"/>
    </xf>
    <xf numFmtId="0" fontId="2" fillId="6" borderId="70" xfId="0" applyFont="1" applyFill="1" applyBorder="1" applyAlignment="1">
      <alignment horizontal="left" vertical="top" wrapText="1"/>
    </xf>
    <xf numFmtId="0" fontId="6" fillId="6" borderId="13" xfId="0" applyFont="1" applyFill="1" applyBorder="1" applyAlignment="1">
      <alignment horizontal="left" vertical="top" wrapText="1"/>
    </xf>
    <xf numFmtId="0" fontId="2" fillId="6" borderId="41" xfId="0" applyFont="1" applyFill="1" applyBorder="1" applyAlignment="1">
      <alignment horizontal="left" vertical="top" wrapText="1"/>
    </xf>
    <xf numFmtId="0" fontId="4" fillId="6" borderId="13" xfId="0" applyFont="1" applyFill="1" applyBorder="1" applyAlignment="1">
      <alignment horizontal="center" vertical="top" wrapText="1"/>
    </xf>
    <xf numFmtId="0" fontId="2" fillId="6" borderId="44" xfId="0" applyFont="1" applyFill="1" applyBorder="1" applyAlignment="1">
      <alignment horizontal="center" vertical="top" wrapText="1"/>
    </xf>
    <xf numFmtId="49" fontId="2" fillId="6" borderId="14" xfId="0" applyNumberFormat="1" applyFont="1" applyFill="1" applyBorder="1" applyAlignment="1">
      <alignment horizontal="center" vertical="center" wrapText="1"/>
    </xf>
    <xf numFmtId="0" fontId="2" fillId="6" borderId="8" xfId="0" applyFont="1" applyFill="1" applyBorder="1" applyAlignment="1">
      <alignment vertical="top" wrapText="1"/>
    </xf>
    <xf numFmtId="0" fontId="2" fillId="6" borderId="69" xfId="0" applyNumberFormat="1" applyFont="1" applyFill="1" applyBorder="1" applyAlignment="1">
      <alignment horizontal="center" vertical="top" wrapText="1"/>
    </xf>
    <xf numFmtId="0" fontId="2" fillId="6" borderId="75" xfId="0" applyNumberFormat="1" applyFont="1" applyFill="1" applyBorder="1" applyAlignment="1">
      <alignment horizontal="center" vertical="top" wrapText="1"/>
    </xf>
    <xf numFmtId="0" fontId="2" fillId="6" borderId="79" xfId="0" applyNumberFormat="1" applyFont="1" applyFill="1" applyBorder="1" applyAlignment="1">
      <alignment horizontal="center" vertical="top" wrapText="1"/>
    </xf>
    <xf numFmtId="0" fontId="2" fillId="6" borderId="70" xfId="0" applyNumberFormat="1" applyFont="1" applyFill="1" applyBorder="1" applyAlignment="1">
      <alignment horizontal="center" vertical="top" wrapText="1"/>
    </xf>
    <xf numFmtId="0" fontId="2" fillId="6" borderId="63" xfId="0" applyNumberFormat="1" applyFont="1" applyFill="1" applyBorder="1" applyAlignment="1">
      <alignment horizontal="center" vertical="top" wrapText="1"/>
    </xf>
    <xf numFmtId="0" fontId="2" fillId="6" borderId="62" xfId="0" applyNumberFormat="1" applyFont="1" applyFill="1" applyBorder="1" applyAlignment="1">
      <alignment horizontal="center" vertical="top" wrapText="1"/>
    </xf>
    <xf numFmtId="0" fontId="2" fillId="6" borderId="73" xfId="0" applyFont="1" applyFill="1" applyBorder="1" applyAlignment="1">
      <alignment vertical="top" wrapText="1"/>
    </xf>
    <xf numFmtId="0" fontId="2" fillId="6" borderId="25" xfId="0" applyFont="1" applyFill="1" applyBorder="1" applyAlignment="1">
      <alignment vertical="top" wrapText="1"/>
    </xf>
    <xf numFmtId="0" fontId="4" fillId="6" borderId="13" xfId="0" applyFont="1" applyFill="1" applyBorder="1" applyAlignment="1">
      <alignment horizontal="center" vertical="top" wrapText="1"/>
    </xf>
    <xf numFmtId="0" fontId="2" fillId="6" borderId="13" xfId="0" applyFont="1" applyFill="1" applyBorder="1" applyAlignment="1">
      <alignment horizontal="center" vertical="center" textRotation="90" wrapText="1"/>
    </xf>
    <xf numFmtId="165" fontId="2" fillId="6" borderId="104" xfId="0" applyNumberFormat="1" applyFont="1" applyFill="1" applyBorder="1" applyAlignment="1">
      <alignment horizontal="center" vertical="top" wrapText="1"/>
    </xf>
    <xf numFmtId="165" fontId="23" fillId="6" borderId="0" xfId="0" applyNumberFormat="1" applyFont="1" applyFill="1" applyBorder="1" applyAlignment="1">
      <alignment horizontal="center" vertical="top"/>
    </xf>
    <xf numFmtId="165" fontId="23" fillId="6" borderId="13" xfId="0" applyNumberFormat="1" applyFont="1" applyFill="1" applyBorder="1" applyAlignment="1">
      <alignment horizontal="center" vertical="top"/>
    </xf>
    <xf numFmtId="165" fontId="2" fillId="6" borderId="72" xfId="0" applyNumberFormat="1" applyFont="1" applyFill="1" applyBorder="1" applyAlignment="1">
      <alignment horizontal="center" vertical="top"/>
    </xf>
    <xf numFmtId="3" fontId="2" fillId="0" borderId="64" xfId="0" applyNumberFormat="1" applyFont="1" applyFill="1" applyBorder="1" applyAlignment="1">
      <alignment horizontal="center" vertical="top" wrapText="1"/>
    </xf>
    <xf numFmtId="3" fontId="2" fillId="0" borderId="68" xfId="0" applyNumberFormat="1" applyFont="1" applyFill="1" applyBorder="1" applyAlignment="1">
      <alignment horizontal="center" vertical="top" wrapText="1"/>
    </xf>
    <xf numFmtId="3" fontId="2" fillId="6" borderId="72" xfId="0" applyNumberFormat="1" applyFont="1" applyFill="1" applyBorder="1" applyAlignment="1">
      <alignment horizontal="center" vertical="top" wrapText="1"/>
    </xf>
    <xf numFmtId="0" fontId="2" fillId="6" borderId="79" xfId="1" applyNumberFormat="1" applyFont="1" applyFill="1" applyBorder="1" applyAlignment="1">
      <alignment horizontal="center" vertical="top" wrapText="1"/>
    </xf>
    <xf numFmtId="0" fontId="2" fillId="6" borderId="75" xfId="1" applyNumberFormat="1" applyFont="1" applyFill="1" applyBorder="1" applyAlignment="1">
      <alignment horizontal="center" vertical="top" wrapText="1"/>
    </xf>
    <xf numFmtId="3" fontId="2" fillId="6" borderId="101" xfId="1" applyNumberFormat="1" applyFont="1" applyFill="1" applyBorder="1" applyAlignment="1">
      <alignment horizontal="center" vertical="top"/>
    </xf>
    <xf numFmtId="3" fontId="2" fillId="6" borderId="89" xfId="1" applyNumberFormat="1" applyFont="1" applyFill="1" applyBorder="1" applyAlignment="1">
      <alignment horizontal="center" vertical="top"/>
    </xf>
    <xf numFmtId="0" fontId="15" fillId="6" borderId="25" xfId="0" applyFont="1" applyFill="1" applyBorder="1" applyAlignment="1">
      <alignment horizontal="left" vertical="top" wrapText="1"/>
    </xf>
    <xf numFmtId="1" fontId="2" fillId="6" borderId="90" xfId="0" applyNumberFormat="1" applyFont="1" applyFill="1" applyBorder="1" applyAlignment="1">
      <alignment horizontal="center" vertical="top" wrapText="1"/>
    </xf>
    <xf numFmtId="0" fontId="2" fillId="6" borderId="64" xfId="0" applyNumberFormat="1" applyFont="1" applyFill="1" applyBorder="1" applyAlignment="1">
      <alignment horizontal="center" vertical="top" wrapText="1"/>
    </xf>
    <xf numFmtId="0" fontId="2" fillId="6" borderId="103" xfId="0" applyNumberFormat="1" applyFont="1" applyFill="1" applyBorder="1" applyAlignment="1">
      <alignment horizontal="center" vertical="top" wrapText="1"/>
    </xf>
    <xf numFmtId="0" fontId="2" fillId="6" borderId="78" xfId="0" applyNumberFormat="1" applyFont="1" applyFill="1" applyBorder="1" applyAlignment="1">
      <alignment horizontal="center" vertical="top" wrapText="1"/>
    </xf>
    <xf numFmtId="49" fontId="2" fillId="6" borderId="61" xfId="0" applyNumberFormat="1" applyFont="1" applyFill="1" applyBorder="1" applyAlignment="1">
      <alignment vertical="top" wrapText="1"/>
    </xf>
    <xf numFmtId="165" fontId="2" fillId="6" borderId="68" xfId="0" applyNumberFormat="1" applyFont="1" applyFill="1" applyBorder="1" applyAlignment="1">
      <alignment horizontal="center" vertical="top" wrapText="1"/>
    </xf>
    <xf numFmtId="165" fontId="2" fillId="6" borderId="99" xfId="0" applyNumberFormat="1" applyFont="1" applyFill="1" applyBorder="1" applyAlignment="1">
      <alignment horizontal="center" vertical="top" wrapText="1"/>
    </xf>
    <xf numFmtId="165" fontId="2" fillId="6" borderId="76" xfId="0" applyNumberFormat="1" applyFont="1" applyFill="1" applyBorder="1" applyAlignment="1">
      <alignment horizontal="center" vertical="top" wrapText="1"/>
    </xf>
    <xf numFmtId="165" fontId="2" fillId="6" borderId="73" xfId="0" applyNumberFormat="1" applyFont="1" applyFill="1" applyBorder="1" applyAlignment="1">
      <alignment horizontal="center" vertical="top" wrapText="1"/>
    </xf>
    <xf numFmtId="165" fontId="2" fillId="6" borderId="90" xfId="0" applyNumberFormat="1" applyFont="1" applyFill="1" applyBorder="1" applyAlignment="1">
      <alignment horizontal="center" vertical="top" wrapText="1"/>
    </xf>
    <xf numFmtId="165" fontId="2" fillId="6" borderId="102" xfId="0" applyNumberFormat="1" applyFont="1" applyFill="1" applyBorder="1" applyAlignment="1">
      <alignment horizontal="center" vertical="top" wrapText="1"/>
    </xf>
    <xf numFmtId="165" fontId="2" fillId="6" borderId="63" xfId="0" applyNumberFormat="1" applyFont="1" applyFill="1" applyBorder="1" applyAlignment="1">
      <alignment horizontal="center" vertical="top"/>
    </xf>
    <xf numFmtId="165" fontId="2" fillId="6" borderId="65" xfId="0" applyNumberFormat="1" applyFont="1" applyFill="1" applyBorder="1" applyAlignment="1">
      <alignment horizontal="center" vertical="top"/>
    </xf>
    <xf numFmtId="3" fontId="2" fillId="6" borderId="90" xfId="0" applyNumberFormat="1" applyFont="1" applyFill="1" applyBorder="1" applyAlignment="1">
      <alignment horizontal="center" vertical="top"/>
    </xf>
    <xf numFmtId="3" fontId="2" fillId="6" borderId="14" xfId="0" applyNumberFormat="1" applyFont="1" applyFill="1" applyBorder="1" applyAlignment="1">
      <alignment horizontal="center" vertical="top" wrapText="1"/>
    </xf>
    <xf numFmtId="0" fontId="26" fillId="0" borderId="0" xfId="0" applyFont="1" applyBorder="1" applyAlignment="1">
      <alignment vertical="top"/>
    </xf>
    <xf numFmtId="0" fontId="27" fillId="0" borderId="0" xfId="0" applyFont="1" applyAlignment="1">
      <alignment vertical="center"/>
    </xf>
    <xf numFmtId="0" fontId="28" fillId="0" borderId="0" xfId="0" applyFont="1" applyBorder="1" applyAlignment="1">
      <alignment vertical="top"/>
    </xf>
    <xf numFmtId="3" fontId="26" fillId="0" borderId="0" xfId="0" applyNumberFormat="1" applyFont="1" applyBorder="1" applyAlignment="1">
      <alignment vertical="top"/>
    </xf>
    <xf numFmtId="49" fontId="2" fillId="6" borderId="44" xfId="0" applyNumberFormat="1" applyFont="1" applyFill="1" applyBorder="1" applyAlignment="1">
      <alignment vertical="top" wrapText="1"/>
    </xf>
    <xf numFmtId="49" fontId="2" fillId="6" borderId="46" xfId="0" applyNumberFormat="1" applyFont="1" applyFill="1" applyBorder="1" applyAlignment="1">
      <alignment vertical="top" wrapText="1"/>
    </xf>
    <xf numFmtId="0" fontId="2" fillId="0" borderId="8" xfId="0" applyFont="1" applyBorder="1" applyAlignment="1">
      <alignment horizontal="center" vertical="top"/>
    </xf>
    <xf numFmtId="0" fontId="2" fillId="0" borderId="18" xfId="0" applyFont="1" applyBorder="1" applyAlignment="1">
      <alignment horizontal="center" vertical="top"/>
    </xf>
    <xf numFmtId="49" fontId="2" fillId="6" borderId="44" xfId="0" applyNumberFormat="1" applyFont="1" applyFill="1" applyBorder="1" applyAlignment="1">
      <alignment horizontal="center" vertical="top" wrapText="1"/>
    </xf>
    <xf numFmtId="0" fontId="2" fillId="6" borderId="14" xfId="0" applyFont="1" applyFill="1" applyBorder="1" applyAlignment="1">
      <alignment horizontal="center" vertical="top" wrapText="1"/>
    </xf>
    <xf numFmtId="49" fontId="4" fillId="6" borderId="13" xfId="0" applyNumberFormat="1" applyFont="1" applyFill="1" applyBorder="1" applyAlignment="1">
      <alignment horizontal="center" vertical="top" wrapText="1"/>
    </xf>
    <xf numFmtId="49" fontId="4" fillId="6" borderId="13" xfId="0" applyNumberFormat="1" applyFont="1" applyFill="1" applyBorder="1" applyAlignment="1">
      <alignment horizontal="center" vertical="top"/>
    </xf>
    <xf numFmtId="49" fontId="4" fillId="10" borderId="9" xfId="0" applyNumberFormat="1" applyFont="1" applyFill="1" applyBorder="1" applyAlignment="1">
      <alignment horizontal="center" vertical="top"/>
    </xf>
    <xf numFmtId="49" fontId="4" fillId="3" borderId="41" xfId="0" applyNumberFormat="1" applyFont="1" applyFill="1" applyBorder="1" applyAlignment="1">
      <alignment horizontal="center" vertical="top"/>
    </xf>
    <xf numFmtId="49" fontId="4" fillId="8" borderId="13" xfId="0" applyNumberFormat="1" applyFont="1" applyFill="1" applyBorder="1" applyAlignment="1">
      <alignment horizontal="center" vertical="top"/>
    </xf>
    <xf numFmtId="49" fontId="4" fillId="3" borderId="13" xfId="0" applyNumberFormat="1" applyFont="1" applyFill="1" applyBorder="1" applyAlignment="1">
      <alignment horizontal="center" vertical="top"/>
    </xf>
    <xf numFmtId="0" fontId="2" fillId="6" borderId="8" xfId="1" applyFont="1" applyFill="1" applyBorder="1" applyAlignment="1">
      <alignment vertical="top" wrapText="1"/>
    </xf>
    <xf numFmtId="0" fontId="2" fillId="6" borderId="73" xfId="0" applyFont="1" applyFill="1" applyBorder="1" applyAlignment="1">
      <alignment vertical="top" wrapText="1"/>
    </xf>
    <xf numFmtId="0" fontId="2" fillId="6" borderId="8" xfId="0" applyFont="1" applyFill="1" applyBorder="1" applyAlignment="1">
      <alignment vertical="top" wrapText="1"/>
    </xf>
    <xf numFmtId="0" fontId="2" fillId="6" borderId="91" xfId="0" applyFont="1" applyFill="1" applyBorder="1" applyAlignment="1">
      <alignment horizontal="center" vertical="top"/>
    </xf>
    <xf numFmtId="0" fontId="2" fillId="6" borderId="73" xfId="0" applyFont="1" applyFill="1" applyBorder="1" applyAlignment="1">
      <alignment vertical="top" wrapText="1"/>
    </xf>
    <xf numFmtId="0" fontId="2" fillId="6" borderId="8" xfId="0" applyFont="1" applyFill="1" applyBorder="1" applyAlignment="1">
      <alignment vertical="top" wrapText="1"/>
    </xf>
    <xf numFmtId="0" fontId="2" fillId="0" borderId="90" xfId="0" applyFont="1" applyBorder="1" applyAlignment="1">
      <alignment horizontal="center" vertical="top"/>
    </xf>
    <xf numFmtId="0" fontId="2" fillId="6" borderId="90" xfId="0" applyFont="1" applyFill="1" applyBorder="1" applyAlignment="1">
      <alignment horizontal="center" vertical="top" wrapText="1"/>
    </xf>
    <xf numFmtId="0" fontId="2" fillId="6" borderId="102" xfId="0" applyFont="1" applyFill="1" applyBorder="1" applyAlignment="1">
      <alignment horizontal="center" vertical="top" wrapText="1"/>
    </xf>
    <xf numFmtId="165" fontId="2" fillId="6" borderId="101" xfId="0" applyNumberFormat="1" applyFont="1" applyFill="1" applyBorder="1" applyAlignment="1">
      <alignment horizontal="center" vertical="top"/>
    </xf>
    <xf numFmtId="165" fontId="2" fillId="6" borderId="68" xfId="0" applyNumberFormat="1" applyFont="1" applyFill="1" applyBorder="1" applyAlignment="1">
      <alignment horizontal="center" vertical="top"/>
    </xf>
    <xf numFmtId="165" fontId="2" fillId="6" borderId="89" xfId="0" applyNumberFormat="1" applyFont="1" applyFill="1" applyBorder="1" applyAlignment="1">
      <alignment horizontal="center" vertical="top"/>
    </xf>
    <xf numFmtId="165" fontId="2" fillId="6" borderId="109" xfId="0" applyNumberFormat="1" applyFont="1" applyFill="1" applyBorder="1" applyAlignment="1">
      <alignment horizontal="center" vertical="top"/>
    </xf>
    <xf numFmtId="165" fontId="2" fillId="6" borderId="108" xfId="0" applyNumberFormat="1" applyFont="1" applyFill="1" applyBorder="1" applyAlignment="1">
      <alignment horizontal="center" vertical="top"/>
    </xf>
    <xf numFmtId="0" fontId="2" fillId="0" borderId="55" xfId="0" applyFont="1" applyBorder="1" applyAlignment="1">
      <alignment vertical="top"/>
    </xf>
    <xf numFmtId="0" fontId="2" fillId="6" borderId="8" xfId="0" applyFont="1" applyFill="1" applyBorder="1" applyAlignment="1">
      <alignment vertical="top"/>
    </xf>
    <xf numFmtId="0" fontId="2" fillId="6" borderId="31" xfId="0" applyFont="1" applyFill="1" applyBorder="1" applyAlignment="1">
      <alignment vertical="top"/>
    </xf>
    <xf numFmtId="0" fontId="2" fillId="6" borderId="13" xfId="0" applyFont="1" applyFill="1" applyBorder="1" applyAlignment="1">
      <alignment vertical="top"/>
    </xf>
    <xf numFmtId="0" fontId="2" fillId="6" borderId="44" xfId="0" applyFont="1" applyFill="1" applyBorder="1" applyAlignment="1">
      <alignment vertical="top"/>
    </xf>
    <xf numFmtId="0" fontId="2" fillId="6" borderId="55" xfId="0" applyFont="1" applyFill="1" applyBorder="1" applyAlignment="1">
      <alignment vertical="top"/>
    </xf>
    <xf numFmtId="0" fontId="2" fillId="6" borderId="18" xfId="0" applyFont="1" applyFill="1" applyBorder="1" applyAlignment="1">
      <alignment vertical="top"/>
    </xf>
    <xf numFmtId="0" fontId="2" fillId="6" borderId="0" xfId="0" applyFont="1" applyFill="1" applyBorder="1" applyAlignment="1">
      <alignment vertical="top"/>
    </xf>
    <xf numFmtId="0" fontId="2" fillId="6" borderId="25" xfId="0" applyFont="1" applyFill="1" applyBorder="1" applyAlignment="1">
      <alignment vertical="top"/>
    </xf>
    <xf numFmtId="0" fontId="2" fillId="6" borderId="46" xfId="0" applyFont="1" applyFill="1" applyBorder="1" applyAlignment="1">
      <alignment vertical="top"/>
    </xf>
    <xf numFmtId="3" fontId="2" fillId="6" borderId="109" xfId="0" applyNumberFormat="1" applyFont="1" applyFill="1" applyBorder="1" applyAlignment="1">
      <alignment horizontal="center" vertical="top" wrapText="1"/>
    </xf>
    <xf numFmtId="0" fontId="2" fillId="6" borderId="73" xfId="0" applyFont="1" applyFill="1" applyBorder="1" applyAlignment="1">
      <alignment horizontal="center" vertical="top" wrapText="1"/>
    </xf>
    <xf numFmtId="165" fontId="2" fillId="6" borderId="66" xfId="0" applyNumberFormat="1" applyFont="1" applyFill="1" applyBorder="1" applyAlignment="1">
      <alignment horizontal="center" vertical="top"/>
    </xf>
    <xf numFmtId="165" fontId="2" fillId="6" borderId="67" xfId="0" applyNumberFormat="1" applyFont="1" applyFill="1" applyBorder="1" applyAlignment="1">
      <alignment horizontal="center" vertical="top"/>
    </xf>
    <xf numFmtId="49" fontId="2" fillId="6" borderId="43" xfId="0" applyNumberFormat="1" applyFont="1" applyFill="1" applyBorder="1" applyAlignment="1">
      <alignment vertical="top" wrapText="1"/>
    </xf>
    <xf numFmtId="0" fontId="2" fillId="6" borderId="24" xfId="0" applyFont="1" applyFill="1" applyBorder="1" applyAlignment="1">
      <alignment vertical="top" wrapText="1"/>
    </xf>
    <xf numFmtId="165" fontId="2" fillId="6" borderId="101" xfId="0" applyNumberFormat="1" applyFont="1" applyFill="1" applyBorder="1" applyAlignment="1">
      <alignment horizontal="center" vertical="top" wrapText="1"/>
    </xf>
    <xf numFmtId="165" fontId="2" fillId="6" borderId="71" xfId="0" applyNumberFormat="1" applyFont="1" applyFill="1" applyBorder="1" applyAlignment="1">
      <alignment horizontal="center" vertical="top" wrapText="1"/>
    </xf>
    <xf numFmtId="165" fontId="2" fillId="6" borderId="89" xfId="0" applyNumberFormat="1" applyFont="1" applyFill="1" applyBorder="1" applyAlignment="1">
      <alignment horizontal="center" vertical="top" wrapText="1"/>
    </xf>
    <xf numFmtId="165" fontId="2" fillId="6" borderId="72" xfId="0" applyNumberFormat="1" applyFont="1" applyFill="1" applyBorder="1" applyAlignment="1">
      <alignment horizontal="center" vertical="top" wrapText="1"/>
    </xf>
    <xf numFmtId="165" fontId="2" fillId="6" borderId="109" xfId="0" applyNumberFormat="1" applyFont="1" applyFill="1" applyBorder="1" applyAlignment="1">
      <alignment horizontal="center" vertical="top" wrapText="1"/>
    </xf>
    <xf numFmtId="165" fontId="2" fillId="6" borderId="65" xfId="0" applyNumberFormat="1" applyFont="1" applyFill="1" applyBorder="1" applyAlignment="1">
      <alignment horizontal="center" vertical="top" wrapText="1"/>
    </xf>
    <xf numFmtId="0" fontId="2" fillId="6" borderId="101" xfId="0" applyFont="1" applyFill="1" applyBorder="1" applyAlignment="1">
      <alignment horizontal="center" vertical="top" wrapText="1"/>
    </xf>
    <xf numFmtId="165" fontId="4" fillId="0" borderId="0" xfId="0" applyNumberFormat="1" applyFont="1" applyAlignment="1">
      <alignment vertical="top"/>
    </xf>
    <xf numFmtId="0" fontId="2" fillId="0" borderId="25" xfId="0" applyFont="1" applyFill="1" applyBorder="1" applyAlignment="1">
      <alignment vertical="center" textRotation="90" wrapText="1"/>
    </xf>
    <xf numFmtId="0" fontId="4" fillId="0" borderId="0" xfId="0" applyFont="1" applyBorder="1" applyAlignment="1">
      <alignment horizontal="center" vertical="top"/>
    </xf>
    <xf numFmtId="0" fontId="4" fillId="6" borderId="0" xfId="0" applyFont="1" applyFill="1" applyBorder="1" applyAlignment="1">
      <alignment horizontal="center" vertical="top" wrapText="1"/>
    </xf>
    <xf numFmtId="165" fontId="2" fillId="6" borderId="73" xfId="0" applyNumberFormat="1" applyFont="1" applyFill="1" applyBorder="1" applyAlignment="1">
      <alignment horizontal="center" vertical="top"/>
    </xf>
    <xf numFmtId="165" fontId="2" fillId="6" borderId="24" xfId="0" applyNumberFormat="1" applyFont="1" applyFill="1" applyBorder="1" applyAlignment="1">
      <alignment horizontal="center" vertical="top"/>
    </xf>
    <xf numFmtId="3" fontId="2" fillId="6" borderId="24" xfId="0" applyNumberFormat="1" applyFont="1" applyFill="1" applyBorder="1" applyAlignment="1">
      <alignment horizontal="center" vertical="top" wrapText="1"/>
    </xf>
    <xf numFmtId="165" fontId="2" fillId="6" borderId="14" xfId="0" applyNumberFormat="1" applyFont="1" applyFill="1" applyBorder="1" applyAlignment="1">
      <alignment horizontal="center" vertical="top"/>
    </xf>
    <xf numFmtId="3" fontId="2" fillId="6" borderId="14" xfId="0" applyNumberFormat="1" applyFont="1" applyFill="1" applyBorder="1" applyAlignment="1">
      <alignment horizontal="center" vertical="top"/>
    </xf>
    <xf numFmtId="0" fontId="2" fillId="0" borderId="25" xfId="0" applyFont="1" applyBorder="1" applyAlignment="1">
      <alignment vertical="top"/>
    </xf>
    <xf numFmtId="3" fontId="2" fillId="6" borderId="5" xfId="0" applyNumberFormat="1" applyFont="1" applyFill="1" applyBorder="1" applyAlignment="1">
      <alignment horizontal="center" vertical="top"/>
    </xf>
    <xf numFmtId="3" fontId="2" fillId="6" borderId="73" xfId="0" applyNumberFormat="1" applyFont="1" applyFill="1" applyBorder="1" applyAlignment="1">
      <alignment horizontal="center" vertical="top"/>
    </xf>
    <xf numFmtId="3" fontId="2" fillId="6" borderId="99" xfId="0" applyNumberFormat="1" applyFont="1" applyFill="1" applyBorder="1" applyAlignment="1">
      <alignment horizontal="center" vertical="top"/>
    </xf>
    <xf numFmtId="3" fontId="2" fillId="6" borderId="109" xfId="0" applyNumberFormat="1" applyFont="1" applyFill="1" applyBorder="1" applyAlignment="1">
      <alignment horizontal="center" vertical="top"/>
    </xf>
    <xf numFmtId="3" fontId="2" fillId="6" borderId="24" xfId="0" applyNumberFormat="1" applyFont="1" applyFill="1" applyBorder="1" applyAlignment="1">
      <alignment horizontal="center" vertical="top"/>
    </xf>
    <xf numFmtId="165" fontId="2" fillId="6" borderId="74" xfId="0" applyNumberFormat="1" applyFont="1" applyFill="1" applyBorder="1" applyAlignment="1">
      <alignment horizontal="center" vertical="top" wrapText="1"/>
    </xf>
    <xf numFmtId="165" fontId="2" fillId="6" borderId="63" xfId="0" applyNumberFormat="1" applyFont="1" applyFill="1" applyBorder="1" applyAlignment="1">
      <alignment horizontal="center" vertical="top" wrapText="1"/>
    </xf>
    <xf numFmtId="165" fontId="2" fillId="6" borderId="103" xfId="0" applyNumberFormat="1" applyFont="1" applyFill="1" applyBorder="1" applyAlignment="1">
      <alignment horizontal="center" vertical="top" wrapText="1"/>
    </xf>
    <xf numFmtId="0" fontId="2" fillId="6" borderId="101" xfId="0" applyFont="1" applyFill="1" applyBorder="1" applyAlignment="1">
      <alignment horizontal="center" vertical="top"/>
    </xf>
    <xf numFmtId="0" fontId="2" fillId="0" borderId="68" xfId="0" applyFont="1" applyBorder="1" applyAlignment="1">
      <alignment vertical="top"/>
    </xf>
    <xf numFmtId="164" fontId="2" fillId="0" borderId="71" xfId="0" applyNumberFormat="1" applyFont="1" applyBorder="1" applyAlignment="1">
      <alignment horizontal="center" vertical="top"/>
    </xf>
    <xf numFmtId="165" fontId="2" fillId="6" borderId="70" xfId="0" applyNumberFormat="1" applyFont="1" applyFill="1" applyBorder="1" applyAlignment="1">
      <alignment horizontal="center" vertical="top"/>
    </xf>
    <xf numFmtId="165" fontId="2" fillId="6" borderId="61" xfId="0" applyNumberFormat="1" applyFont="1" applyFill="1" applyBorder="1" applyAlignment="1">
      <alignment horizontal="center" vertical="top"/>
    </xf>
    <xf numFmtId="165" fontId="2" fillId="6" borderId="69" xfId="0" applyNumberFormat="1" applyFont="1" applyFill="1" applyBorder="1" applyAlignment="1">
      <alignment horizontal="center" vertical="top"/>
    </xf>
    <xf numFmtId="165" fontId="2" fillId="6" borderId="99" xfId="0" applyNumberFormat="1" applyFont="1" applyFill="1" applyBorder="1" applyAlignment="1">
      <alignment horizontal="center" vertical="top"/>
    </xf>
    <xf numFmtId="0" fontId="2" fillId="0" borderId="18" xfId="0" applyFont="1" applyFill="1" applyBorder="1" applyAlignment="1">
      <alignment horizontal="center" vertical="top" wrapText="1"/>
    </xf>
    <xf numFmtId="165" fontId="2" fillId="6" borderId="101" xfId="0" applyNumberFormat="1" applyFont="1" applyFill="1" applyBorder="1" applyAlignment="1">
      <alignment horizontal="center" vertical="center"/>
    </xf>
    <xf numFmtId="165" fontId="2" fillId="6" borderId="9" xfId="0" applyNumberFormat="1" applyFont="1" applyFill="1" applyBorder="1" applyAlignment="1">
      <alignment horizontal="center" vertical="center"/>
    </xf>
    <xf numFmtId="165" fontId="2" fillId="6" borderId="13" xfId="0" applyNumberFormat="1" applyFont="1" applyFill="1" applyBorder="1" applyAlignment="1">
      <alignment horizontal="center" vertical="center"/>
    </xf>
    <xf numFmtId="165" fontId="2" fillId="6" borderId="89" xfId="0" applyNumberFormat="1" applyFont="1" applyFill="1" applyBorder="1" applyAlignment="1">
      <alignment horizontal="center" vertical="center"/>
    </xf>
    <xf numFmtId="0" fontId="2" fillId="0" borderId="8" xfId="0" applyFont="1" applyFill="1" applyBorder="1" applyAlignment="1">
      <alignment horizontal="center" vertical="top" wrapText="1"/>
    </xf>
    <xf numFmtId="0" fontId="2" fillId="0" borderId="102" xfId="0" applyFont="1" applyFill="1" applyBorder="1" applyAlignment="1">
      <alignment horizontal="center" vertical="top" wrapText="1"/>
    </xf>
    <xf numFmtId="0" fontId="2" fillId="0" borderId="5" xfId="0" applyFont="1" applyFill="1" applyBorder="1" applyAlignment="1">
      <alignment horizontal="center" vertical="top" wrapText="1"/>
    </xf>
    <xf numFmtId="165" fontId="2" fillId="6" borderId="48" xfId="0" applyNumberFormat="1" applyFont="1" applyFill="1" applyBorder="1" applyAlignment="1">
      <alignment horizontal="center" vertical="top"/>
    </xf>
    <xf numFmtId="165" fontId="2" fillId="6" borderId="39" xfId="0" applyNumberFormat="1" applyFont="1" applyFill="1" applyBorder="1" applyAlignment="1">
      <alignment horizontal="center" vertical="top"/>
    </xf>
    <xf numFmtId="0" fontId="2" fillId="0" borderId="90" xfId="0" applyFont="1" applyFill="1" applyBorder="1" applyAlignment="1">
      <alignment horizontal="center" vertical="top" wrapText="1"/>
    </xf>
    <xf numFmtId="165" fontId="2" fillId="6" borderId="91" xfId="0" applyNumberFormat="1" applyFont="1" applyFill="1" applyBorder="1" applyAlignment="1">
      <alignment horizontal="center" vertical="top"/>
    </xf>
    <xf numFmtId="0" fontId="2" fillId="0" borderId="107" xfId="0" applyFont="1" applyBorder="1" applyAlignment="1">
      <alignment vertical="top"/>
    </xf>
    <xf numFmtId="0" fontId="2" fillId="6" borderId="31" xfId="0" applyFont="1" applyFill="1" applyBorder="1" applyAlignment="1">
      <alignment horizontal="center" vertical="top" wrapText="1"/>
    </xf>
    <xf numFmtId="165" fontId="2" fillId="0" borderId="101" xfId="0" applyNumberFormat="1" applyFont="1" applyFill="1" applyBorder="1" applyAlignment="1">
      <alignment horizontal="center" vertical="top"/>
    </xf>
    <xf numFmtId="0" fontId="2" fillId="6" borderId="74" xfId="0" applyFont="1" applyFill="1" applyBorder="1" applyAlignment="1">
      <alignment horizontal="center" vertical="top"/>
    </xf>
    <xf numFmtId="0" fontId="2" fillId="6" borderId="8" xfId="0" applyFont="1" applyFill="1" applyBorder="1" applyAlignment="1">
      <alignment horizontal="center" vertical="center"/>
    </xf>
    <xf numFmtId="0" fontId="2" fillId="6" borderId="73" xfId="0" applyFont="1" applyFill="1" applyBorder="1" applyAlignment="1">
      <alignment horizontal="center" vertical="top"/>
    </xf>
    <xf numFmtId="164" fontId="2" fillId="6" borderId="90" xfId="0" applyNumberFormat="1" applyFont="1" applyFill="1" applyBorder="1" applyAlignment="1">
      <alignment horizontal="center" vertical="top"/>
    </xf>
    <xf numFmtId="164" fontId="2" fillId="6" borderId="63" xfId="0" applyNumberFormat="1" applyFont="1" applyFill="1" applyBorder="1" applyAlignment="1">
      <alignment horizontal="center" vertical="top"/>
    </xf>
    <xf numFmtId="164" fontId="2" fillId="6" borderId="65" xfId="0" applyNumberFormat="1" applyFont="1" applyFill="1" applyBorder="1" applyAlignment="1">
      <alignment horizontal="center" vertical="top"/>
    </xf>
    <xf numFmtId="0" fontId="2" fillId="6" borderId="17" xfId="0" applyFont="1" applyFill="1" applyBorder="1" applyAlignment="1">
      <alignment horizontal="center" vertical="top" wrapText="1"/>
    </xf>
    <xf numFmtId="165" fontId="2" fillId="0" borderId="12" xfId="0" applyNumberFormat="1" applyFont="1" applyFill="1" applyBorder="1" applyAlignment="1">
      <alignment horizontal="center" vertical="top"/>
    </xf>
    <xf numFmtId="165" fontId="2" fillId="0" borderId="2" xfId="0" applyNumberFormat="1" applyFont="1" applyFill="1" applyBorder="1" applyAlignment="1">
      <alignment horizontal="center" vertical="top"/>
    </xf>
    <xf numFmtId="165" fontId="2" fillId="0" borderId="34" xfId="0" applyNumberFormat="1" applyFont="1" applyFill="1" applyBorder="1" applyAlignment="1">
      <alignment horizontal="center" vertical="top"/>
    </xf>
    <xf numFmtId="165" fontId="2" fillId="0" borderId="9" xfId="0" applyNumberFormat="1" applyFont="1" applyFill="1" applyBorder="1" applyAlignment="1">
      <alignment horizontal="center" vertical="top"/>
    </xf>
    <xf numFmtId="165" fontId="2" fillId="0" borderId="13" xfId="0" applyNumberFormat="1" applyFont="1" applyFill="1" applyBorder="1" applyAlignment="1">
      <alignment horizontal="center" vertical="top"/>
    </xf>
    <xf numFmtId="165" fontId="2" fillId="0" borderId="0" xfId="0" applyNumberFormat="1" applyFont="1" applyFill="1" applyBorder="1" applyAlignment="1">
      <alignment horizontal="center" vertical="top"/>
    </xf>
    <xf numFmtId="165" fontId="2" fillId="0" borderId="40" xfId="0" applyNumberFormat="1" applyFont="1" applyFill="1" applyBorder="1" applyAlignment="1">
      <alignment horizontal="center" vertical="top"/>
    </xf>
    <xf numFmtId="0" fontId="2" fillId="0" borderId="94" xfId="0" applyFont="1" applyFill="1" applyBorder="1" applyAlignment="1">
      <alignment horizontal="center" vertical="top" wrapText="1"/>
    </xf>
    <xf numFmtId="164" fontId="2" fillId="6" borderId="17" xfId="0" applyNumberFormat="1" applyFont="1" applyFill="1" applyBorder="1" applyAlignment="1">
      <alignment horizontal="center" vertical="top" wrapText="1"/>
    </xf>
    <xf numFmtId="164" fontId="2" fillId="6" borderId="12" xfId="0" applyNumberFormat="1" applyFont="1" applyFill="1" applyBorder="1" applyAlignment="1">
      <alignment horizontal="center" vertical="top" wrapText="1"/>
    </xf>
    <xf numFmtId="164" fontId="2" fillId="6" borderId="2" xfId="0" applyNumberFormat="1" applyFont="1" applyFill="1" applyBorder="1" applyAlignment="1">
      <alignment horizontal="center" vertical="top" wrapText="1"/>
    </xf>
    <xf numFmtId="164" fontId="2" fillId="6" borderId="29" xfId="0" applyNumberFormat="1" applyFont="1" applyFill="1" applyBorder="1" applyAlignment="1">
      <alignment horizontal="center" vertical="top" wrapText="1"/>
    </xf>
    <xf numFmtId="3" fontId="29" fillId="6" borderId="5" xfId="0" applyNumberFormat="1" applyFont="1" applyFill="1" applyBorder="1" applyAlignment="1">
      <alignment horizontal="center" vertical="top"/>
    </xf>
    <xf numFmtId="165" fontId="29" fillId="6" borderId="8" xfId="0" applyNumberFormat="1" applyFont="1" applyFill="1" applyBorder="1" applyAlignment="1">
      <alignment horizontal="center" vertical="top"/>
    </xf>
    <xf numFmtId="165" fontId="29" fillId="6" borderId="9" xfId="0" applyNumberFormat="1" applyFont="1" applyFill="1" applyBorder="1" applyAlignment="1">
      <alignment horizontal="center" vertical="top"/>
    </xf>
    <xf numFmtId="165" fontId="29" fillId="6" borderId="13" xfId="0" applyNumberFormat="1" applyFont="1" applyFill="1" applyBorder="1" applyAlignment="1">
      <alignment horizontal="center" vertical="top"/>
    </xf>
    <xf numFmtId="0" fontId="29" fillId="6" borderId="5" xfId="0" applyFont="1" applyFill="1" applyBorder="1" applyAlignment="1">
      <alignment horizontal="center" vertical="top" wrapText="1"/>
    </xf>
    <xf numFmtId="165" fontId="29" fillId="6" borderId="5" xfId="0" applyNumberFormat="1" applyFont="1" applyFill="1" applyBorder="1" applyAlignment="1">
      <alignment horizontal="center" vertical="top"/>
    </xf>
    <xf numFmtId="165" fontId="29" fillId="6" borderId="36" xfId="0" applyNumberFormat="1" applyFont="1" applyFill="1" applyBorder="1" applyAlignment="1">
      <alignment horizontal="center" vertical="top"/>
    </xf>
    <xf numFmtId="165" fontId="29" fillId="6" borderId="103" xfId="0" applyNumberFormat="1" applyFont="1" applyFill="1" applyBorder="1" applyAlignment="1">
      <alignment horizontal="center" vertical="top"/>
    </xf>
    <xf numFmtId="165" fontId="29" fillId="6" borderId="43" xfId="0" applyNumberFormat="1" applyFont="1" applyFill="1" applyBorder="1" applyAlignment="1">
      <alignment horizontal="center" vertical="top"/>
    </xf>
    <xf numFmtId="3" fontId="29" fillId="6" borderId="102" xfId="0" applyNumberFormat="1" applyFont="1" applyFill="1" applyBorder="1" applyAlignment="1">
      <alignment horizontal="center" vertical="top"/>
    </xf>
    <xf numFmtId="164" fontId="29" fillId="12" borderId="102" xfId="0" applyNumberFormat="1" applyFont="1" applyFill="1" applyBorder="1" applyAlignment="1">
      <alignment horizontal="center" vertical="top"/>
    </xf>
    <xf numFmtId="164" fontId="29" fillId="12" borderId="66" xfId="0" applyNumberFormat="1" applyFont="1" applyFill="1" applyBorder="1" applyAlignment="1">
      <alignment horizontal="center" vertical="top"/>
    </xf>
    <xf numFmtId="164" fontId="29" fillId="12" borderId="25" xfId="0" applyNumberFormat="1" applyFont="1" applyFill="1" applyBorder="1" applyAlignment="1">
      <alignment horizontal="center" vertical="top"/>
    </xf>
    <xf numFmtId="164" fontId="29" fillId="12" borderId="67" xfId="0" applyNumberFormat="1" applyFont="1" applyFill="1" applyBorder="1" applyAlignment="1">
      <alignment horizontal="center" vertical="top"/>
    </xf>
    <xf numFmtId="164" fontId="2" fillId="6" borderId="68" xfId="0" applyNumberFormat="1" applyFont="1" applyFill="1" applyBorder="1" applyAlignment="1">
      <alignment horizontal="center" vertical="top" wrapText="1"/>
    </xf>
    <xf numFmtId="0" fontId="2" fillId="6" borderId="73" xfId="1" applyFont="1" applyFill="1" applyBorder="1" applyAlignment="1">
      <alignment vertical="top" wrapText="1"/>
    </xf>
    <xf numFmtId="0" fontId="30" fillId="0" borderId="0" xfId="0" applyFont="1" applyBorder="1" applyAlignment="1">
      <alignment vertical="top"/>
    </xf>
    <xf numFmtId="49" fontId="2" fillId="6" borderId="24" xfId="0" applyNumberFormat="1" applyFont="1" applyFill="1" applyBorder="1" applyAlignment="1">
      <alignment horizontal="center" vertical="top" wrapText="1"/>
    </xf>
    <xf numFmtId="0" fontId="4" fillId="6" borderId="16" xfId="0" applyFont="1" applyFill="1" applyBorder="1" applyAlignment="1">
      <alignment horizontal="center" vertical="top" wrapText="1"/>
    </xf>
    <xf numFmtId="0" fontId="4" fillId="6" borderId="13" xfId="0" applyFont="1" applyFill="1" applyBorder="1" applyAlignment="1">
      <alignment horizontal="center" vertical="top" wrapText="1"/>
    </xf>
    <xf numFmtId="0" fontId="2" fillId="6" borderId="13" xfId="0" applyFont="1" applyFill="1" applyBorder="1" applyAlignment="1">
      <alignment horizontal="left" vertical="top" wrapText="1"/>
    </xf>
    <xf numFmtId="49" fontId="4" fillId="6" borderId="25" xfId="0" applyNumberFormat="1" applyFont="1" applyFill="1" applyBorder="1" applyAlignment="1">
      <alignment horizontal="center" vertical="top"/>
    </xf>
    <xf numFmtId="49" fontId="4" fillId="10" borderId="9" xfId="0" applyNumberFormat="1" applyFont="1" applyFill="1" applyBorder="1" applyAlignment="1">
      <alignment horizontal="center" vertical="top"/>
    </xf>
    <xf numFmtId="49" fontId="4" fillId="3" borderId="13" xfId="0" applyNumberFormat="1" applyFont="1" applyFill="1" applyBorder="1" applyAlignment="1">
      <alignment horizontal="center" vertical="top"/>
    </xf>
    <xf numFmtId="49" fontId="4" fillId="6" borderId="13" xfId="0" applyNumberFormat="1" applyFont="1" applyFill="1" applyBorder="1" applyAlignment="1">
      <alignment horizontal="center" vertical="top"/>
    </xf>
    <xf numFmtId="0" fontId="2" fillId="6" borderId="25" xfId="0" applyFont="1" applyFill="1" applyBorder="1" applyAlignment="1">
      <alignment horizontal="center" vertical="center" textRotation="90" wrapText="1"/>
    </xf>
    <xf numFmtId="0" fontId="2" fillId="6" borderId="5" xfId="1" applyFont="1" applyFill="1" applyBorder="1" applyAlignment="1">
      <alignment vertical="top" wrapText="1"/>
    </xf>
    <xf numFmtId="49" fontId="2" fillId="6" borderId="14" xfId="0" applyNumberFormat="1" applyFont="1" applyFill="1" applyBorder="1" applyAlignment="1">
      <alignment horizontal="center" vertical="top" wrapText="1"/>
    </xf>
    <xf numFmtId="0" fontId="2" fillId="6" borderId="8" xfId="1" applyFont="1" applyFill="1" applyBorder="1" applyAlignment="1">
      <alignment vertical="top" wrapText="1"/>
    </xf>
    <xf numFmtId="0" fontId="2" fillId="6" borderId="18" xfId="1" applyFont="1" applyFill="1" applyBorder="1" applyAlignment="1">
      <alignment vertical="top" wrapText="1"/>
    </xf>
    <xf numFmtId="0" fontId="2" fillId="6" borderId="68" xfId="0" applyNumberFormat="1" applyFont="1" applyFill="1" applyBorder="1" applyAlignment="1">
      <alignment horizontal="center" vertical="top"/>
    </xf>
    <xf numFmtId="0" fontId="2" fillId="6" borderId="9" xfId="0" applyNumberFormat="1" applyFont="1" applyFill="1" applyBorder="1" applyAlignment="1">
      <alignment horizontal="center" vertical="top"/>
    </xf>
    <xf numFmtId="3" fontId="2" fillId="6" borderId="0" xfId="0" applyNumberFormat="1" applyFont="1" applyFill="1" applyBorder="1" applyAlignment="1">
      <alignment horizontal="center" vertical="top"/>
    </xf>
    <xf numFmtId="0" fontId="2" fillId="6" borderId="25" xfId="0" applyFont="1" applyFill="1" applyBorder="1" applyAlignment="1">
      <alignment vertical="center" textRotation="90" wrapText="1"/>
    </xf>
    <xf numFmtId="0" fontId="2" fillId="6" borderId="13" xfId="0" applyFont="1" applyFill="1" applyBorder="1" applyAlignment="1">
      <alignment horizontal="left" vertical="top" wrapText="1"/>
    </xf>
    <xf numFmtId="0" fontId="6" fillId="6" borderId="13" xfId="0" applyFont="1" applyFill="1" applyBorder="1" applyAlignment="1">
      <alignment vertical="top" wrapText="1"/>
    </xf>
    <xf numFmtId="0" fontId="2" fillId="6" borderId="13" xfId="0" applyFont="1" applyFill="1" applyBorder="1" applyAlignment="1">
      <alignment horizontal="center" vertical="center" textRotation="90" wrapText="1"/>
    </xf>
    <xf numFmtId="0" fontId="2" fillId="6" borderId="73" xfId="0" applyFont="1" applyFill="1" applyBorder="1" applyAlignment="1">
      <alignment vertical="top" wrapText="1"/>
    </xf>
    <xf numFmtId="0" fontId="2" fillId="6" borderId="73" xfId="0" applyFont="1" applyFill="1" applyBorder="1" applyAlignment="1">
      <alignment horizontal="left" vertical="top" wrapText="1"/>
    </xf>
    <xf numFmtId="49" fontId="4" fillId="10" borderId="9" xfId="0" applyNumberFormat="1" applyFont="1" applyFill="1" applyBorder="1" applyAlignment="1">
      <alignment horizontal="center" vertical="top"/>
    </xf>
    <xf numFmtId="49" fontId="2" fillId="6" borderId="44" xfId="0" applyNumberFormat="1" applyFont="1" applyFill="1" applyBorder="1" applyAlignment="1">
      <alignment horizontal="center" vertical="top" wrapText="1"/>
    </xf>
    <xf numFmtId="49" fontId="4" fillId="3" borderId="41" xfId="0" applyNumberFormat="1" applyFont="1" applyFill="1" applyBorder="1" applyAlignment="1">
      <alignment horizontal="center" vertical="top"/>
    </xf>
    <xf numFmtId="0" fontId="6" fillId="6" borderId="13" xfId="0" applyFont="1" applyFill="1" applyBorder="1" applyAlignment="1">
      <alignment horizontal="left" vertical="top" wrapText="1"/>
    </xf>
    <xf numFmtId="0" fontId="2" fillId="6" borderId="13" xfId="0" applyFont="1" applyFill="1" applyBorder="1" applyAlignment="1">
      <alignment horizontal="center" vertical="center" textRotation="90" wrapText="1"/>
    </xf>
    <xf numFmtId="0" fontId="4" fillId="6" borderId="20" xfId="0" applyFont="1" applyFill="1" applyBorder="1" applyAlignment="1">
      <alignment horizontal="center" vertical="top" wrapText="1"/>
    </xf>
    <xf numFmtId="0" fontId="4" fillId="6" borderId="25" xfId="0" applyFont="1" applyFill="1" applyBorder="1" applyAlignment="1">
      <alignment horizontal="center" vertical="top" wrapText="1"/>
    </xf>
    <xf numFmtId="0" fontId="15" fillId="6" borderId="101" xfId="0" applyFont="1" applyFill="1" applyBorder="1" applyAlignment="1">
      <alignment horizontal="center" vertical="top"/>
    </xf>
    <xf numFmtId="165" fontId="2" fillId="6" borderId="69" xfId="0" applyNumberFormat="1" applyFont="1" applyFill="1" applyBorder="1" applyAlignment="1">
      <alignment horizontal="center" vertical="top" wrapText="1"/>
    </xf>
    <xf numFmtId="165" fontId="2" fillId="6" borderId="61" xfId="0" applyNumberFormat="1" applyFont="1" applyFill="1" applyBorder="1" applyAlignment="1">
      <alignment horizontal="center" vertical="top" wrapText="1"/>
    </xf>
    <xf numFmtId="0" fontId="4" fillId="6" borderId="16" xfId="0" applyFont="1" applyFill="1" applyBorder="1" applyAlignment="1">
      <alignment horizontal="center" vertical="top"/>
    </xf>
    <xf numFmtId="3" fontId="4" fillId="6" borderId="13" xfId="0" applyNumberFormat="1" applyFont="1" applyFill="1" applyBorder="1" applyAlignment="1">
      <alignment horizontal="center" vertical="top"/>
    </xf>
    <xf numFmtId="0" fontId="4" fillId="6" borderId="0" xfId="0" applyNumberFormat="1" applyFont="1" applyFill="1" applyAlignment="1">
      <alignment horizontal="center" vertical="top"/>
    </xf>
    <xf numFmtId="0" fontId="4" fillId="6" borderId="13" xfId="0" applyFont="1" applyFill="1" applyBorder="1" applyAlignment="1">
      <alignment horizontal="center" vertical="center"/>
    </xf>
    <xf numFmtId="0" fontId="2" fillId="6" borderId="23" xfId="0" applyFont="1" applyFill="1" applyBorder="1" applyAlignment="1">
      <alignment horizontal="center" vertical="center" textRotation="90" wrapText="1"/>
    </xf>
    <xf numFmtId="0" fontId="4" fillId="6" borderId="103" xfId="0" applyFont="1" applyFill="1" applyBorder="1" applyAlignment="1">
      <alignment horizontal="center" vertical="center" wrapText="1"/>
    </xf>
    <xf numFmtId="0" fontId="4" fillId="6" borderId="2" xfId="0" applyFont="1" applyFill="1" applyBorder="1" applyAlignment="1">
      <alignment horizontal="center" vertical="top" wrapText="1"/>
    </xf>
    <xf numFmtId="0" fontId="4" fillId="0" borderId="25" xfId="0" applyFont="1" applyFill="1" applyBorder="1" applyAlignment="1">
      <alignment horizontal="center" vertical="top" wrapText="1"/>
    </xf>
    <xf numFmtId="0" fontId="4" fillId="6" borderId="16" xfId="0" applyFont="1" applyFill="1" applyBorder="1" applyAlignment="1">
      <alignment horizontal="center" vertical="top" wrapText="1"/>
    </xf>
    <xf numFmtId="0" fontId="4" fillId="6" borderId="13" xfId="0" applyFont="1" applyFill="1" applyBorder="1" applyAlignment="1">
      <alignment horizontal="center" vertical="top" wrapText="1"/>
    </xf>
    <xf numFmtId="0" fontId="4" fillId="6" borderId="25" xfId="0" applyFont="1" applyFill="1" applyBorder="1" applyAlignment="1">
      <alignment horizontal="center" vertical="top" wrapText="1"/>
    </xf>
    <xf numFmtId="0" fontId="4" fillId="6" borderId="25" xfId="0" applyFont="1" applyFill="1" applyBorder="1" applyAlignment="1">
      <alignment horizontal="center" vertical="top" wrapText="1"/>
    </xf>
    <xf numFmtId="0" fontId="2" fillId="0" borderId="0" xfId="0" applyFont="1" applyBorder="1" applyAlignment="1">
      <alignment vertical="top" wrapText="1"/>
    </xf>
    <xf numFmtId="49" fontId="2" fillId="6" borderId="13" xfId="0" applyNumberFormat="1" applyFont="1" applyFill="1" applyBorder="1" applyAlignment="1">
      <alignment horizontal="center" vertical="center" textRotation="90"/>
    </xf>
    <xf numFmtId="49" fontId="4" fillId="3" borderId="41" xfId="0" applyNumberFormat="1" applyFont="1" applyFill="1" applyBorder="1" applyAlignment="1">
      <alignment horizontal="center" vertical="top"/>
    </xf>
    <xf numFmtId="0" fontId="2" fillId="6" borderId="16" xfId="0" applyFont="1" applyFill="1" applyBorder="1" applyAlignment="1">
      <alignment horizontal="center" vertical="center" textRotation="90" wrapText="1"/>
    </xf>
    <xf numFmtId="165" fontId="2" fillId="6" borderId="110" xfId="0" applyNumberFormat="1" applyFont="1" applyFill="1" applyBorder="1" applyAlignment="1">
      <alignment horizontal="center" vertical="top"/>
    </xf>
    <xf numFmtId="49" fontId="4" fillId="6" borderId="77" xfId="0" applyNumberFormat="1" applyFont="1" applyFill="1" applyBorder="1" applyAlignment="1">
      <alignment horizontal="center" vertical="top" wrapText="1"/>
    </xf>
    <xf numFmtId="0" fontId="4" fillId="6" borderId="96" xfId="0" applyFont="1" applyFill="1" applyBorder="1" applyAlignment="1">
      <alignment horizontal="center" vertical="top" wrapText="1"/>
    </xf>
    <xf numFmtId="0" fontId="2" fillId="6" borderId="36" xfId="0" applyNumberFormat="1" applyFont="1" applyFill="1" applyBorder="1" applyAlignment="1">
      <alignment horizontal="center" vertical="top" wrapText="1"/>
    </xf>
    <xf numFmtId="49" fontId="4" fillId="6" borderId="13" xfId="0" applyNumberFormat="1" applyFont="1" applyFill="1" applyBorder="1" applyAlignment="1">
      <alignment horizontal="center" vertical="top"/>
    </xf>
    <xf numFmtId="49" fontId="4" fillId="3" borderId="41" xfId="0" applyNumberFormat="1" applyFont="1" applyFill="1" applyBorder="1" applyAlignment="1">
      <alignment horizontal="center" vertical="top"/>
    </xf>
    <xf numFmtId="0" fontId="4" fillId="6" borderId="13" xfId="0" applyFont="1" applyFill="1" applyBorder="1" applyAlignment="1">
      <alignment horizontal="center" vertical="top" wrapText="1"/>
    </xf>
    <xf numFmtId="165" fontId="4" fillId="8" borderId="106" xfId="0" applyNumberFormat="1" applyFont="1" applyFill="1" applyBorder="1" applyAlignment="1">
      <alignment horizontal="center" vertical="top"/>
    </xf>
    <xf numFmtId="165" fontId="2" fillId="6" borderId="46" xfId="0" applyNumberFormat="1" applyFont="1" applyFill="1" applyBorder="1" applyAlignment="1">
      <alignment horizontal="center" vertical="top"/>
    </xf>
    <xf numFmtId="0" fontId="2" fillId="6" borderId="18" xfId="0" applyFont="1" applyFill="1" applyBorder="1" applyAlignment="1">
      <alignment horizontal="center" vertical="top" wrapText="1"/>
    </xf>
    <xf numFmtId="165" fontId="2" fillId="6" borderId="5" xfId="0" applyNumberFormat="1" applyFont="1" applyFill="1" applyBorder="1" applyAlignment="1">
      <alignment horizontal="center" vertical="top"/>
    </xf>
    <xf numFmtId="165" fontId="2" fillId="6" borderId="9" xfId="0" applyNumberFormat="1" applyFont="1" applyFill="1" applyBorder="1" applyAlignment="1">
      <alignment horizontal="center" vertical="top"/>
    </xf>
    <xf numFmtId="165" fontId="2" fillId="6" borderId="64" xfId="0" applyNumberFormat="1" applyFont="1" applyFill="1" applyBorder="1" applyAlignment="1">
      <alignment horizontal="center" vertical="top"/>
    </xf>
    <xf numFmtId="165" fontId="2" fillId="6" borderId="103" xfId="0" applyNumberFormat="1" applyFont="1" applyFill="1" applyBorder="1" applyAlignment="1">
      <alignment horizontal="center" vertical="top"/>
    </xf>
    <xf numFmtId="164" fontId="2" fillId="6" borderId="13" xfId="0" applyNumberFormat="1" applyFont="1" applyFill="1" applyBorder="1" applyAlignment="1">
      <alignment horizontal="center" vertical="top"/>
    </xf>
    <xf numFmtId="49" fontId="2" fillId="6" borderId="44" xfId="0" applyNumberFormat="1" applyFont="1" applyFill="1" applyBorder="1" applyAlignment="1">
      <alignment horizontal="center" vertical="top" wrapText="1"/>
    </xf>
    <xf numFmtId="49" fontId="4" fillId="8" borderId="13" xfId="0" applyNumberFormat="1" applyFont="1" applyFill="1" applyBorder="1" applyAlignment="1">
      <alignment horizontal="center" vertical="top" wrapText="1"/>
    </xf>
    <xf numFmtId="164" fontId="2" fillId="6" borderId="5" xfId="0" applyNumberFormat="1" applyFont="1" applyFill="1" applyBorder="1" applyAlignment="1">
      <alignment horizontal="center" vertical="top" wrapText="1"/>
    </xf>
    <xf numFmtId="164" fontId="2" fillId="6" borderId="48" xfId="0" applyNumberFormat="1" applyFont="1" applyFill="1" applyBorder="1" applyAlignment="1">
      <alignment horizontal="center" vertical="top" wrapText="1"/>
    </xf>
    <xf numFmtId="164" fontId="2" fillId="6" borderId="16" xfId="0" applyNumberFormat="1" applyFont="1" applyFill="1" applyBorder="1" applyAlignment="1">
      <alignment horizontal="center" vertical="top" wrapText="1"/>
    </xf>
    <xf numFmtId="164" fontId="2" fillId="6" borderId="33" xfId="0" applyNumberFormat="1" applyFont="1" applyFill="1" applyBorder="1" applyAlignment="1">
      <alignment horizontal="center" vertical="top" wrapText="1"/>
    </xf>
    <xf numFmtId="3" fontId="2" fillId="6" borderId="39" xfId="0" applyNumberFormat="1" applyFont="1" applyFill="1" applyBorder="1" applyAlignment="1">
      <alignment horizontal="center" vertical="top"/>
    </xf>
    <xf numFmtId="165" fontId="2" fillId="6" borderId="36" xfId="0" applyNumberFormat="1" applyFont="1" applyFill="1" applyBorder="1" applyAlignment="1">
      <alignment horizontal="center" vertical="top" wrapText="1"/>
    </xf>
    <xf numFmtId="165" fontId="2" fillId="6" borderId="16" xfId="0" applyNumberFormat="1" applyFont="1" applyFill="1" applyBorder="1" applyAlignment="1">
      <alignment horizontal="center" vertical="top" wrapText="1"/>
    </xf>
    <xf numFmtId="49" fontId="2" fillId="6" borderId="94" xfId="0" applyNumberFormat="1" applyFont="1" applyFill="1" applyBorder="1" applyAlignment="1">
      <alignment horizontal="center" vertical="center" wrapText="1"/>
    </xf>
    <xf numFmtId="165" fontId="2" fillId="6" borderId="2" xfId="0" applyNumberFormat="1" applyFont="1" applyFill="1" applyBorder="1" applyAlignment="1">
      <alignment horizontal="center" vertical="top"/>
    </xf>
    <xf numFmtId="3" fontId="2" fillId="6" borderId="33" xfId="0" applyNumberFormat="1" applyFont="1" applyFill="1" applyBorder="1" applyAlignment="1">
      <alignment horizontal="center" vertical="top"/>
    </xf>
    <xf numFmtId="0" fontId="4" fillId="6" borderId="16" xfId="0" applyFont="1" applyFill="1" applyBorder="1" applyAlignment="1">
      <alignment horizontal="center" vertical="top" wrapText="1"/>
    </xf>
    <xf numFmtId="0" fontId="4" fillId="6" borderId="13" xfId="0" applyFont="1" applyFill="1" applyBorder="1" applyAlignment="1">
      <alignment horizontal="center" vertical="top" wrapText="1"/>
    </xf>
    <xf numFmtId="0" fontId="2" fillId="6" borderId="46" xfId="0" applyFont="1" applyFill="1" applyBorder="1" applyAlignment="1">
      <alignment horizontal="center" vertical="top" wrapText="1"/>
    </xf>
    <xf numFmtId="0" fontId="2" fillId="6" borderId="43" xfId="0" applyFont="1" applyFill="1" applyBorder="1" applyAlignment="1">
      <alignment horizontal="center" vertical="top" wrapText="1"/>
    </xf>
    <xf numFmtId="165" fontId="2" fillId="6" borderId="18" xfId="0" applyNumberFormat="1" applyFont="1" applyFill="1" applyBorder="1" applyAlignment="1">
      <alignment vertical="top" wrapText="1"/>
    </xf>
    <xf numFmtId="165" fontId="2" fillId="6" borderId="22" xfId="0" applyNumberFormat="1" applyFont="1" applyFill="1" applyBorder="1" applyAlignment="1">
      <alignment vertical="top" wrapText="1"/>
    </xf>
    <xf numFmtId="165" fontId="2" fillId="6" borderId="24" xfId="0" applyNumberFormat="1" applyFont="1" applyFill="1" applyBorder="1" applyAlignment="1">
      <alignment vertical="top" wrapText="1"/>
    </xf>
    <xf numFmtId="3" fontId="2" fillId="6" borderId="8" xfId="0" applyNumberFormat="1" applyFont="1" applyFill="1" applyBorder="1" applyAlignment="1">
      <alignment vertical="top" wrapText="1"/>
    </xf>
    <xf numFmtId="0" fontId="2" fillId="6" borderId="73" xfId="0" applyNumberFormat="1" applyFont="1" applyFill="1" applyBorder="1" applyAlignment="1">
      <alignment horizontal="center" vertical="top" wrapText="1"/>
    </xf>
    <xf numFmtId="3" fontId="2" fillId="6" borderId="48" xfId="0" applyNumberFormat="1" applyFont="1" applyFill="1" applyBorder="1" applyAlignment="1">
      <alignment horizontal="center" vertical="top" wrapText="1"/>
    </xf>
    <xf numFmtId="3" fontId="2" fillId="6" borderId="5" xfId="0" applyNumberFormat="1" applyFont="1" applyFill="1" applyBorder="1" applyAlignment="1">
      <alignment vertical="top" wrapText="1"/>
    </xf>
    <xf numFmtId="3" fontId="2" fillId="6" borderId="94" xfId="0" applyNumberFormat="1" applyFont="1" applyFill="1" applyBorder="1" applyAlignment="1">
      <alignment horizontal="center" vertical="top"/>
    </xf>
    <xf numFmtId="165" fontId="29" fillId="6" borderId="30" xfId="0" applyNumberFormat="1" applyFont="1" applyFill="1" applyBorder="1" applyAlignment="1">
      <alignment horizontal="center" vertical="top"/>
    </xf>
    <xf numFmtId="0" fontId="2" fillId="6" borderId="16" xfId="0" applyNumberFormat="1" applyFont="1" applyFill="1" applyBorder="1" applyAlignment="1">
      <alignment horizontal="center" vertical="top" wrapText="1"/>
    </xf>
    <xf numFmtId="0" fontId="2" fillId="6" borderId="0" xfId="0" applyFont="1" applyFill="1" applyAlignment="1">
      <alignment vertical="top"/>
    </xf>
    <xf numFmtId="165" fontId="2" fillId="6" borderId="8" xfId="0" applyNumberFormat="1" applyFont="1" applyFill="1" applyBorder="1" applyAlignment="1">
      <alignment horizontal="left" vertical="top"/>
    </xf>
    <xf numFmtId="165" fontId="2" fillId="6" borderId="18" xfId="0" applyNumberFormat="1" applyFont="1" applyFill="1" applyBorder="1" applyAlignment="1">
      <alignment horizontal="left" vertical="top"/>
    </xf>
    <xf numFmtId="3" fontId="2" fillId="6" borderId="18" xfId="1" applyNumberFormat="1" applyFont="1" applyFill="1" applyBorder="1" applyAlignment="1">
      <alignment horizontal="center" vertical="top" wrapText="1"/>
    </xf>
    <xf numFmtId="3" fontId="2" fillId="6" borderId="8" xfId="1" applyNumberFormat="1" applyFont="1" applyFill="1" applyBorder="1" applyAlignment="1">
      <alignment horizontal="center" vertical="top" wrapText="1"/>
    </xf>
    <xf numFmtId="3" fontId="2" fillId="6" borderId="22" xfId="1" applyNumberFormat="1" applyFont="1" applyFill="1" applyBorder="1" applyAlignment="1">
      <alignment horizontal="center" vertical="top" wrapText="1"/>
    </xf>
    <xf numFmtId="3" fontId="2" fillId="6" borderId="13" xfId="1" applyNumberFormat="1" applyFont="1" applyFill="1" applyBorder="1" applyAlignment="1">
      <alignment horizontal="center" vertical="top" wrapText="1"/>
    </xf>
    <xf numFmtId="3" fontId="2" fillId="6" borderId="25" xfId="1" applyNumberFormat="1" applyFont="1" applyFill="1" applyBorder="1" applyAlignment="1">
      <alignment horizontal="center" vertical="top" wrapText="1"/>
    </xf>
    <xf numFmtId="3" fontId="2" fillId="6" borderId="24" xfId="1" applyNumberFormat="1" applyFont="1" applyFill="1" applyBorder="1" applyAlignment="1">
      <alignment horizontal="center" vertical="top" wrapText="1"/>
    </xf>
    <xf numFmtId="3" fontId="2" fillId="6" borderId="14" xfId="1" applyNumberFormat="1" applyFont="1" applyFill="1" applyBorder="1" applyAlignment="1">
      <alignment horizontal="center" vertical="top" wrapText="1"/>
    </xf>
    <xf numFmtId="0" fontId="2" fillId="6" borderId="73" xfId="0" applyFont="1" applyFill="1" applyBorder="1" applyAlignment="1">
      <alignment horizontal="left" vertical="top" wrapText="1"/>
    </xf>
    <xf numFmtId="0" fontId="2" fillId="6" borderId="25" xfId="0" applyFont="1" applyFill="1" applyBorder="1" applyAlignment="1">
      <alignment vertical="top" wrapText="1"/>
    </xf>
    <xf numFmtId="0" fontId="4" fillId="6" borderId="25" xfId="0" applyFont="1" applyFill="1" applyBorder="1" applyAlignment="1">
      <alignment horizontal="center" vertical="top" wrapText="1"/>
    </xf>
    <xf numFmtId="0" fontId="4" fillId="6" borderId="16" xfId="0" applyFont="1" applyFill="1" applyBorder="1" applyAlignment="1">
      <alignment horizontal="center" vertical="top" wrapText="1"/>
    </xf>
    <xf numFmtId="49" fontId="4" fillId="6" borderId="13" xfId="0" applyNumberFormat="1" applyFont="1" applyFill="1" applyBorder="1" applyAlignment="1">
      <alignment horizontal="center" vertical="top" wrapText="1"/>
    </xf>
    <xf numFmtId="3" fontId="2" fillId="6" borderId="102" xfId="0" applyNumberFormat="1" applyFont="1" applyFill="1" applyBorder="1" applyAlignment="1">
      <alignment horizontal="center" vertical="top" wrapText="1"/>
    </xf>
    <xf numFmtId="49" fontId="25" fillId="6" borderId="16" xfId="0" applyNumberFormat="1" applyFont="1" applyFill="1" applyBorder="1" applyAlignment="1">
      <alignment horizontal="center" vertical="top"/>
    </xf>
    <xf numFmtId="49" fontId="24" fillId="6" borderId="25" xfId="0" applyNumberFormat="1" applyFont="1" applyFill="1" applyBorder="1" applyAlignment="1">
      <alignment horizontal="center" vertical="top"/>
    </xf>
    <xf numFmtId="0" fontId="2" fillId="6" borderId="73" xfId="0" applyFont="1" applyFill="1" applyBorder="1" applyAlignment="1">
      <alignment horizontal="left" vertical="top" wrapText="1"/>
    </xf>
    <xf numFmtId="0" fontId="4" fillId="6" borderId="13" xfId="0" applyFont="1" applyFill="1" applyBorder="1" applyAlignment="1">
      <alignment horizontal="center" vertical="top" wrapText="1"/>
    </xf>
    <xf numFmtId="165" fontId="2" fillId="6" borderId="73" xfId="0" applyNumberFormat="1" applyFont="1" applyFill="1" applyBorder="1" applyAlignment="1">
      <alignment horizontal="left" vertical="top"/>
    </xf>
    <xf numFmtId="3" fontId="2" fillId="6" borderId="73" xfId="1" applyNumberFormat="1" applyFont="1" applyFill="1" applyBorder="1" applyAlignment="1">
      <alignment horizontal="center" vertical="top" wrapText="1"/>
    </xf>
    <xf numFmtId="3" fontId="2" fillId="6" borderId="68" xfId="1" applyNumberFormat="1" applyFont="1" applyFill="1" applyBorder="1" applyAlignment="1">
      <alignment horizontal="center" vertical="top" wrapText="1"/>
    </xf>
    <xf numFmtId="3" fontId="2" fillId="6" borderId="71" xfId="1" applyNumberFormat="1" applyFont="1" applyFill="1" applyBorder="1" applyAlignment="1">
      <alignment horizontal="center" vertical="top" wrapText="1"/>
    </xf>
    <xf numFmtId="0" fontId="2" fillId="6" borderId="72" xfId="0" applyNumberFormat="1" applyFont="1" applyFill="1" applyBorder="1" applyAlignment="1">
      <alignment horizontal="center" vertical="top" wrapText="1"/>
    </xf>
    <xf numFmtId="3" fontId="2" fillId="6" borderId="72" xfId="1" applyNumberFormat="1" applyFont="1" applyFill="1" applyBorder="1" applyAlignment="1">
      <alignment horizontal="center" vertical="top" wrapText="1"/>
    </xf>
    <xf numFmtId="0" fontId="2" fillId="6" borderId="70" xfId="0" applyFont="1" applyFill="1" applyBorder="1" applyAlignment="1">
      <alignment horizontal="center" vertical="center" textRotation="90"/>
    </xf>
    <xf numFmtId="49" fontId="2" fillId="6" borderId="43" xfId="0" applyNumberFormat="1" applyFont="1" applyFill="1" applyBorder="1" applyAlignment="1">
      <alignment horizontal="center" vertical="top" wrapText="1"/>
    </xf>
    <xf numFmtId="0" fontId="2" fillId="6" borderId="8" xfId="0" applyFont="1" applyFill="1" applyBorder="1" applyAlignment="1">
      <alignment vertical="top" wrapText="1"/>
    </xf>
    <xf numFmtId="49" fontId="2" fillId="6" borderId="14" xfId="0" applyNumberFormat="1" applyFont="1" applyFill="1" applyBorder="1" applyAlignment="1">
      <alignment horizontal="center" vertical="top" wrapText="1"/>
    </xf>
    <xf numFmtId="49" fontId="2" fillId="6" borderId="24" xfId="0" applyNumberFormat="1" applyFont="1" applyFill="1" applyBorder="1" applyAlignment="1">
      <alignment horizontal="center" vertical="top" wrapText="1"/>
    </xf>
    <xf numFmtId="0" fontId="2" fillId="6" borderId="5" xfId="0" applyFont="1" applyFill="1" applyBorder="1" applyAlignment="1">
      <alignment vertical="top" wrapText="1"/>
    </xf>
    <xf numFmtId="0" fontId="2" fillId="6" borderId="73" xfId="0" applyFont="1" applyFill="1" applyBorder="1" applyAlignment="1">
      <alignment vertical="top" wrapText="1"/>
    </xf>
    <xf numFmtId="0" fontId="2" fillId="0" borderId="0" xfId="0" applyFont="1" applyBorder="1" applyAlignment="1">
      <alignment horizontal="right" vertical="top"/>
    </xf>
    <xf numFmtId="0" fontId="3" fillId="0" borderId="0" xfId="0" applyFont="1" applyAlignment="1">
      <alignment horizontal="center" vertical="top"/>
    </xf>
    <xf numFmtId="164" fontId="2" fillId="6" borderId="62" xfId="0" applyNumberFormat="1" applyFont="1" applyFill="1" applyBorder="1" applyAlignment="1">
      <alignment horizontal="center" vertical="top"/>
    </xf>
    <xf numFmtId="164" fontId="2" fillId="6" borderId="0" xfId="0" applyNumberFormat="1" applyFont="1" applyFill="1" applyAlignment="1">
      <alignment horizontal="center" vertical="top"/>
    </xf>
    <xf numFmtId="3" fontId="4" fillId="6" borderId="25" xfId="0" applyNumberFormat="1" applyFont="1" applyFill="1" applyBorder="1" applyAlignment="1">
      <alignment horizontal="center" vertical="top" wrapText="1"/>
    </xf>
    <xf numFmtId="0" fontId="22" fillId="6" borderId="16" xfId="0" applyFont="1" applyFill="1" applyBorder="1" applyAlignment="1">
      <alignment vertical="top" wrapText="1"/>
    </xf>
    <xf numFmtId="0" fontId="2" fillId="6" borderId="5" xfId="0" applyFont="1" applyFill="1" applyBorder="1" applyAlignment="1">
      <alignment horizontal="center" vertical="center"/>
    </xf>
    <xf numFmtId="165" fontId="2" fillId="6" borderId="31" xfId="0" applyNumberFormat="1" applyFont="1" applyFill="1" applyBorder="1" applyAlignment="1">
      <alignment horizontal="center" vertical="top"/>
    </xf>
    <xf numFmtId="0" fontId="2" fillId="6" borderId="101" xfId="0" applyFont="1" applyFill="1" applyBorder="1" applyAlignment="1">
      <alignment horizontal="center" vertical="center"/>
    </xf>
    <xf numFmtId="0" fontId="2" fillId="6" borderId="98" xfId="0" applyFont="1" applyFill="1" applyBorder="1" applyAlignment="1">
      <alignment horizontal="center" vertical="center"/>
    </xf>
    <xf numFmtId="0" fontId="22" fillId="6" borderId="13" xfId="0" applyFont="1" applyFill="1" applyBorder="1" applyAlignment="1">
      <alignment vertical="top" wrapText="1"/>
    </xf>
    <xf numFmtId="0" fontId="2" fillId="6" borderId="73" xfId="0" applyFont="1" applyFill="1" applyBorder="1" applyAlignment="1">
      <alignment horizontal="center" vertical="center"/>
    </xf>
    <xf numFmtId="0" fontId="2" fillId="6" borderId="99" xfId="0" applyFont="1" applyFill="1" applyBorder="1" applyAlignment="1">
      <alignment horizontal="center" vertical="center"/>
    </xf>
    <xf numFmtId="0" fontId="22" fillId="6" borderId="25" xfId="0" applyFont="1" applyFill="1" applyBorder="1" applyAlignment="1">
      <alignment vertical="top" wrapText="1"/>
    </xf>
    <xf numFmtId="49" fontId="2" fillId="6" borderId="99" xfId="0" applyNumberFormat="1" applyFont="1" applyFill="1" applyBorder="1" applyAlignment="1">
      <alignment horizontal="center" vertical="top" wrapText="1"/>
    </xf>
    <xf numFmtId="0" fontId="4" fillId="6" borderId="13" xfId="0" applyFont="1" applyFill="1" applyBorder="1" applyAlignment="1">
      <alignment horizontal="center" vertical="top" wrapText="1"/>
    </xf>
    <xf numFmtId="0" fontId="2" fillId="6" borderId="73" xfId="0" applyFont="1" applyFill="1" applyBorder="1" applyAlignment="1">
      <alignment vertical="top" wrapText="1"/>
    </xf>
    <xf numFmtId="0" fontId="2" fillId="0" borderId="0" xfId="0" applyFont="1" applyBorder="1" applyAlignment="1">
      <alignment vertical="center"/>
    </xf>
    <xf numFmtId="49" fontId="2" fillId="6" borderId="72" xfId="0" applyNumberFormat="1" applyFont="1" applyFill="1" applyBorder="1" applyAlignment="1">
      <alignment horizontal="center" vertical="top" wrapText="1"/>
    </xf>
    <xf numFmtId="0" fontId="2" fillId="6" borderId="13" xfId="0" applyFont="1" applyFill="1" applyBorder="1" applyAlignment="1">
      <alignment horizontal="left" vertical="top" wrapText="1"/>
    </xf>
    <xf numFmtId="49" fontId="4" fillId="6" borderId="13" xfId="0" applyNumberFormat="1" applyFont="1" applyFill="1" applyBorder="1" applyAlignment="1">
      <alignment horizontal="center" vertical="top"/>
    </xf>
    <xf numFmtId="49" fontId="2" fillId="6" borderId="14" xfId="0" applyNumberFormat="1" applyFont="1" applyFill="1" applyBorder="1" applyAlignment="1">
      <alignment horizontal="center" vertical="top" wrapText="1"/>
    </xf>
    <xf numFmtId="0" fontId="2" fillId="6" borderId="13" xfId="0" applyFont="1" applyFill="1" applyBorder="1" applyAlignment="1">
      <alignment horizontal="center" vertical="center" textRotation="90" wrapText="1"/>
    </xf>
    <xf numFmtId="0" fontId="2" fillId="6" borderId="73" xfId="0" applyFont="1" applyFill="1" applyBorder="1" applyAlignment="1">
      <alignment vertical="top" wrapText="1"/>
    </xf>
    <xf numFmtId="0" fontId="2" fillId="6" borderId="5" xfId="0" applyFont="1" applyFill="1" applyBorder="1" applyAlignment="1">
      <alignment horizontal="left" vertical="top" wrapText="1"/>
    </xf>
    <xf numFmtId="0" fontId="2" fillId="6" borderId="18" xfId="0" applyFont="1" applyFill="1" applyBorder="1" applyAlignment="1">
      <alignment horizontal="left" vertical="top" wrapText="1"/>
    </xf>
    <xf numFmtId="49" fontId="2" fillId="6" borderId="44" xfId="0" applyNumberFormat="1" applyFont="1" applyFill="1" applyBorder="1" applyAlignment="1">
      <alignment horizontal="center" vertical="top" wrapText="1"/>
    </xf>
    <xf numFmtId="0" fontId="4" fillId="6" borderId="25" xfId="0" applyFont="1" applyFill="1" applyBorder="1" applyAlignment="1">
      <alignment horizontal="center" vertical="top" wrapText="1"/>
    </xf>
    <xf numFmtId="49" fontId="4" fillId="8" borderId="13" xfId="0" applyNumberFormat="1" applyFont="1" applyFill="1" applyBorder="1" applyAlignment="1">
      <alignment horizontal="center" vertical="top" wrapText="1"/>
    </xf>
    <xf numFmtId="0" fontId="4" fillId="6" borderId="13" xfId="0" applyFont="1" applyFill="1" applyBorder="1" applyAlignment="1">
      <alignment horizontal="center" vertical="top" wrapText="1"/>
    </xf>
    <xf numFmtId="49" fontId="4" fillId="6" borderId="16" xfId="0" applyNumberFormat="1" applyFont="1" applyFill="1" applyBorder="1" applyAlignment="1">
      <alignment horizontal="center" vertical="top" wrapText="1"/>
    </xf>
    <xf numFmtId="49" fontId="4" fillId="6" borderId="25" xfId="0" applyNumberFormat="1" applyFont="1" applyFill="1" applyBorder="1" applyAlignment="1">
      <alignment horizontal="center" vertical="top" wrapText="1"/>
    </xf>
    <xf numFmtId="49" fontId="4" fillId="6" borderId="19" xfId="0" applyNumberFormat="1" applyFont="1" applyFill="1" applyBorder="1" applyAlignment="1">
      <alignment horizontal="center" vertical="top" wrapText="1"/>
    </xf>
    <xf numFmtId="0" fontId="2" fillId="6" borderId="19" xfId="0" applyFont="1" applyFill="1" applyBorder="1" applyAlignment="1">
      <alignment vertical="top" wrapText="1"/>
    </xf>
    <xf numFmtId="0" fontId="4" fillId="6" borderId="19" xfId="0" applyFont="1" applyFill="1" applyBorder="1" applyAlignment="1">
      <alignment horizontal="center" vertical="top" wrapText="1"/>
    </xf>
    <xf numFmtId="49" fontId="2" fillId="6" borderId="106" xfId="0" applyNumberFormat="1" applyFont="1" applyFill="1" applyBorder="1" applyAlignment="1">
      <alignment horizontal="center" vertical="top" wrapText="1"/>
    </xf>
    <xf numFmtId="3" fontId="2" fillId="6" borderId="27" xfId="0" applyNumberFormat="1" applyFont="1" applyFill="1" applyBorder="1" applyAlignment="1">
      <alignment horizontal="center" vertical="top"/>
    </xf>
    <xf numFmtId="3" fontId="2" fillId="6" borderId="10" xfId="0" applyNumberFormat="1" applyFont="1" applyFill="1" applyBorder="1" applyAlignment="1">
      <alignment horizontal="center" vertical="top"/>
    </xf>
    <xf numFmtId="3" fontId="2" fillId="6" borderId="19" xfId="0" applyNumberFormat="1" applyFont="1" applyFill="1" applyBorder="1" applyAlignment="1">
      <alignment horizontal="center" vertical="top"/>
    </xf>
    <xf numFmtId="3" fontId="2" fillId="6" borderId="111" xfId="0" applyNumberFormat="1" applyFont="1" applyFill="1" applyBorder="1" applyAlignment="1">
      <alignment horizontal="center" vertical="top"/>
    </xf>
    <xf numFmtId="3" fontId="2" fillId="6" borderId="72" xfId="0" applyNumberFormat="1" applyFont="1" applyFill="1" applyBorder="1" applyAlignment="1">
      <alignment horizontal="center" vertical="top"/>
    </xf>
    <xf numFmtId="165" fontId="2" fillId="0" borderId="66" xfId="0" applyNumberFormat="1" applyFont="1" applyFill="1" applyBorder="1" applyAlignment="1">
      <alignment horizontal="center" vertical="top"/>
    </xf>
    <xf numFmtId="165" fontId="2" fillId="0" borderId="104" xfId="0" applyNumberFormat="1" applyFont="1" applyFill="1" applyBorder="1" applyAlignment="1">
      <alignment horizontal="center" vertical="top"/>
    </xf>
    <xf numFmtId="165" fontId="2" fillId="0" borderId="89" xfId="0" applyNumberFormat="1" applyFont="1" applyFill="1" applyBorder="1" applyAlignment="1">
      <alignment horizontal="center" vertical="top"/>
    </xf>
    <xf numFmtId="49" fontId="4" fillId="10" borderId="9" xfId="0" applyNumberFormat="1" applyFont="1" applyFill="1" applyBorder="1" applyAlignment="1">
      <alignment horizontal="center" vertical="top"/>
    </xf>
    <xf numFmtId="49" fontId="4" fillId="6" borderId="13" xfId="0" applyNumberFormat="1" applyFont="1" applyFill="1" applyBorder="1" applyAlignment="1">
      <alignment horizontal="center" vertical="top"/>
    </xf>
    <xf numFmtId="49" fontId="4" fillId="3" borderId="41" xfId="0" applyNumberFormat="1" applyFont="1" applyFill="1" applyBorder="1" applyAlignment="1">
      <alignment horizontal="center" vertical="top"/>
    </xf>
    <xf numFmtId="49" fontId="4" fillId="8" borderId="13" xfId="0" applyNumberFormat="1" applyFont="1" applyFill="1" applyBorder="1" applyAlignment="1">
      <alignment horizontal="center" vertical="top"/>
    </xf>
    <xf numFmtId="49" fontId="4" fillId="6" borderId="24" xfId="0" applyNumberFormat="1" applyFont="1" applyFill="1" applyBorder="1" applyAlignment="1">
      <alignment horizontal="center" vertical="top"/>
    </xf>
    <xf numFmtId="49" fontId="2" fillId="6" borderId="112" xfId="0" applyNumberFormat="1" applyFont="1" applyFill="1" applyBorder="1" applyAlignment="1">
      <alignment vertical="center" wrapText="1"/>
    </xf>
    <xf numFmtId="49" fontId="2" fillId="6" borderId="14" xfId="0" applyNumberFormat="1" applyFont="1" applyFill="1" applyBorder="1" applyAlignment="1">
      <alignment vertical="center" wrapText="1"/>
    </xf>
    <xf numFmtId="49" fontId="2" fillId="6" borderId="14" xfId="0" applyNumberFormat="1" applyFont="1" applyFill="1" applyBorder="1" applyAlignment="1">
      <alignment horizontal="center" vertical="center" wrapText="1"/>
    </xf>
    <xf numFmtId="49" fontId="4" fillId="3" borderId="41" xfId="0" applyNumberFormat="1" applyFont="1" applyFill="1" applyBorder="1" applyAlignment="1">
      <alignment horizontal="center" vertical="top"/>
    </xf>
    <xf numFmtId="0" fontId="6" fillId="6" borderId="13" xfId="0" applyFont="1" applyFill="1" applyBorder="1" applyAlignment="1">
      <alignment vertical="top" wrapText="1"/>
    </xf>
    <xf numFmtId="0" fontId="2" fillId="6" borderId="13" xfId="0" applyFont="1" applyFill="1" applyBorder="1" applyAlignment="1">
      <alignment horizontal="center" vertical="center" textRotation="90" wrapText="1"/>
    </xf>
    <xf numFmtId="0" fontId="4" fillId="6" borderId="16" xfId="0" applyFont="1" applyFill="1" applyBorder="1" applyAlignment="1">
      <alignment horizontal="center" vertical="top" wrapText="1"/>
    </xf>
    <xf numFmtId="49" fontId="2" fillId="6" borderId="13" xfId="0" applyNumberFormat="1" applyFont="1" applyFill="1" applyBorder="1" applyAlignment="1">
      <alignment horizontal="center" vertical="center" textRotation="90"/>
    </xf>
    <xf numFmtId="0" fontId="2" fillId="6" borderId="8" xfId="0" applyFont="1" applyFill="1" applyBorder="1" applyAlignment="1">
      <alignment vertical="top" wrapText="1"/>
    </xf>
    <xf numFmtId="0" fontId="2" fillId="6" borderId="0" xfId="0" applyFont="1" applyFill="1" applyBorder="1" applyAlignment="1">
      <alignment vertical="center" wrapText="1"/>
    </xf>
    <xf numFmtId="0" fontId="2" fillId="6" borderId="2" xfId="0" applyFont="1" applyFill="1" applyBorder="1" applyAlignment="1">
      <alignment horizontal="center" vertical="top"/>
    </xf>
    <xf numFmtId="0" fontId="2" fillId="6" borderId="94" xfId="0" applyFont="1" applyFill="1" applyBorder="1" applyAlignment="1">
      <alignment horizontal="center" vertical="top"/>
    </xf>
    <xf numFmtId="0" fontId="2" fillId="6" borderId="63" xfId="0" applyFont="1" applyFill="1" applyBorder="1" applyAlignment="1">
      <alignment vertical="center" wrapText="1"/>
    </xf>
    <xf numFmtId="0" fontId="2" fillId="6" borderId="61" xfId="0" applyFont="1" applyFill="1" applyBorder="1" applyAlignment="1">
      <alignment horizontal="center" vertical="top"/>
    </xf>
    <xf numFmtId="165" fontId="29" fillId="6" borderId="102" xfId="0" applyNumberFormat="1" applyFont="1" applyFill="1" applyBorder="1" applyAlignment="1">
      <alignment horizontal="center" vertical="top"/>
    </xf>
    <xf numFmtId="165" fontId="29" fillId="6" borderId="64" xfId="0" applyNumberFormat="1" applyFont="1" applyFill="1" applyBorder="1" applyAlignment="1">
      <alignment horizontal="center" vertical="top"/>
    </xf>
    <xf numFmtId="165" fontId="29" fillId="6" borderId="67" xfId="0" applyNumberFormat="1" applyFont="1" applyFill="1" applyBorder="1" applyAlignment="1">
      <alignment horizontal="center" vertical="top"/>
    </xf>
    <xf numFmtId="0" fontId="2" fillId="0" borderId="73" xfId="0" applyFont="1" applyBorder="1"/>
    <xf numFmtId="3" fontId="2" fillId="6" borderId="61" xfId="0" applyNumberFormat="1" applyFont="1" applyFill="1" applyBorder="1" applyAlignment="1">
      <alignment horizontal="center" vertical="top"/>
    </xf>
    <xf numFmtId="49" fontId="4" fillId="6" borderId="13" xfId="0" applyNumberFormat="1" applyFont="1" applyFill="1" applyBorder="1" applyAlignment="1">
      <alignment horizontal="center" vertical="top"/>
    </xf>
    <xf numFmtId="49" fontId="4" fillId="8" borderId="13" xfId="0" applyNumberFormat="1" applyFont="1" applyFill="1" applyBorder="1" applyAlignment="1">
      <alignment horizontal="center" vertical="top"/>
    </xf>
    <xf numFmtId="0" fontId="4" fillId="6" borderId="13" xfId="0" applyFont="1" applyFill="1" applyBorder="1" applyAlignment="1">
      <alignment horizontal="center" vertical="top" wrapText="1"/>
    </xf>
    <xf numFmtId="165" fontId="2" fillId="8" borderId="57" xfId="0" applyNumberFormat="1" applyFont="1" applyFill="1" applyBorder="1" applyAlignment="1">
      <alignment horizontal="center" vertical="top" wrapText="1"/>
    </xf>
    <xf numFmtId="165" fontId="2" fillId="8" borderId="94" xfId="0" applyNumberFormat="1" applyFont="1" applyFill="1" applyBorder="1" applyAlignment="1">
      <alignment horizontal="center" vertical="top" wrapText="1"/>
    </xf>
    <xf numFmtId="165" fontId="2" fillId="8" borderId="28" xfId="0" applyNumberFormat="1" applyFont="1" applyFill="1" applyBorder="1" applyAlignment="1">
      <alignment horizontal="center" vertical="top" wrapText="1"/>
    </xf>
    <xf numFmtId="0" fontId="2" fillId="0" borderId="89" xfId="0" applyFont="1" applyBorder="1" applyAlignment="1">
      <alignment vertical="top"/>
    </xf>
    <xf numFmtId="0" fontId="2" fillId="0" borderId="103" xfId="0" applyFont="1" applyBorder="1" applyAlignment="1">
      <alignment vertical="top"/>
    </xf>
    <xf numFmtId="0" fontId="2" fillId="6" borderId="13" xfId="0" applyFont="1" applyFill="1" applyBorder="1" applyAlignment="1">
      <alignment horizontal="left" vertical="top" wrapText="1"/>
    </xf>
    <xf numFmtId="0" fontId="2" fillId="6" borderId="0" xfId="0" applyFont="1" applyFill="1" applyAlignment="1">
      <alignment horizontal="center" vertical="top"/>
    </xf>
    <xf numFmtId="49" fontId="2" fillId="6" borderId="1" xfId="0" applyNumberFormat="1" applyFont="1" applyFill="1" applyBorder="1" applyAlignment="1">
      <alignment horizontal="center" vertical="top" wrapText="1"/>
    </xf>
    <xf numFmtId="0" fontId="2" fillId="6" borderId="13" xfId="0" applyFont="1" applyFill="1" applyBorder="1" applyAlignment="1">
      <alignment horizontal="left" vertical="top" wrapText="1"/>
    </xf>
    <xf numFmtId="49" fontId="4" fillId="10" borderId="9" xfId="0" applyNumberFormat="1" applyFont="1" applyFill="1" applyBorder="1" applyAlignment="1">
      <alignment horizontal="center" vertical="top"/>
    </xf>
    <xf numFmtId="49" fontId="4" fillId="3" borderId="41" xfId="0" applyNumberFormat="1" applyFont="1" applyFill="1" applyBorder="1" applyAlignment="1">
      <alignment horizontal="center" vertical="top"/>
    </xf>
    <xf numFmtId="49" fontId="4" fillId="8" borderId="13" xfId="0" applyNumberFormat="1" applyFont="1" applyFill="1" applyBorder="1" applyAlignment="1">
      <alignment horizontal="center" vertical="top"/>
    </xf>
    <xf numFmtId="0" fontId="6" fillId="6" borderId="31" xfId="0" applyFont="1" applyFill="1" applyBorder="1" applyAlignment="1">
      <alignment vertical="top" wrapText="1"/>
    </xf>
    <xf numFmtId="49" fontId="2" fillId="6" borderId="44" xfId="0" applyNumberFormat="1" applyFont="1" applyFill="1" applyBorder="1" applyAlignment="1">
      <alignment horizontal="center" vertical="top" wrapText="1"/>
    </xf>
    <xf numFmtId="49" fontId="4" fillId="6" borderId="13" xfId="0" applyNumberFormat="1" applyFont="1" applyFill="1" applyBorder="1" applyAlignment="1">
      <alignment horizontal="center" vertical="top" wrapText="1"/>
    </xf>
    <xf numFmtId="0" fontId="2" fillId="6" borderId="5" xfId="0" applyFont="1" applyFill="1" applyBorder="1" applyAlignment="1">
      <alignment horizontal="left" vertical="top" wrapText="1"/>
    </xf>
    <xf numFmtId="0" fontId="2" fillId="6" borderId="8" xfId="0" applyFont="1" applyFill="1" applyBorder="1" applyAlignment="1">
      <alignment horizontal="left" vertical="top" wrapText="1"/>
    </xf>
    <xf numFmtId="0" fontId="2" fillId="6" borderId="18" xfId="0" applyFont="1" applyFill="1" applyBorder="1" applyAlignment="1">
      <alignment horizontal="left" vertical="top" wrapText="1"/>
    </xf>
    <xf numFmtId="0" fontId="2" fillId="0" borderId="13" xfId="0" applyFont="1" applyBorder="1" applyAlignment="1">
      <alignment horizontal="center" vertical="top"/>
    </xf>
    <xf numFmtId="0" fontId="2" fillId="0" borderId="25" xfId="0" applyFont="1" applyBorder="1" applyAlignment="1">
      <alignment horizontal="center" vertical="top"/>
    </xf>
    <xf numFmtId="0" fontId="2" fillId="0" borderId="44" xfId="0" applyFont="1" applyBorder="1" applyAlignment="1">
      <alignment horizontal="center" vertical="top"/>
    </xf>
    <xf numFmtId="0" fontId="2" fillId="0" borderId="46" xfId="0" applyFont="1" applyBorder="1" applyAlignment="1">
      <alignment horizontal="center" vertical="top"/>
    </xf>
    <xf numFmtId="0" fontId="6" fillId="9" borderId="53" xfId="0" applyFont="1" applyFill="1" applyBorder="1" applyAlignment="1">
      <alignment horizontal="left" vertical="top" wrapText="1"/>
    </xf>
    <xf numFmtId="0" fontId="2" fillId="6" borderId="16" xfId="0" applyFont="1" applyFill="1" applyBorder="1" applyAlignment="1">
      <alignment horizontal="left" vertical="top" wrapText="1"/>
    </xf>
    <xf numFmtId="0" fontId="2" fillId="6" borderId="25" xfId="0" applyFont="1" applyFill="1" applyBorder="1" applyAlignment="1">
      <alignment horizontal="left" vertical="top" wrapText="1"/>
    </xf>
    <xf numFmtId="0" fontId="2" fillId="6" borderId="73" xfId="0" applyFont="1" applyFill="1" applyBorder="1" applyAlignment="1">
      <alignment horizontal="left" vertical="top" wrapText="1"/>
    </xf>
    <xf numFmtId="0" fontId="2" fillId="6" borderId="74" xfId="0" applyFont="1" applyFill="1" applyBorder="1" applyAlignment="1">
      <alignment horizontal="left" vertical="top" wrapText="1"/>
    </xf>
    <xf numFmtId="1" fontId="2" fillId="6" borderId="68" xfId="0" applyNumberFormat="1" applyFont="1" applyFill="1" applyBorder="1" applyAlignment="1">
      <alignment horizontal="center" vertical="top" wrapText="1"/>
    </xf>
    <xf numFmtId="1" fontId="2" fillId="6" borderId="69" xfId="0" applyNumberFormat="1" applyFont="1" applyFill="1" applyBorder="1" applyAlignment="1">
      <alignment horizontal="center" vertical="top" wrapText="1"/>
    </xf>
    <xf numFmtId="1" fontId="2" fillId="6" borderId="71" xfId="0" applyNumberFormat="1" applyFont="1" applyFill="1" applyBorder="1" applyAlignment="1">
      <alignment horizontal="center" vertical="top" wrapText="1"/>
    </xf>
    <xf numFmtId="1" fontId="2" fillId="6" borderId="70" xfId="0" applyNumberFormat="1" applyFont="1" applyFill="1" applyBorder="1" applyAlignment="1">
      <alignment horizontal="center" vertical="top" wrapText="1"/>
    </xf>
    <xf numFmtId="0" fontId="2" fillId="0" borderId="8" xfId="0" applyFont="1" applyBorder="1" applyAlignment="1">
      <alignment horizontal="center" vertical="top"/>
    </xf>
    <xf numFmtId="0" fontId="2" fillId="0" borderId="9" xfId="0" applyFont="1" applyBorder="1" applyAlignment="1">
      <alignment horizontal="center" vertical="top"/>
    </xf>
    <xf numFmtId="0" fontId="2" fillId="0" borderId="22" xfId="0" applyFont="1" applyBorder="1" applyAlignment="1">
      <alignment horizontal="center" vertical="top"/>
    </xf>
    <xf numFmtId="49" fontId="2" fillId="6" borderId="14" xfId="0" applyNumberFormat="1" applyFont="1" applyFill="1" applyBorder="1" applyAlignment="1">
      <alignment horizontal="center" vertical="top" wrapText="1"/>
    </xf>
    <xf numFmtId="0" fontId="2" fillId="6" borderId="5" xfId="1" applyFont="1" applyFill="1" applyBorder="1" applyAlignment="1">
      <alignment vertical="top" wrapText="1"/>
    </xf>
    <xf numFmtId="0" fontId="2" fillId="6" borderId="8" xfId="1" applyFont="1" applyFill="1" applyBorder="1" applyAlignment="1">
      <alignment vertical="top" wrapText="1"/>
    </xf>
    <xf numFmtId="0" fontId="2" fillId="6" borderId="18" xfId="1" applyFont="1" applyFill="1" applyBorder="1" applyAlignment="1">
      <alignment vertical="top" wrapText="1"/>
    </xf>
    <xf numFmtId="0" fontId="2" fillId="6" borderId="8" xfId="1" applyFont="1" applyFill="1" applyBorder="1" applyAlignment="1">
      <alignment horizontal="left" vertical="top" wrapText="1"/>
    </xf>
    <xf numFmtId="0" fontId="2" fillId="6" borderId="13" xfId="0" applyFont="1" applyFill="1" applyBorder="1" applyAlignment="1">
      <alignment horizontal="left" vertical="top" wrapText="1"/>
    </xf>
    <xf numFmtId="0" fontId="6" fillId="6" borderId="41" xfId="0" applyFont="1" applyFill="1" applyBorder="1" applyAlignment="1"/>
    <xf numFmtId="0" fontId="6" fillId="6" borderId="13" xfId="0" applyFont="1" applyFill="1" applyBorder="1" applyAlignment="1">
      <alignment vertical="top" wrapText="1"/>
    </xf>
    <xf numFmtId="0" fontId="2" fillId="6" borderId="73" xfId="0" applyFont="1" applyFill="1" applyBorder="1" applyAlignment="1">
      <alignment vertical="top" wrapText="1"/>
    </xf>
    <xf numFmtId="0" fontId="2" fillId="6" borderId="16" xfId="0" applyFont="1" applyFill="1" applyBorder="1" applyAlignment="1">
      <alignment vertical="top" wrapText="1"/>
    </xf>
    <xf numFmtId="0" fontId="2" fillId="6" borderId="5" xfId="0" applyFont="1" applyFill="1" applyBorder="1" applyAlignment="1">
      <alignment vertical="top" wrapText="1"/>
    </xf>
    <xf numFmtId="0" fontId="2" fillId="6" borderId="8" xfId="0" applyFont="1" applyFill="1" applyBorder="1" applyAlignment="1">
      <alignment vertical="top" wrapText="1"/>
    </xf>
    <xf numFmtId="49" fontId="4" fillId="8" borderId="13" xfId="0" applyNumberFormat="1" applyFont="1" applyFill="1" applyBorder="1" applyAlignment="1">
      <alignment horizontal="center" vertical="top"/>
    </xf>
    <xf numFmtId="0" fontId="4" fillId="6" borderId="20" xfId="0" applyFont="1" applyFill="1" applyBorder="1" applyAlignment="1">
      <alignment horizontal="center" vertical="top" wrapText="1"/>
    </xf>
    <xf numFmtId="0" fontId="4" fillId="6" borderId="25" xfId="0" applyFont="1" applyFill="1" applyBorder="1" applyAlignment="1">
      <alignment horizontal="center" vertical="top" wrapText="1"/>
    </xf>
    <xf numFmtId="49" fontId="4" fillId="10" borderId="9" xfId="0" applyNumberFormat="1" applyFont="1" applyFill="1" applyBorder="1" applyAlignment="1">
      <alignment horizontal="center" vertical="top"/>
    </xf>
    <xf numFmtId="0" fontId="2" fillId="6" borderId="37" xfId="0" applyFont="1" applyFill="1" applyBorder="1" applyAlignment="1">
      <alignment horizontal="left" vertical="top" wrapText="1"/>
    </xf>
    <xf numFmtId="0" fontId="2" fillId="6" borderId="13" xfId="0" applyFont="1" applyFill="1" applyBorder="1" applyAlignment="1">
      <alignment vertical="top" wrapText="1"/>
    </xf>
    <xf numFmtId="0" fontId="2" fillId="6" borderId="25" xfId="0" applyFont="1" applyFill="1" applyBorder="1" applyAlignment="1">
      <alignment vertical="top" wrapText="1"/>
    </xf>
    <xf numFmtId="49" fontId="4" fillId="3" borderId="13" xfId="0" applyNumberFormat="1" applyFont="1" applyFill="1" applyBorder="1" applyAlignment="1">
      <alignment horizontal="center" vertical="top"/>
    </xf>
    <xf numFmtId="49" fontId="4" fillId="8" borderId="13" xfId="0" applyNumberFormat="1" applyFont="1" applyFill="1" applyBorder="1" applyAlignment="1">
      <alignment horizontal="center" vertical="top" wrapText="1"/>
    </xf>
    <xf numFmtId="0" fontId="4" fillId="6" borderId="16" xfId="0" applyFont="1" applyFill="1" applyBorder="1" applyAlignment="1">
      <alignment horizontal="center" vertical="top" wrapText="1"/>
    </xf>
    <xf numFmtId="0" fontId="4" fillId="6" borderId="13" xfId="0" applyFont="1" applyFill="1" applyBorder="1" applyAlignment="1">
      <alignment horizontal="center" vertical="top" wrapText="1"/>
    </xf>
    <xf numFmtId="49" fontId="4" fillId="6" borderId="13" xfId="0" applyNumberFormat="1" applyFont="1" applyFill="1" applyBorder="1" applyAlignment="1">
      <alignment horizontal="center" vertical="top"/>
    </xf>
    <xf numFmtId="0" fontId="2" fillId="6" borderId="13" xfId="0" applyFont="1" applyFill="1" applyBorder="1" applyAlignment="1">
      <alignment horizontal="center" vertical="center" textRotation="90" wrapText="1"/>
    </xf>
    <xf numFmtId="49" fontId="4" fillId="3" borderId="41" xfId="0" applyNumberFormat="1" applyFont="1" applyFill="1" applyBorder="1" applyAlignment="1">
      <alignment horizontal="center" vertical="top"/>
    </xf>
    <xf numFmtId="0" fontId="3" fillId="0" borderId="0" xfId="0" applyFont="1" applyAlignment="1">
      <alignment horizontal="center" vertical="top"/>
    </xf>
    <xf numFmtId="0" fontId="2" fillId="6" borderId="41" xfId="0" applyFont="1" applyFill="1" applyBorder="1" applyAlignment="1">
      <alignment horizontal="left" vertical="top" wrapText="1"/>
    </xf>
    <xf numFmtId="165" fontId="2" fillId="6" borderId="73" xfId="0" applyNumberFormat="1" applyFont="1" applyFill="1" applyBorder="1" applyAlignment="1">
      <alignment vertical="top" wrapText="1"/>
    </xf>
    <xf numFmtId="3" fontId="2" fillId="6" borderId="73" xfId="0" applyNumberFormat="1" applyFont="1" applyFill="1" applyBorder="1" applyAlignment="1">
      <alignment vertical="top" wrapText="1"/>
    </xf>
    <xf numFmtId="3" fontId="26" fillId="6" borderId="13" xfId="0" applyNumberFormat="1" applyFont="1" applyFill="1" applyBorder="1" applyAlignment="1">
      <alignment horizontal="center" vertical="top" wrapText="1"/>
    </xf>
    <xf numFmtId="0" fontId="2" fillId="0" borderId="22" xfId="0" applyFont="1" applyBorder="1" applyAlignment="1">
      <alignment horizontal="center" vertical="top"/>
    </xf>
    <xf numFmtId="0" fontId="4" fillId="6" borderId="39" xfId="0" applyFont="1" applyFill="1" applyBorder="1" applyAlignment="1">
      <alignment horizontal="center" vertical="top" wrapText="1"/>
    </xf>
    <xf numFmtId="0" fontId="4" fillId="0" borderId="24" xfId="0" applyFont="1" applyBorder="1" applyAlignment="1">
      <alignment horizontal="center" vertical="top"/>
    </xf>
    <xf numFmtId="0" fontId="4" fillId="0" borderId="23" xfId="0" applyFont="1" applyFill="1" applyBorder="1" applyAlignment="1">
      <alignment horizontal="center" vertical="top" wrapText="1"/>
    </xf>
    <xf numFmtId="0" fontId="4" fillId="6" borderId="23" xfId="0" applyFont="1" applyFill="1" applyBorder="1" applyAlignment="1">
      <alignment horizontal="center" vertical="top" wrapText="1"/>
    </xf>
    <xf numFmtId="0" fontId="4" fillId="6" borderId="1" xfId="0" applyFont="1" applyFill="1" applyBorder="1" applyAlignment="1">
      <alignment horizontal="center" vertical="top"/>
    </xf>
    <xf numFmtId="3" fontId="2" fillId="6" borderId="1" xfId="0" applyNumberFormat="1" applyFont="1" applyFill="1" applyBorder="1" applyAlignment="1">
      <alignment horizontal="center" vertical="top" wrapText="1"/>
    </xf>
    <xf numFmtId="0" fontId="2" fillId="0" borderId="31" xfId="0" applyFont="1" applyBorder="1" applyAlignment="1">
      <alignment vertical="top"/>
    </xf>
    <xf numFmtId="3" fontId="4" fillId="6" borderId="41" xfId="0" applyNumberFormat="1" applyFont="1" applyFill="1" applyBorder="1" applyAlignment="1">
      <alignment horizontal="center" vertical="top" wrapText="1"/>
    </xf>
    <xf numFmtId="0" fontId="2" fillId="0" borderId="13" xfId="0" applyFont="1" applyBorder="1" applyAlignment="1">
      <alignment vertical="top"/>
    </xf>
    <xf numFmtId="0" fontId="2" fillId="6" borderId="99" xfId="0" applyFont="1" applyFill="1" applyBorder="1" applyAlignment="1">
      <alignment horizontal="center" vertical="top"/>
    </xf>
    <xf numFmtId="165" fontId="2" fillId="6" borderId="67" xfId="0" applyNumberFormat="1" applyFont="1" applyFill="1" applyBorder="1" applyAlignment="1">
      <alignment horizontal="center" vertical="top" wrapText="1"/>
    </xf>
    <xf numFmtId="0" fontId="4" fillId="6" borderId="65" xfId="0" applyFont="1" applyFill="1" applyBorder="1" applyAlignment="1">
      <alignment horizontal="center" vertical="center" wrapText="1"/>
    </xf>
    <xf numFmtId="0" fontId="2" fillId="6" borderId="65" xfId="0" applyFont="1" applyFill="1" applyBorder="1" applyAlignment="1">
      <alignment horizontal="center" vertical="top"/>
    </xf>
    <xf numFmtId="0" fontId="4" fillId="6" borderId="41" xfId="0" applyFont="1" applyFill="1" applyBorder="1" applyAlignment="1">
      <alignment horizontal="center" vertical="top"/>
    </xf>
    <xf numFmtId="0" fontId="2" fillId="0" borderId="113" xfId="0" applyFont="1" applyBorder="1" applyAlignment="1">
      <alignment horizontal="center" vertical="top"/>
    </xf>
    <xf numFmtId="0" fontId="2" fillId="0" borderId="61" xfId="0" applyFont="1" applyBorder="1" applyAlignment="1">
      <alignment horizontal="center" vertical="top"/>
    </xf>
    <xf numFmtId="0" fontId="4" fillId="6" borderId="1" xfId="0" applyFont="1" applyFill="1" applyBorder="1" applyAlignment="1">
      <alignment horizontal="center" vertical="top" wrapText="1"/>
    </xf>
    <xf numFmtId="0" fontId="2" fillId="6" borderId="20" xfId="0" applyFont="1" applyFill="1" applyBorder="1" applyAlignment="1">
      <alignment horizontal="center" vertical="center" textRotation="90" wrapText="1"/>
    </xf>
    <xf numFmtId="0" fontId="2" fillId="6" borderId="14" xfId="0" applyFont="1" applyFill="1" applyBorder="1" applyAlignment="1">
      <alignment horizontal="center" vertical="center" textRotation="90" wrapText="1"/>
    </xf>
    <xf numFmtId="0" fontId="7" fillId="6" borderId="37" xfId="0" applyFont="1" applyFill="1" applyBorder="1" applyAlignment="1">
      <alignment vertical="top" wrapText="1"/>
    </xf>
    <xf numFmtId="165" fontId="2" fillId="6" borderId="7" xfId="0" applyNumberFormat="1" applyFont="1" applyFill="1" applyBorder="1" applyAlignment="1">
      <alignment horizontal="center" vertical="top" wrapText="1"/>
    </xf>
    <xf numFmtId="165" fontId="2" fillId="6" borderId="20" xfId="0" applyNumberFormat="1" applyFont="1" applyFill="1" applyBorder="1" applyAlignment="1">
      <alignment horizontal="center" vertical="top" wrapText="1"/>
    </xf>
    <xf numFmtId="165" fontId="2" fillId="6" borderId="97" xfId="0" applyNumberFormat="1" applyFont="1" applyFill="1" applyBorder="1" applyAlignment="1">
      <alignment horizontal="center" vertical="top" wrapText="1"/>
    </xf>
    <xf numFmtId="0" fontId="7" fillId="6" borderId="8" xfId="0" applyFont="1" applyFill="1" applyBorder="1" applyAlignment="1">
      <alignment vertical="top" wrapText="1"/>
    </xf>
    <xf numFmtId="0" fontId="4" fillId="6" borderId="1" xfId="0" applyFont="1" applyFill="1" applyBorder="1" applyAlignment="1">
      <alignment horizontal="center" vertical="center" wrapText="1"/>
    </xf>
    <xf numFmtId="0" fontId="2" fillId="6" borderId="24" xfId="0" applyFont="1" applyFill="1" applyBorder="1" applyAlignment="1">
      <alignment horizontal="center" vertical="center" textRotation="90" wrapText="1"/>
    </xf>
    <xf numFmtId="0" fontId="2" fillId="6" borderId="37" xfId="0" applyFont="1" applyFill="1" applyBorder="1" applyAlignment="1">
      <alignment vertical="center" wrapText="1"/>
    </xf>
    <xf numFmtId="0" fontId="2" fillId="6" borderId="7" xfId="0" applyFont="1" applyFill="1" applyBorder="1" applyAlignment="1">
      <alignment horizontal="center" vertical="center"/>
    </xf>
    <xf numFmtId="0" fontId="2" fillId="6" borderId="20" xfId="0" applyFont="1" applyFill="1" applyBorder="1" applyAlignment="1">
      <alignment horizontal="center" vertical="center"/>
    </xf>
    <xf numFmtId="0" fontId="2" fillId="6" borderId="45" xfId="0" applyFont="1" applyFill="1" applyBorder="1" applyAlignment="1">
      <alignment horizontal="center" vertical="center"/>
    </xf>
    <xf numFmtId="0" fontId="2" fillId="6" borderId="8" xfId="0" applyFont="1" applyFill="1" applyBorder="1" applyAlignment="1">
      <alignment vertical="center" wrapText="1"/>
    </xf>
    <xf numFmtId="0" fontId="2" fillId="6" borderId="22" xfId="0" applyFont="1" applyFill="1" applyBorder="1" applyAlignment="1">
      <alignment horizontal="center" vertical="center"/>
    </xf>
    <xf numFmtId="0" fontId="2" fillId="6" borderId="13" xfId="0" applyFont="1" applyFill="1" applyBorder="1" applyAlignment="1">
      <alignment horizontal="center" vertical="center"/>
    </xf>
    <xf numFmtId="0" fontId="2" fillId="6" borderId="24" xfId="0" applyFont="1" applyFill="1" applyBorder="1" applyAlignment="1">
      <alignment horizontal="center" vertical="center"/>
    </xf>
    <xf numFmtId="3" fontId="29" fillId="6" borderId="8" xfId="0" applyNumberFormat="1" applyFont="1" applyFill="1" applyBorder="1" applyAlignment="1">
      <alignment horizontal="center" vertical="top"/>
    </xf>
    <xf numFmtId="0" fontId="4" fillId="2" borderId="13" xfId="0" applyFont="1" applyFill="1" applyBorder="1" applyAlignment="1">
      <alignment horizontal="left" vertical="top" wrapText="1"/>
    </xf>
    <xf numFmtId="0" fontId="4" fillId="2" borderId="13" xfId="0" applyFont="1" applyFill="1" applyBorder="1" applyAlignment="1">
      <alignment horizontal="center" vertical="top" wrapText="1"/>
    </xf>
    <xf numFmtId="0" fontId="2" fillId="6" borderId="37" xfId="0" applyFont="1" applyFill="1" applyBorder="1" applyAlignment="1">
      <alignment vertical="top" wrapText="1"/>
    </xf>
    <xf numFmtId="165" fontId="2" fillId="6" borderId="45" xfId="0" applyNumberFormat="1" applyFont="1" applyFill="1" applyBorder="1" applyAlignment="1">
      <alignment horizontal="center" vertical="top"/>
    </xf>
    <xf numFmtId="0" fontId="31" fillId="0" borderId="5" xfId="0" applyFont="1" applyFill="1" applyBorder="1" applyAlignment="1">
      <alignment horizontal="center" vertical="top" wrapText="1"/>
    </xf>
    <xf numFmtId="165" fontId="31" fillId="6" borderId="48" xfId="0" applyNumberFormat="1" applyFont="1" applyFill="1" applyBorder="1" applyAlignment="1">
      <alignment horizontal="center" vertical="top"/>
    </xf>
    <xf numFmtId="165" fontId="31" fillId="6" borderId="39" xfId="0" applyNumberFormat="1" applyFont="1" applyFill="1" applyBorder="1" applyAlignment="1">
      <alignment horizontal="center" vertical="top"/>
    </xf>
    <xf numFmtId="165" fontId="31" fillId="6" borderId="1" xfId="0" applyNumberFormat="1" applyFont="1" applyFill="1" applyBorder="1" applyAlignment="1">
      <alignment horizontal="center" vertical="top"/>
    </xf>
    <xf numFmtId="0" fontId="31" fillId="6" borderId="74" xfId="0" applyFont="1" applyFill="1" applyBorder="1" applyAlignment="1">
      <alignment horizontal="center" vertical="top" wrapText="1"/>
    </xf>
    <xf numFmtId="165" fontId="31" fillId="6" borderId="69" xfId="0" applyNumberFormat="1" applyFont="1" applyFill="1" applyBorder="1" applyAlignment="1">
      <alignment horizontal="center" vertical="top"/>
    </xf>
    <xf numFmtId="165" fontId="31" fillId="6" borderId="70" xfId="0" applyNumberFormat="1" applyFont="1" applyFill="1" applyBorder="1" applyAlignment="1">
      <alignment horizontal="center" vertical="top"/>
    </xf>
    <xf numFmtId="165" fontId="31" fillId="6" borderId="82" xfId="0" applyNumberFormat="1" applyFont="1" applyFill="1" applyBorder="1" applyAlignment="1">
      <alignment horizontal="center" vertical="top"/>
    </xf>
    <xf numFmtId="165" fontId="31" fillId="6" borderId="16" xfId="0" applyNumberFormat="1" applyFont="1" applyFill="1" applyBorder="1" applyAlignment="1">
      <alignment horizontal="center" vertical="top"/>
    </xf>
    <xf numFmtId="165" fontId="31" fillId="6" borderId="33" xfId="0" applyNumberFormat="1" applyFont="1" applyFill="1" applyBorder="1" applyAlignment="1">
      <alignment horizontal="center" vertical="top"/>
    </xf>
    <xf numFmtId="0" fontId="31" fillId="6" borderId="8" xfId="0" applyFont="1" applyFill="1" applyBorder="1" applyAlignment="1">
      <alignment horizontal="center" vertical="top" wrapText="1"/>
    </xf>
    <xf numFmtId="165" fontId="31" fillId="6" borderId="9" xfId="0" applyNumberFormat="1" applyFont="1" applyFill="1" applyBorder="1" applyAlignment="1">
      <alignment horizontal="center" vertical="top"/>
    </xf>
    <xf numFmtId="165" fontId="31" fillId="6" borderId="13" xfId="0" applyNumberFormat="1" applyFont="1" applyFill="1" applyBorder="1" applyAlignment="1">
      <alignment horizontal="center" vertical="top"/>
    </xf>
    <xf numFmtId="165" fontId="31" fillId="6" borderId="14" xfId="0" applyNumberFormat="1" applyFont="1" applyFill="1" applyBorder="1" applyAlignment="1">
      <alignment horizontal="center" vertical="top"/>
    </xf>
    <xf numFmtId="0" fontId="31" fillId="0" borderId="8" xfId="0" applyFont="1" applyFill="1" applyBorder="1" applyAlignment="1">
      <alignment horizontal="center" vertical="top" wrapText="1"/>
    </xf>
    <xf numFmtId="165" fontId="31" fillId="6" borderId="30" xfId="0" applyNumberFormat="1" applyFont="1" applyFill="1" applyBorder="1" applyAlignment="1">
      <alignment horizontal="center" vertical="top"/>
    </xf>
    <xf numFmtId="0" fontId="31" fillId="6" borderId="8" xfId="0" applyFont="1" applyFill="1" applyBorder="1" applyAlignment="1">
      <alignment horizontal="center" vertical="top"/>
    </xf>
    <xf numFmtId="0" fontId="31" fillId="6" borderId="18" xfId="0" applyFont="1" applyFill="1" applyBorder="1" applyAlignment="1">
      <alignment horizontal="center" vertical="top"/>
    </xf>
    <xf numFmtId="165" fontId="31" fillId="6" borderId="22" xfId="0" applyNumberFormat="1" applyFont="1" applyFill="1" applyBorder="1" applyAlignment="1">
      <alignment horizontal="center" vertical="top"/>
    </xf>
    <xf numFmtId="165" fontId="31" fillId="6" borderId="25" xfId="0" applyNumberFormat="1" applyFont="1" applyFill="1" applyBorder="1" applyAlignment="1">
      <alignment horizontal="center" vertical="top"/>
    </xf>
    <xf numFmtId="165" fontId="31" fillId="6" borderId="24" xfId="0" applyNumberFormat="1" applyFont="1" applyFill="1" applyBorder="1" applyAlignment="1">
      <alignment horizontal="center" vertical="top"/>
    </xf>
    <xf numFmtId="0" fontId="31" fillId="6" borderId="5" xfId="0" applyFont="1" applyFill="1" applyBorder="1" applyAlignment="1">
      <alignment horizontal="center" vertical="top" wrapText="1"/>
    </xf>
    <xf numFmtId="165" fontId="31" fillId="6" borderId="36" xfId="0" applyNumberFormat="1" applyFont="1" applyFill="1" applyBorder="1" applyAlignment="1">
      <alignment horizontal="center" vertical="top"/>
    </xf>
    <xf numFmtId="0" fontId="31" fillId="6" borderId="18" xfId="0" applyFont="1" applyFill="1" applyBorder="1" applyAlignment="1">
      <alignment horizontal="center" vertical="top" wrapText="1"/>
    </xf>
    <xf numFmtId="165" fontId="31" fillId="6" borderId="0" xfId="0" applyNumberFormat="1" applyFont="1" applyFill="1" applyBorder="1" applyAlignment="1">
      <alignment horizontal="center" vertical="top"/>
    </xf>
    <xf numFmtId="165" fontId="31" fillId="6" borderId="42" xfId="0" applyNumberFormat="1" applyFont="1" applyFill="1" applyBorder="1" applyAlignment="1">
      <alignment horizontal="center" vertical="top"/>
    </xf>
    <xf numFmtId="165" fontId="4" fillId="8" borderId="96" xfId="0" applyNumberFormat="1" applyFont="1" applyFill="1" applyBorder="1" applyAlignment="1">
      <alignment horizontal="center" vertical="top"/>
    </xf>
    <xf numFmtId="165" fontId="31" fillId="6" borderId="40" xfId="0" applyNumberFormat="1" applyFont="1" applyFill="1" applyBorder="1" applyAlignment="1">
      <alignment horizontal="center" vertical="top"/>
    </xf>
    <xf numFmtId="165" fontId="31" fillId="6" borderId="68" xfId="0" applyNumberFormat="1" applyFont="1" applyFill="1" applyBorder="1" applyAlignment="1">
      <alignment horizontal="center" vertical="top"/>
    </xf>
    <xf numFmtId="165" fontId="31" fillId="6" borderId="61" xfId="0" applyNumberFormat="1" applyFont="1" applyFill="1" applyBorder="1" applyAlignment="1">
      <alignment horizontal="center" vertical="top"/>
    </xf>
    <xf numFmtId="0" fontId="31" fillId="0" borderId="55" xfId="0" applyFont="1" applyBorder="1" applyAlignment="1">
      <alignment horizontal="center" vertical="top"/>
    </xf>
    <xf numFmtId="0" fontId="31" fillId="0" borderId="22" xfId="0" applyFont="1" applyBorder="1" applyAlignment="1">
      <alignment vertical="top"/>
    </xf>
    <xf numFmtId="0" fontId="31" fillId="6" borderId="17" xfId="0" applyFont="1" applyFill="1" applyBorder="1" applyAlignment="1">
      <alignment horizontal="center" vertical="top" wrapText="1"/>
    </xf>
    <xf numFmtId="165" fontId="31" fillId="6" borderId="12" xfId="0" applyNumberFormat="1" applyFont="1" applyFill="1" applyBorder="1" applyAlignment="1">
      <alignment horizontal="center" vertical="top"/>
    </xf>
    <xf numFmtId="165" fontId="31" fillId="6" borderId="2" xfId="0" applyNumberFormat="1" applyFont="1" applyFill="1" applyBorder="1" applyAlignment="1">
      <alignment horizontal="center" vertical="top"/>
    </xf>
    <xf numFmtId="165" fontId="31" fillId="6" borderId="94" xfId="0" applyNumberFormat="1" applyFont="1" applyFill="1" applyBorder="1" applyAlignment="1">
      <alignment horizontal="center" vertical="top"/>
    </xf>
    <xf numFmtId="0" fontId="31" fillId="6" borderId="31" xfId="0" applyFont="1" applyFill="1" applyBorder="1" applyAlignment="1">
      <alignment horizontal="center" vertical="top" wrapText="1"/>
    </xf>
    <xf numFmtId="165" fontId="2" fillId="6" borderId="7" xfId="0" applyNumberFormat="1" applyFont="1" applyFill="1" applyBorder="1" applyAlignment="1">
      <alignment horizontal="center" vertical="center"/>
    </xf>
    <xf numFmtId="165" fontId="2" fillId="6" borderId="20" xfId="0" applyNumberFormat="1" applyFont="1" applyFill="1" applyBorder="1" applyAlignment="1">
      <alignment horizontal="center" vertical="center"/>
    </xf>
    <xf numFmtId="165" fontId="2" fillId="6" borderId="32" xfId="0" applyNumberFormat="1" applyFont="1" applyFill="1" applyBorder="1" applyAlignment="1">
      <alignment horizontal="center" vertical="center"/>
    </xf>
    <xf numFmtId="165" fontId="2" fillId="6" borderId="0" xfId="0" applyNumberFormat="1" applyFont="1" applyFill="1" applyBorder="1" applyAlignment="1">
      <alignment horizontal="center" vertical="center"/>
    </xf>
    <xf numFmtId="0" fontId="31" fillId="6" borderId="5" xfId="0" applyFont="1" applyFill="1" applyBorder="1" applyAlignment="1">
      <alignment horizontal="center" vertical="top"/>
    </xf>
    <xf numFmtId="165" fontId="31" fillId="6" borderId="44" xfId="0" applyNumberFormat="1" applyFont="1" applyFill="1" applyBorder="1" applyAlignment="1">
      <alignment horizontal="center" vertical="top"/>
    </xf>
    <xf numFmtId="0" fontId="31" fillId="6" borderId="5" xfId="0" applyFont="1" applyFill="1" applyBorder="1" applyAlignment="1">
      <alignment horizontal="center" vertical="center"/>
    </xf>
    <xf numFmtId="165" fontId="31" fillId="6" borderId="31" xfId="0" applyNumberFormat="1" applyFont="1" applyFill="1" applyBorder="1" applyAlignment="1">
      <alignment horizontal="center" vertical="top"/>
    </xf>
    <xf numFmtId="0" fontId="31" fillId="6" borderId="8" xfId="0" applyFont="1" applyFill="1" applyBorder="1" applyAlignment="1">
      <alignment horizontal="center" vertical="center"/>
    </xf>
    <xf numFmtId="165" fontId="2" fillId="2" borderId="7" xfId="0" applyNumberFormat="1" applyFont="1" applyFill="1" applyBorder="1" applyAlignment="1">
      <alignment horizontal="center" vertical="top"/>
    </xf>
    <xf numFmtId="165" fontId="2" fillId="2" borderId="20" xfId="0" applyNumberFormat="1" applyFont="1" applyFill="1" applyBorder="1" applyAlignment="1">
      <alignment horizontal="center" vertical="top"/>
    </xf>
    <xf numFmtId="165" fontId="2" fillId="2" borderId="0" xfId="0" applyNumberFormat="1" applyFont="1" applyFill="1" applyBorder="1" applyAlignment="1">
      <alignment horizontal="center" vertical="top"/>
    </xf>
    <xf numFmtId="165" fontId="2" fillId="2" borderId="9" xfId="0" applyNumberFormat="1" applyFont="1" applyFill="1" applyBorder="1" applyAlignment="1">
      <alignment horizontal="center" vertical="top"/>
    </xf>
    <xf numFmtId="165" fontId="2" fillId="2" borderId="13" xfId="0" applyNumberFormat="1" applyFont="1" applyFill="1" applyBorder="1" applyAlignment="1">
      <alignment horizontal="center" vertical="top"/>
    </xf>
    <xf numFmtId="165" fontId="2" fillId="2" borderId="22" xfId="0" applyNumberFormat="1" applyFont="1" applyFill="1" applyBorder="1" applyAlignment="1">
      <alignment horizontal="center" vertical="top"/>
    </xf>
    <xf numFmtId="165" fontId="2" fillId="2" borderId="25" xfId="0" applyNumberFormat="1" applyFont="1" applyFill="1" applyBorder="1" applyAlignment="1">
      <alignment horizontal="center" vertical="top"/>
    </xf>
    <xf numFmtId="165" fontId="2" fillId="2" borderId="24" xfId="0" applyNumberFormat="1" applyFont="1" applyFill="1" applyBorder="1" applyAlignment="1">
      <alignment horizontal="center" vertical="top"/>
    </xf>
    <xf numFmtId="165" fontId="4" fillId="8" borderId="84" xfId="0" applyNumberFormat="1" applyFont="1" applyFill="1" applyBorder="1" applyAlignment="1">
      <alignment horizontal="center" vertical="top"/>
    </xf>
    <xf numFmtId="165" fontId="31" fillId="0" borderId="12" xfId="0" applyNumberFormat="1" applyFont="1" applyFill="1" applyBorder="1" applyAlignment="1">
      <alignment horizontal="center" vertical="top"/>
    </xf>
    <xf numFmtId="165" fontId="31" fillId="0" borderId="2" xfId="0" applyNumberFormat="1" applyFont="1" applyFill="1" applyBorder="1" applyAlignment="1">
      <alignment horizontal="center" vertical="top"/>
    </xf>
    <xf numFmtId="165" fontId="31" fillId="0" borderId="34" xfId="0" applyNumberFormat="1" applyFont="1" applyFill="1" applyBorder="1" applyAlignment="1">
      <alignment horizontal="center" vertical="top"/>
    </xf>
    <xf numFmtId="165" fontId="31" fillId="0" borderId="9" xfId="0" applyNumberFormat="1" applyFont="1" applyFill="1" applyBorder="1" applyAlignment="1">
      <alignment horizontal="center" vertical="top"/>
    </xf>
    <xf numFmtId="165" fontId="31" fillId="0" borderId="13" xfId="0" applyNumberFormat="1" applyFont="1" applyFill="1" applyBorder="1" applyAlignment="1">
      <alignment horizontal="center" vertical="top"/>
    </xf>
    <xf numFmtId="165" fontId="31" fillId="0" borderId="0" xfId="0" applyNumberFormat="1" applyFont="1" applyFill="1" applyBorder="1" applyAlignment="1">
      <alignment horizontal="center" vertical="top"/>
    </xf>
    <xf numFmtId="0" fontId="31" fillId="0" borderId="17" xfId="0" applyFont="1" applyFill="1" applyBorder="1" applyAlignment="1">
      <alignment horizontal="center" vertical="top" wrapText="1"/>
    </xf>
    <xf numFmtId="164" fontId="31" fillId="6" borderId="12" xfId="0" applyNumberFormat="1" applyFont="1" applyFill="1" applyBorder="1" applyAlignment="1">
      <alignment horizontal="center" vertical="top" wrapText="1"/>
    </xf>
    <xf numFmtId="164" fontId="31" fillId="6" borderId="2" xfId="0" applyNumberFormat="1" applyFont="1" applyFill="1" applyBorder="1" applyAlignment="1">
      <alignment horizontal="center" vertical="top" wrapText="1"/>
    </xf>
    <xf numFmtId="164" fontId="31" fillId="6" borderId="29" xfId="0" applyNumberFormat="1" applyFont="1" applyFill="1" applyBorder="1" applyAlignment="1">
      <alignment horizontal="center" vertical="top" wrapText="1"/>
    </xf>
    <xf numFmtId="164" fontId="31" fillId="6" borderId="48" xfId="0" applyNumberFormat="1" applyFont="1" applyFill="1" applyBorder="1" applyAlignment="1">
      <alignment horizontal="center" vertical="top" wrapText="1"/>
    </xf>
    <xf numFmtId="164" fontId="31" fillId="6" borderId="16" xfId="0" applyNumberFormat="1" applyFont="1" applyFill="1" applyBorder="1" applyAlignment="1">
      <alignment horizontal="center" vertical="top" wrapText="1"/>
    </xf>
    <xf numFmtId="164" fontId="31" fillId="6" borderId="33" xfId="0" applyNumberFormat="1" applyFont="1" applyFill="1" applyBorder="1" applyAlignment="1">
      <alignment horizontal="center" vertical="top" wrapText="1"/>
    </xf>
    <xf numFmtId="3" fontId="32" fillId="6" borderId="5" xfId="0" applyNumberFormat="1" applyFont="1" applyFill="1" applyBorder="1" applyAlignment="1">
      <alignment horizontal="center" vertical="top"/>
    </xf>
    <xf numFmtId="165" fontId="32" fillId="6" borderId="36" xfId="0" applyNumberFormat="1" applyFont="1" applyFill="1" applyBorder="1" applyAlignment="1">
      <alignment horizontal="center" vertical="top"/>
    </xf>
    <xf numFmtId="165" fontId="32" fillId="6" borderId="16" xfId="0" applyNumberFormat="1" applyFont="1" applyFill="1" applyBorder="1" applyAlignment="1">
      <alignment horizontal="center" vertical="top"/>
    </xf>
    <xf numFmtId="165" fontId="32" fillId="6" borderId="30" xfId="0" applyNumberFormat="1" applyFont="1" applyFill="1" applyBorder="1" applyAlignment="1">
      <alignment horizontal="center" vertical="top"/>
    </xf>
    <xf numFmtId="3" fontId="32" fillId="6" borderId="18" xfId="0" applyNumberFormat="1" applyFont="1" applyFill="1" applyBorder="1" applyAlignment="1">
      <alignment horizontal="center" vertical="top"/>
    </xf>
    <xf numFmtId="165" fontId="32" fillId="6" borderId="22" xfId="0" applyNumberFormat="1" applyFont="1" applyFill="1" applyBorder="1" applyAlignment="1">
      <alignment horizontal="center" vertical="top"/>
    </xf>
    <xf numFmtId="165" fontId="32" fillId="6" borderId="25" xfId="0" applyNumberFormat="1" applyFont="1" applyFill="1" applyBorder="1" applyAlignment="1">
      <alignment horizontal="center" vertical="top"/>
    </xf>
    <xf numFmtId="165" fontId="32" fillId="6" borderId="24" xfId="0" applyNumberFormat="1" applyFont="1" applyFill="1" applyBorder="1" applyAlignment="1">
      <alignment horizontal="center" vertical="top"/>
    </xf>
    <xf numFmtId="0" fontId="32" fillId="6" borderId="5" xfId="0" applyFont="1" applyFill="1" applyBorder="1" applyAlignment="1">
      <alignment horizontal="center" vertical="top" wrapText="1"/>
    </xf>
    <xf numFmtId="165" fontId="32" fillId="6" borderId="43" xfId="0" applyNumberFormat="1" applyFont="1" applyFill="1" applyBorder="1" applyAlignment="1">
      <alignment horizontal="center" vertical="top"/>
    </xf>
    <xf numFmtId="164" fontId="32" fillId="12" borderId="22" xfId="0" applyNumberFormat="1" applyFont="1" applyFill="1" applyBorder="1" applyAlignment="1">
      <alignment horizontal="center" vertical="top"/>
    </xf>
    <xf numFmtId="164" fontId="32" fillId="12" borderId="25" xfId="0" applyNumberFormat="1" applyFont="1" applyFill="1" applyBorder="1" applyAlignment="1">
      <alignment horizontal="center" vertical="top"/>
    </xf>
    <xf numFmtId="164" fontId="32" fillId="12" borderId="24" xfId="0" applyNumberFormat="1" applyFont="1" applyFill="1" applyBorder="1" applyAlignment="1">
      <alignment horizontal="center" vertical="top"/>
    </xf>
    <xf numFmtId="165" fontId="32" fillId="6" borderId="9" xfId="0" applyNumberFormat="1" applyFont="1" applyFill="1" applyBorder="1" applyAlignment="1">
      <alignment horizontal="center" vertical="top"/>
    </xf>
    <xf numFmtId="165" fontId="32" fillId="6" borderId="13" xfId="0" applyNumberFormat="1" applyFont="1" applyFill="1" applyBorder="1" applyAlignment="1">
      <alignment horizontal="center" vertical="top"/>
    </xf>
    <xf numFmtId="165" fontId="32" fillId="6" borderId="0" xfId="0" applyNumberFormat="1" applyFont="1" applyFill="1" applyBorder="1" applyAlignment="1">
      <alignment horizontal="center" vertical="top"/>
    </xf>
    <xf numFmtId="0" fontId="32" fillId="6" borderId="8" xfId="0" applyFont="1" applyFill="1" applyBorder="1" applyAlignment="1">
      <alignment horizontal="center" vertical="top" wrapText="1"/>
    </xf>
    <xf numFmtId="0" fontId="32" fillId="6" borderId="18" xfId="0" applyFont="1" applyFill="1" applyBorder="1" applyAlignment="1">
      <alignment horizontal="center" vertical="top" wrapText="1"/>
    </xf>
    <xf numFmtId="165" fontId="32" fillId="6" borderId="1" xfId="0" applyNumberFormat="1" applyFont="1" applyFill="1" applyBorder="1" applyAlignment="1">
      <alignment horizontal="center" vertical="top"/>
    </xf>
    <xf numFmtId="165" fontId="32" fillId="6" borderId="40" xfId="0" applyNumberFormat="1" applyFont="1" applyFill="1" applyBorder="1" applyAlignment="1">
      <alignment horizontal="center" vertical="top"/>
    </xf>
    <xf numFmtId="165" fontId="4" fillId="8" borderId="26" xfId="0" applyNumberFormat="1" applyFont="1" applyFill="1" applyBorder="1" applyAlignment="1">
      <alignment horizontal="center" vertical="top"/>
    </xf>
    <xf numFmtId="165" fontId="4" fillId="8" borderId="114" xfId="0" applyNumberFormat="1" applyFont="1" applyFill="1" applyBorder="1" applyAlignment="1">
      <alignment horizontal="center" vertical="top"/>
    </xf>
    <xf numFmtId="165" fontId="31" fillId="6" borderId="5" xfId="0" applyNumberFormat="1" applyFont="1" applyFill="1" applyBorder="1" applyAlignment="1">
      <alignment horizontal="center" vertical="top" wrapText="1"/>
    </xf>
    <xf numFmtId="165" fontId="31" fillId="6" borderId="36" xfId="0" applyNumberFormat="1" applyFont="1" applyFill="1" applyBorder="1" applyAlignment="1">
      <alignment horizontal="center" vertical="top" wrapText="1"/>
    </xf>
    <xf numFmtId="165" fontId="31" fillId="6" borderId="16" xfId="0" applyNumberFormat="1" applyFont="1" applyFill="1" applyBorder="1" applyAlignment="1">
      <alignment horizontal="center" vertical="top" wrapText="1"/>
    </xf>
    <xf numFmtId="165" fontId="31" fillId="6" borderId="1" xfId="0" applyNumberFormat="1" applyFont="1" applyFill="1" applyBorder="1" applyAlignment="1">
      <alignment horizontal="center" vertical="top" wrapText="1"/>
    </xf>
    <xf numFmtId="165" fontId="31" fillId="6" borderId="8" xfId="0" applyNumberFormat="1" applyFont="1" applyFill="1" applyBorder="1" applyAlignment="1">
      <alignment horizontal="center" vertical="top" wrapText="1"/>
    </xf>
    <xf numFmtId="165" fontId="31" fillId="6" borderId="9" xfId="0" applyNumberFormat="1" applyFont="1" applyFill="1" applyBorder="1" applyAlignment="1">
      <alignment horizontal="center" vertical="top" wrapText="1"/>
    </xf>
    <xf numFmtId="165" fontId="31" fillId="6" borderId="41" xfId="0" applyNumberFormat="1" applyFont="1" applyFill="1" applyBorder="1" applyAlignment="1">
      <alignment horizontal="center" vertical="top" wrapText="1"/>
    </xf>
    <xf numFmtId="165" fontId="31" fillId="6" borderId="14" xfId="0" applyNumberFormat="1" applyFont="1" applyFill="1" applyBorder="1" applyAlignment="1">
      <alignment horizontal="center" vertical="top" wrapText="1"/>
    </xf>
    <xf numFmtId="165" fontId="31" fillId="6" borderId="13" xfId="0" applyNumberFormat="1" applyFont="1" applyFill="1" applyBorder="1" applyAlignment="1">
      <alignment horizontal="center" vertical="top" wrapText="1"/>
    </xf>
    <xf numFmtId="165" fontId="31" fillId="6" borderId="30" xfId="0" applyNumberFormat="1" applyFont="1" applyFill="1" applyBorder="1" applyAlignment="1">
      <alignment horizontal="center" vertical="top" wrapText="1"/>
    </xf>
    <xf numFmtId="165" fontId="31" fillId="6" borderId="0" xfId="0" applyNumberFormat="1" applyFont="1" applyFill="1" applyBorder="1" applyAlignment="1">
      <alignment horizontal="center" vertical="top" wrapText="1"/>
    </xf>
    <xf numFmtId="165" fontId="31" fillId="6" borderId="18" xfId="0" applyNumberFormat="1" applyFont="1" applyFill="1" applyBorder="1" applyAlignment="1">
      <alignment horizontal="center" vertical="top"/>
    </xf>
    <xf numFmtId="165" fontId="31" fillId="6" borderId="15" xfId="0" applyNumberFormat="1" applyFont="1" applyFill="1" applyBorder="1" applyAlignment="1">
      <alignment horizontal="center" vertical="top"/>
    </xf>
    <xf numFmtId="165" fontId="31" fillId="6" borderId="73" xfId="0" applyNumberFormat="1" applyFont="1" applyFill="1" applyBorder="1" applyAlignment="1">
      <alignment horizontal="center" vertical="top" wrapText="1"/>
    </xf>
    <xf numFmtId="165" fontId="31" fillId="6" borderId="18" xfId="0" applyNumberFormat="1" applyFont="1" applyFill="1" applyBorder="1" applyAlignment="1">
      <alignment horizontal="center" vertical="top" wrapText="1"/>
    </xf>
    <xf numFmtId="165" fontId="31" fillId="6" borderId="70" xfId="0" applyNumberFormat="1" applyFont="1" applyFill="1" applyBorder="1" applyAlignment="1">
      <alignment horizontal="center" vertical="top" wrapText="1"/>
    </xf>
    <xf numFmtId="165" fontId="31" fillId="6" borderId="24" xfId="0" applyNumberFormat="1" applyFont="1" applyFill="1" applyBorder="1" applyAlignment="1">
      <alignment horizontal="center" vertical="top" wrapText="1"/>
    </xf>
    <xf numFmtId="0" fontId="31" fillId="0" borderId="8" xfId="0" applyFont="1" applyBorder="1" applyAlignment="1">
      <alignment horizontal="center" vertical="top"/>
    </xf>
    <xf numFmtId="0" fontId="31" fillId="0" borderId="9" xfId="0" applyFont="1" applyBorder="1" applyAlignment="1">
      <alignment vertical="top"/>
    </xf>
    <xf numFmtId="164" fontId="31" fillId="0" borderId="13" xfId="0" applyNumberFormat="1" applyFont="1" applyBorder="1" applyAlignment="1">
      <alignment horizontal="center" vertical="top"/>
    </xf>
    <xf numFmtId="0" fontId="31" fillId="0" borderId="18" xfId="0" applyFont="1" applyBorder="1" applyAlignment="1">
      <alignment vertical="top"/>
    </xf>
    <xf numFmtId="0" fontId="31" fillId="0" borderId="25" xfId="0" applyFont="1" applyBorder="1" applyAlignment="1">
      <alignment vertical="top"/>
    </xf>
    <xf numFmtId="0" fontId="31" fillId="0" borderId="0" xfId="0" applyFont="1" applyAlignment="1">
      <alignment vertical="top"/>
    </xf>
    <xf numFmtId="0" fontId="31" fillId="0" borderId="31" xfId="0" applyFont="1" applyBorder="1" applyAlignment="1">
      <alignment vertical="top"/>
    </xf>
    <xf numFmtId="0" fontId="31" fillId="0" borderId="18" xfId="0" applyFont="1" applyBorder="1" applyAlignment="1">
      <alignment horizontal="center" vertical="top"/>
    </xf>
    <xf numFmtId="0" fontId="31" fillId="0" borderId="15" xfId="0" applyFont="1" applyBorder="1" applyAlignment="1">
      <alignment vertical="top"/>
    </xf>
    <xf numFmtId="0" fontId="31" fillId="0" borderId="46" xfId="0" applyFont="1" applyBorder="1" applyAlignment="1">
      <alignment vertical="top"/>
    </xf>
    <xf numFmtId="0" fontId="31" fillId="0" borderId="1" xfId="0" applyFont="1" applyBorder="1" applyAlignment="1">
      <alignment vertical="top"/>
    </xf>
    <xf numFmtId="0" fontId="31" fillId="0" borderId="16" xfId="0" applyFont="1" applyBorder="1" applyAlignment="1">
      <alignment vertical="top"/>
    </xf>
    <xf numFmtId="0" fontId="31" fillId="6" borderId="9" xfId="0" applyFont="1" applyFill="1" applyBorder="1" applyAlignment="1">
      <alignment vertical="top"/>
    </xf>
    <xf numFmtId="164" fontId="31" fillId="6" borderId="9" xfId="0" applyNumberFormat="1" applyFont="1" applyFill="1" applyBorder="1" applyAlignment="1">
      <alignment horizontal="center" vertical="top"/>
    </xf>
    <xf numFmtId="164" fontId="31" fillId="6" borderId="13" xfId="0" applyNumberFormat="1" applyFont="1" applyFill="1" applyBorder="1" applyAlignment="1">
      <alignment horizontal="center" vertical="top"/>
    </xf>
    <xf numFmtId="164" fontId="31" fillId="6" borderId="14" xfId="0" applyNumberFormat="1" applyFont="1" applyFill="1" applyBorder="1" applyAlignment="1">
      <alignment horizontal="center" vertical="top"/>
    </xf>
    <xf numFmtId="0" fontId="31" fillId="0" borderId="23" xfId="0" applyFont="1" applyBorder="1" applyAlignment="1">
      <alignment vertical="top"/>
    </xf>
    <xf numFmtId="0" fontId="31" fillId="0" borderId="24" xfId="0" applyFont="1" applyBorder="1" applyAlignment="1">
      <alignment vertical="top"/>
    </xf>
    <xf numFmtId="165" fontId="31" fillId="6" borderId="71" xfId="0" applyNumberFormat="1" applyFont="1" applyFill="1" applyBorder="1" applyAlignment="1">
      <alignment horizontal="center" vertical="top"/>
    </xf>
    <xf numFmtId="0" fontId="31" fillId="6" borderId="31" xfId="0" applyFont="1" applyFill="1" applyBorder="1" applyAlignment="1">
      <alignment vertical="top"/>
    </xf>
    <xf numFmtId="0" fontId="31" fillId="0" borderId="13" xfId="0" applyFont="1" applyBorder="1" applyAlignment="1">
      <alignment vertical="top"/>
    </xf>
    <xf numFmtId="0" fontId="31" fillId="6" borderId="46" xfId="0" applyFont="1" applyFill="1" applyBorder="1" applyAlignment="1">
      <alignment vertical="top"/>
    </xf>
    <xf numFmtId="0" fontId="31" fillId="6" borderId="0" xfId="0" applyFont="1" applyFill="1" applyBorder="1" applyAlignment="1">
      <alignment vertical="top"/>
    </xf>
    <xf numFmtId="164" fontId="31" fillId="6" borderId="9" xfId="0" applyNumberFormat="1" applyFont="1" applyFill="1" applyBorder="1" applyAlignment="1">
      <alignment horizontal="center" vertical="top" wrapText="1"/>
    </xf>
    <xf numFmtId="0" fontId="31" fillId="0" borderId="18" xfId="0" applyFont="1" applyFill="1" applyBorder="1" applyAlignment="1">
      <alignment horizontal="center" vertical="top" wrapText="1"/>
    </xf>
    <xf numFmtId="165" fontId="31" fillId="6" borderId="9" xfId="0" applyNumberFormat="1" applyFont="1" applyFill="1" applyBorder="1" applyAlignment="1">
      <alignment horizontal="center" vertical="center"/>
    </xf>
    <xf numFmtId="165" fontId="31" fillId="6" borderId="13" xfId="0" applyNumberFormat="1" applyFont="1" applyFill="1" applyBorder="1" applyAlignment="1">
      <alignment horizontal="center" vertical="center"/>
    </xf>
    <xf numFmtId="165" fontId="31" fillId="6" borderId="1" xfId="0" applyNumberFormat="1" applyFont="1" applyFill="1" applyBorder="1" applyAlignment="1">
      <alignment horizontal="center" vertical="center"/>
    </xf>
    <xf numFmtId="0" fontId="33" fillId="6" borderId="5" xfId="0" applyFont="1" applyFill="1" applyBorder="1" applyAlignment="1">
      <alignment horizontal="center" vertical="top"/>
    </xf>
    <xf numFmtId="165" fontId="31" fillId="6" borderId="43" xfId="0" applyNumberFormat="1" applyFont="1" applyFill="1" applyBorder="1" applyAlignment="1">
      <alignment horizontal="center" vertical="top"/>
    </xf>
    <xf numFmtId="165" fontId="31" fillId="6" borderId="46" xfId="0" applyNumberFormat="1" applyFont="1" applyFill="1" applyBorder="1" applyAlignment="1">
      <alignment horizontal="center" vertical="top"/>
    </xf>
    <xf numFmtId="0" fontId="31" fillId="0" borderId="0" xfId="0" applyFont="1" applyBorder="1" applyAlignment="1">
      <alignment vertical="top"/>
    </xf>
    <xf numFmtId="165" fontId="31" fillId="0" borderId="0" xfId="0" applyNumberFormat="1" applyFont="1" applyBorder="1" applyAlignment="1">
      <alignment vertical="top"/>
    </xf>
    <xf numFmtId="0" fontId="34" fillId="0" borderId="0" xfId="0" applyFont="1" applyBorder="1" applyAlignment="1">
      <alignment vertical="top"/>
    </xf>
    <xf numFmtId="165" fontId="34" fillId="0" borderId="0" xfId="0" applyNumberFormat="1" applyFont="1" applyBorder="1" applyAlignment="1">
      <alignment vertical="top"/>
    </xf>
    <xf numFmtId="164" fontId="31" fillId="0" borderId="0" xfId="0" applyNumberFormat="1" applyFont="1" applyBorder="1" applyAlignment="1">
      <alignment vertical="top"/>
    </xf>
    <xf numFmtId="3" fontId="31" fillId="0" borderId="0" xfId="0" applyNumberFormat="1" applyFont="1" applyBorder="1" applyAlignment="1">
      <alignment vertical="top"/>
    </xf>
    <xf numFmtId="0" fontId="4" fillId="6" borderId="103" xfId="0" applyFont="1" applyFill="1" applyBorder="1" applyAlignment="1">
      <alignment horizontal="center" vertical="top" wrapText="1"/>
    </xf>
    <xf numFmtId="0" fontId="2" fillId="6" borderId="71" xfId="0" applyFont="1" applyFill="1" applyBorder="1" applyAlignment="1">
      <alignment vertical="top" wrapText="1"/>
    </xf>
    <xf numFmtId="0" fontId="2" fillId="6" borderId="73" xfId="0" applyFont="1" applyFill="1" applyBorder="1" applyAlignment="1">
      <alignment vertical="top" wrapText="1"/>
    </xf>
    <xf numFmtId="0" fontId="2" fillId="6" borderId="104" xfId="0" applyFont="1" applyFill="1" applyBorder="1" applyAlignment="1">
      <alignment vertical="top" wrapText="1"/>
    </xf>
    <xf numFmtId="3" fontId="2" fillId="6" borderId="65" xfId="0" applyNumberFormat="1" applyFont="1" applyFill="1" applyBorder="1" applyAlignment="1">
      <alignment horizontal="center" vertical="top"/>
    </xf>
    <xf numFmtId="0" fontId="2" fillId="6" borderId="48" xfId="0" applyFont="1" applyFill="1" applyBorder="1" applyAlignment="1">
      <alignment vertical="top"/>
    </xf>
    <xf numFmtId="0" fontId="2" fillId="6" borderId="33" xfId="0" applyFont="1" applyFill="1" applyBorder="1" applyAlignment="1">
      <alignment horizontal="center" vertical="top"/>
    </xf>
    <xf numFmtId="0" fontId="6" fillId="6" borderId="18" xfId="0" applyFont="1" applyFill="1" applyBorder="1" applyAlignment="1">
      <alignment vertical="top" wrapText="1"/>
    </xf>
    <xf numFmtId="0" fontId="2" fillId="6" borderId="5" xfId="0" applyFont="1" applyFill="1" applyBorder="1" applyAlignment="1">
      <alignment vertical="top" wrapText="1"/>
    </xf>
    <xf numFmtId="0" fontId="3" fillId="0" borderId="0" xfId="0" applyFont="1" applyAlignment="1">
      <alignment horizontal="center" vertical="top"/>
    </xf>
    <xf numFmtId="0" fontId="2" fillId="6" borderId="73" xfId="0" applyFont="1" applyFill="1" applyBorder="1"/>
    <xf numFmtId="3" fontId="2" fillId="6" borderId="71" xfId="1" applyNumberFormat="1" applyFont="1" applyFill="1" applyBorder="1" applyAlignment="1">
      <alignment horizontal="center" vertical="top"/>
    </xf>
    <xf numFmtId="3" fontId="2" fillId="6" borderId="24" xfId="1" applyNumberFormat="1" applyFont="1" applyFill="1" applyBorder="1" applyAlignment="1">
      <alignment horizontal="center" vertical="top"/>
    </xf>
    <xf numFmtId="164" fontId="31" fillId="6" borderId="30" xfId="0" applyNumberFormat="1" applyFont="1" applyFill="1" applyBorder="1" applyAlignment="1">
      <alignment horizontal="center" vertical="top"/>
    </xf>
    <xf numFmtId="0" fontId="31" fillId="0" borderId="40" xfId="0" applyFont="1" applyBorder="1" applyAlignment="1">
      <alignment vertical="top"/>
    </xf>
    <xf numFmtId="165" fontId="31" fillId="6" borderId="42" xfId="0" applyNumberFormat="1" applyFont="1" applyFill="1" applyBorder="1" applyAlignment="1">
      <alignment horizontal="center" vertical="top" wrapText="1"/>
    </xf>
    <xf numFmtId="0" fontId="31" fillId="0" borderId="30" xfId="0" applyFont="1" applyBorder="1" applyAlignment="1">
      <alignment vertical="top"/>
    </xf>
    <xf numFmtId="165" fontId="31" fillId="6" borderId="30" xfId="0" applyNumberFormat="1" applyFont="1" applyFill="1" applyBorder="1" applyAlignment="1">
      <alignment horizontal="center" vertical="center"/>
    </xf>
    <xf numFmtId="165" fontId="2" fillId="6" borderId="115" xfId="0" applyNumberFormat="1" applyFont="1" applyFill="1" applyBorder="1" applyAlignment="1">
      <alignment horizontal="center" vertical="top"/>
    </xf>
    <xf numFmtId="165" fontId="31" fillId="6" borderId="92" xfId="0" applyNumberFormat="1" applyFont="1" applyFill="1" applyBorder="1" applyAlignment="1">
      <alignment horizontal="center" vertical="top"/>
    </xf>
    <xf numFmtId="165" fontId="31" fillId="6" borderId="29" xfId="0" applyNumberFormat="1" applyFont="1" applyFill="1" applyBorder="1" applyAlignment="1">
      <alignment horizontal="center" vertical="top"/>
    </xf>
    <xf numFmtId="165" fontId="2" fillId="6" borderId="115" xfId="0" applyNumberFormat="1" applyFont="1" applyFill="1" applyBorder="1" applyAlignment="1">
      <alignment horizontal="center" vertical="center"/>
    </xf>
    <xf numFmtId="165" fontId="2" fillId="6" borderId="30" xfId="0" applyNumberFormat="1" applyFont="1" applyFill="1" applyBorder="1" applyAlignment="1">
      <alignment horizontal="center" vertical="center"/>
    </xf>
    <xf numFmtId="165" fontId="2" fillId="2" borderId="115" xfId="0" applyNumberFormat="1" applyFont="1" applyFill="1" applyBorder="1" applyAlignment="1">
      <alignment horizontal="center" vertical="top"/>
    </xf>
    <xf numFmtId="165" fontId="2" fillId="2" borderId="30" xfId="0" applyNumberFormat="1" applyFont="1" applyFill="1" applyBorder="1" applyAlignment="1">
      <alignment horizontal="center" vertical="top"/>
    </xf>
    <xf numFmtId="165" fontId="2" fillId="2" borderId="15" xfId="0" applyNumberFormat="1" applyFont="1" applyFill="1" applyBorder="1" applyAlignment="1">
      <alignment horizontal="center" vertical="top"/>
    </xf>
    <xf numFmtId="165" fontId="31" fillId="0" borderId="29" xfId="0" applyNumberFormat="1" applyFont="1" applyFill="1" applyBorder="1" applyAlignment="1">
      <alignment horizontal="center" vertical="top"/>
    </xf>
    <xf numFmtId="165" fontId="31" fillId="0" borderId="30" xfId="0" applyNumberFormat="1" applyFont="1" applyFill="1" applyBorder="1" applyAlignment="1">
      <alignment horizontal="center" vertical="top"/>
    </xf>
    <xf numFmtId="165" fontId="4" fillId="3" borderId="116" xfId="0" applyNumberFormat="1" applyFont="1" applyFill="1" applyBorder="1" applyAlignment="1">
      <alignment horizontal="center" vertical="top"/>
    </xf>
    <xf numFmtId="165" fontId="32" fillId="6" borderId="42" xfId="0" applyNumberFormat="1" applyFont="1" applyFill="1" applyBorder="1" applyAlignment="1">
      <alignment horizontal="center" vertical="top"/>
    </xf>
    <xf numFmtId="165" fontId="32" fillId="6" borderId="15" xfId="0" applyNumberFormat="1" applyFont="1" applyFill="1" applyBorder="1" applyAlignment="1">
      <alignment horizontal="center" vertical="top"/>
    </xf>
    <xf numFmtId="164" fontId="32" fillId="12" borderId="15" xfId="0" applyNumberFormat="1" applyFont="1" applyFill="1" applyBorder="1" applyAlignment="1">
      <alignment horizontal="center" vertical="top"/>
    </xf>
    <xf numFmtId="165" fontId="4" fillId="9" borderId="96" xfId="0" applyNumberFormat="1" applyFont="1" applyFill="1" applyBorder="1" applyAlignment="1">
      <alignment horizontal="center" vertical="top"/>
    </xf>
    <xf numFmtId="165" fontId="4" fillId="10" borderId="116" xfId="0" applyNumberFormat="1" applyFont="1" applyFill="1" applyBorder="1" applyAlignment="1">
      <alignment horizontal="center" vertical="top"/>
    </xf>
    <xf numFmtId="165" fontId="4" fillId="4" borderId="116" xfId="0" applyNumberFormat="1" applyFont="1" applyFill="1" applyBorder="1" applyAlignment="1">
      <alignment horizontal="center" vertical="top"/>
    </xf>
    <xf numFmtId="165" fontId="4" fillId="4" borderId="117" xfId="0" applyNumberFormat="1" applyFont="1" applyFill="1" applyBorder="1" applyAlignment="1">
      <alignment horizontal="center" vertical="top"/>
    </xf>
    <xf numFmtId="165" fontId="4" fillId="8" borderId="29" xfId="0" applyNumberFormat="1" applyFont="1" applyFill="1" applyBorder="1" applyAlignment="1">
      <alignment horizontal="center" vertical="top" wrapText="1"/>
    </xf>
    <xf numFmtId="165" fontId="2" fillId="0" borderId="15" xfId="0" applyNumberFormat="1" applyFont="1" applyBorder="1" applyAlignment="1">
      <alignment horizontal="center" vertical="top"/>
    </xf>
    <xf numFmtId="165" fontId="2" fillId="8" borderId="15" xfId="0" applyNumberFormat="1" applyFont="1" applyFill="1" applyBorder="1" applyAlignment="1">
      <alignment horizontal="center" vertical="top"/>
    </xf>
    <xf numFmtId="165" fontId="2" fillId="8" borderId="29" xfId="0" applyNumberFormat="1" applyFont="1" applyFill="1" applyBorder="1" applyAlignment="1">
      <alignment horizontal="center" vertical="top" wrapText="1"/>
    </xf>
    <xf numFmtId="165" fontId="2" fillId="8" borderId="34" xfId="0" applyNumberFormat="1" applyFont="1" applyFill="1" applyBorder="1" applyAlignment="1">
      <alignment horizontal="center" vertical="top" wrapText="1"/>
    </xf>
    <xf numFmtId="165" fontId="4" fillId="4" borderId="29" xfId="0" applyNumberFormat="1" applyFont="1" applyFill="1" applyBorder="1" applyAlignment="1">
      <alignment horizontal="center" vertical="top" wrapText="1"/>
    </xf>
    <xf numFmtId="165" fontId="2" fillId="0" borderId="29" xfId="0" applyNumberFormat="1" applyFont="1" applyBorder="1" applyAlignment="1">
      <alignment horizontal="center" vertical="top" wrapText="1"/>
    </xf>
    <xf numFmtId="165" fontId="4" fillId="5" borderId="114" xfId="0" applyNumberFormat="1" applyFont="1" applyFill="1" applyBorder="1" applyAlignment="1">
      <alignment horizontal="center" vertical="top"/>
    </xf>
    <xf numFmtId="0" fontId="21" fillId="0" borderId="53" xfId="0" applyFont="1" applyBorder="1" applyAlignment="1">
      <alignment horizontal="center" vertical="center" textRotation="90" wrapText="1"/>
    </xf>
    <xf numFmtId="164" fontId="31" fillId="6" borderId="44" xfId="0" applyNumberFormat="1" applyFont="1" applyFill="1" applyBorder="1" applyAlignment="1">
      <alignment horizontal="center" vertical="top"/>
    </xf>
    <xf numFmtId="165" fontId="31" fillId="6" borderId="43" xfId="0" applyNumberFormat="1" applyFont="1" applyFill="1" applyBorder="1" applyAlignment="1">
      <alignment horizontal="center" vertical="top" wrapText="1"/>
    </xf>
    <xf numFmtId="165" fontId="31" fillId="6" borderId="44" xfId="0" applyNumberFormat="1" applyFont="1" applyFill="1" applyBorder="1" applyAlignment="1">
      <alignment horizontal="center" vertical="top" wrapText="1"/>
    </xf>
    <xf numFmtId="0" fontId="31" fillId="0" borderId="43" xfId="0" applyFont="1" applyBorder="1" applyAlignment="1">
      <alignment vertical="top"/>
    </xf>
    <xf numFmtId="165" fontId="31" fillId="6" borderId="43" xfId="0" applyNumberFormat="1" applyFont="1" applyFill="1" applyBorder="1" applyAlignment="1">
      <alignment horizontal="center" vertical="center"/>
    </xf>
    <xf numFmtId="165" fontId="2" fillId="2" borderId="46" xfId="0" applyNumberFormat="1" applyFont="1" applyFill="1" applyBorder="1" applyAlignment="1">
      <alignment horizontal="center" vertical="top"/>
    </xf>
    <xf numFmtId="164" fontId="31" fillId="6" borderId="34" xfId="0" applyNumberFormat="1" applyFont="1" applyFill="1" applyBorder="1" applyAlignment="1">
      <alignment horizontal="center" vertical="top" wrapText="1"/>
    </xf>
    <xf numFmtId="165" fontId="32" fillId="6" borderId="44" xfId="0" applyNumberFormat="1" applyFont="1" applyFill="1" applyBorder="1" applyAlignment="1">
      <alignment horizontal="center" vertical="top"/>
    </xf>
    <xf numFmtId="164" fontId="32" fillId="12" borderId="46" xfId="0" applyNumberFormat="1" applyFont="1" applyFill="1" applyBorder="1" applyAlignment="1">
      <alignment horizontal="center" vertical="top"/>
    </xf>
    <xf numFmtId="165" fontId="32" fillId="6" borderId="46" xfId="0" applyNumberFormat="1" applyFont="1" applyFill="1" applyBorder="1" applyAlignment="1">
      <alignment horizontal="center" vertical="top"/>
    </xf>
    <xf numFmtId="3" fontId="2" fillId="6" borderId="42" xfId="0" applyNumberFormat="1" applyFont="1" applyFill="1" applyBorder="1" applyAlignment="1">
      <alignment horizontal="center" vertical="top" wrapText="1"/>
    </xf>
    <xf numFmtId="3" fontId="2" fillId="6" borderId="98" xfId="0" applyNumberFormat="1" applyFont="1" applyFill="1" applyBorder="1" applyAlignment="1">
      <alignment horizontal="center" vertical="top" wrapText="1"/>
    </xf>
    <xf numFmtId="3" fontId="2" fillId="6" borderId="15" xfId="0" applyNumberFormat="1" applyFont="1" applyFill="1" applyBorder="1" applyAlignment="1">
      <alignment horizontal="center" vertical="top" wrapText="1"/>
    </xf>
    <xf numFmtId="3" fontId="2" fillId="6" borderId="42" xfId="0" applyNumberFormat="1" applyFont="1" applyFill="1" applyBorder="1" applyAlignment="1">
      <alignment horizontal="center" vertical="top"/>
    </xf>
    <xf numFmtId="3" fontId="2" fillId="6" borderId="30" xfId="0" applyNumberFormat="1" applyFont="1" applyFill="1" applyBorder="1" applyAlignment="1">
      <alignment horizontal="center" vertical="top"/>
    </xf>
    <xf numFmtId="3" fontId="2" fillId="6" borderId="15" xfId="0" applyNumberFormat="1" applyFont="1" applyFill="1" applyBorder="1" applyAlignment="1">
      <alignment horizontal="center" vertical="top"/>
    </xf>
    <xf numFmtId="3" fontId="2" fillId="6" borderId="30" xfId="1" applyNumberFormat="1" applyFont="1" applyFill="1" applyBorder="1" applyAlignment="1">
      <alignment horizontal="center" vertical="top"/>
    </xf>
    <xf numFmtId="0" fontId="2" fillId="6" borderId="15" xfId="0" applyFont="1" applyFill="1" applyBorder="1" applyAlignment="1">
      <alignment horizontal="center" vertical="top"/>
    </xf>
    <xf numFmtId="3" fontId="2" fillId="6" borderId="92" xfId="0" applyNumberFormat="1" applyFont="1" applyFill="1" applyBorder="1" applyAlignment="1">
      <alignment horizontal="center" vertical="top" wrapText="1"/>
    </xf>
    <xf numFmtId="3" fontId="2" fillId="6" borderId="91" xfId="0" applyNumberFormat="1" applyFont="1" applyFill="1" applyBorder="1" applyAlignment="1">
      <alignment horizontal="center" vertical="top"/>
    </xf>
    <xf numFmtId="164" fontId="2" fillId="6" borderId="99" xfId="0" applyNumberFormat="1" applyFont="1" applyFill="1" applyBorder="1" applyAlignment="1">
      <alignment horizontal="center" vertical="top"/>
    </xf>
    <xf numFmtId="0" fontId="2" fillId="0" borderId="92" xfId="0" applyFont="1" applyBorder="1" applyAlignment="1">
      <alignment horizontal="center" vertical="top"/>
    </xf>
    <xf numFmtId="1" fontId="2" fillId="6" borderId="42" xfId="0" applyNumberFormat="1" applyFont="1" applyFill="1" applyBorder="1" applyAlignment="1">
      <alignment horizontal="center" vertical="top" wrapText="1"/>
    </xf>
    <xf numFmtId="165" fontId="2" fillId="6" borderId="41" xfId="0" applyNumberFormat="1" applyFont="1" applyFill="1" applyBorder="1" applyAlignment="1">
      <alignment horizontal="center" vertical="top"/>
    </xf>
    <xf numFmtId="0" fontId="2" fillId="6" borderId="22" xfId="0" applyFont="1" applyFill="1" applyBorder="1" applyAlignment="1">
      <alignment vertical="top"/>
    </xf>
    <xf numFmtId="0" fontId="31" fillId="0" borderId="42" xfId="0" applyFont="1" applyBorder="1" applyAlignment="1">
      <alignment vertical="top"/>
    </xf>
    <xf numFmtId="165" fontId="2" fillId="8" borderId="29" xfId="0" applyNumberFormat="1" applyFont="1" applyFill="1" applyBorder="1" applyAlignment="1">
      <alignment horizontal="center" vertical="top"/>
    </xf>
    <xf numFmtId="49" fontId="2" fillId="8" borderId="29" xfId="0" applyNumberFormat="1" applyFont="1" applyFill="1" applyBorder="1" applyAlignment="1">
      <alignment vertical="top"/>
    </xf>
    <xf numFmtId="165" fontId="31" fillId="6" borderId="42" xfId="0" applyNumberFormat="1" applyFont="1" applyFill="1" applyBorder="1" applyAlignment="1">
      <alignment horizontal="center" vertical="center"/>
    </xf>
    <xf numFmtId="164" fontId="31" fillId="6" borderId="94" xfId="0" applyNumberFormat="1" applyFont="1" applyFill="1" applyBorder="1" applyAlignment="1">
      <alignment horizontal="center" vertical="top" wrapText="1"/>
    </xf>
    <xf numFmtId="165" fontId="31" fillId="6" borderId="92" xfId="0" applyNumberFormat="1" applyFont="1" applyFill="1" applyBorder="1" applyAlignment="1">
      <alignment horizontal="center" vertical="top" wrapText="1"/>
    </xf>
    <xf numFmtId="164" fontId="31" fillId="0" borderId="30" xfId="0" applyNumberFormat="1" applyFont="1" applyBorder="1" applyAlignment="1">
      <alignment horizontal="center" vertical="top"/>
    </xf>
    <xf numFmtId="165" fontId="2" fillId="8" borderId="94" xfId="0" applyNumberFormat="1" applyFont="1" applyFill="1" applyBorder="1" applyAlignment="1">
      <alignment horizontal="center" vertical="top"/>
    </xf>
    <xf numFmtId="0" fontId="2" fillId="8" borderId="17" xfId="0" applyFont="1" applyFill="1" applyBorder="1" applyAlignment="1">
      <alignment horizontal="center" vertical="top"/>
    </xf>
    <xf numFmtId="0" fontId="2" fillId="6" borderId="101" xfId="0" applyFont="1" applyFill="1" applyBorder="1" applyAlignment="1">
      <alignment vertical="top"/>
    </xf>
    <xf numFmtId="165" fontId="31" fillId="6" borderId="15" xfId="0" applyNumberFormat="1" applyFont="1" applyFill="1" applyBorder="1" applyAlignment="1">
      <alignment horizontal="center" vertical="top" wrapText="1"/>
    </xf>
    <xf numFmtId="164" fontId="31" fillId="0" borderId="14" xfId="0" applyNumberFormat="1" applyFont="1" applyBorder="1" applyAlignment="1">
      <alignment horizontal="center" vertical="top"/>
    </xf>
    <xf numFmtId="0" fontId="31" fillId="0" borderId="14" xfId="0" applyFont="1" applyBorder="1" applyAlignment="1">
      <alignment vertical="top"/>
    </xf>
    <xf numFmtId="49" fontId="2" fillId="8" borderId="94" xfId="0" applyNumberFormat="1" applyFont="1" applyFill="1" applyBorder="1" applyAlignment="1">
      <alignment vertical="top"/>
    </xf>
    <xf numFmtId="165" fontId="31" fillId="6" borderId="14" xfId="0" applyNumberFormat="1" applyFont="1" applyFill="1" applyBorder="1" applyAlignment="1">
      <alignment horizontal="center" vertical="center"/>
    </xf>
    <xf numFmtId="165" fontId="31" fillId="6" borderId="99" xfId="0" applyNumberFormat="1" applyFont="1" applyFill="1" applyBorder="1" applyAlignment="1">
      <alignment horizontal="center" vertical="top"/>
    </xf>
    <xf numFmtId="49" fontId="2" fillId="8" borderId="17" xfId="0" applyNumberFormat="1" applyFont="1" applyFill="1" applyBorder="1" applyAlignment="1">
      <alignment vertical="top"/>
    </xf>
    <xf numFmtId="165" fontId="2" fillId="6" borderId="97" xfId="0" applyNumberFormat="1" applyFont="1" applyFill="1" applyBorder="1" applyAlignment="1">
      <alignment horizontal="center" vertical="top"/>
    </xf>
    <xf numFmtId="165" fontId="2" fillId="6" borderId="38" xfId="0" applyNumberFormat="1" applyFont="1" applyFill="1" applyBorder="1" applyAlignment="1">
      <alignment horizontal="center" vertical="top"/>
    </xf>
    <xf numFmtId="165" fontId="2" fillId="6" borderId="97" xfId="0" applyNumberFormat="1" applyFont="1" applyFill="1" applyBorder="1" applyAlignment="1">
      <alignment horizontal="center" vertical="center"/>
    </xf>
    <xf numFmtId="165" fontId="2" fillId="6" borderId="14" xfId="0" applyNumberFormat="1" applyFont="1" applyFill="1" applyBorder="1" applyAlignment="1">
      <alignment horizontal="center" vertical="center"/>
    </xf>
    <xf numFmtId="165" fontId="2" fillId="2" borderId="97" xfId="0" applyNumberFormat="1" applyFont="1" applyFill="1" applyBorder="1" applyAlignment="1">
      <alignment horizontal="center" vertical="top"/>
    </xf>
    <xf numFmtId="165" fontId="2" fillId="2" borderId="14" xfId="0" applyNumberFormat="1" applyFont="1" applyFill="1" applyBorder="1" applyAlignment="1">
      <alignment horizontal="center" vertical="top"/>
    </xf>
    <xf numFmtId="165" fontId="31" fillId="0" borderId="94" xfId="0" applyNumberFormat="1" applyFont="1" applyFill="1" applyBorder="1" applyAlignment="1">
      <alignment horizontal="center" vertical="top"/>
    </xf>
    <xf numFmtId="165" fontId="31" fillId="0" borderId="14" xfId="0" applyNumberFormat="1" applyFont="1" applyFill="1" applyBorder="1" applyAlignment="1">
      <alignment horizontal="center" vertical="top"/>
    </xf>
    <xf numFmtId="164" fontId="31" fillId="6" borderId="42" xfId="0" applyNumberFormat="1" applyFont="1" applyFill="1" applyBorder="1" applyAlignment="1">
      <alignment horizontal="center" vertical="top" wrapText="1"/>
    </xf>
    <xf numFmtId="165" fontId="32" fillId="6" borderId="14" xfId="0" applyNumberFormat="1" applyFont="1" applyFill="1" applyBorder="1" applyAlignment="1">
      <alignment horizontal="center" vertical="top"/>
    </xf>
    <xf numFmtId="3" fontId="2" fillId="6" borderId="97" xfId="0" applyNumberFormat="1" applyFont="1" applyFill="1" applyBorder="1" applyAlignment="1">
      <alignment horizontal="center" vertical="top"/>
    </xf>
    <xf numFmtId="0" fontId="2" fillId="6" borderId="24" xfId="0" applyNumberFormat="1" applyFont="1" applyFill="1" applyBorder="1" applyAlignment="1">
      <alignment horizontal="center" vertical="top" wrapText="1"/>
    </xf>
    <xf numFmtId="0" fontId="2" fillId="6" borderId="14" xfId="0" applyNumberFormat="1" applyFont="1" applyFill="1" applyBorder="1" applyAlignment="1">
      <alignment horizontal="center" vertical="top" wrapText="1"/>
    </xf>
    <xf numFmtId="3" fontId="2" fillId="6" borderId="1" xfId="0" applyNumberFormat="1" applyFont="1" applyFill="1" applyBorder="1" applyAlignment="1">
      <alignment horizontal="center" vertical="top"/>
    </xf>
    <xf numFmtId="3" fontId="2" fillId="6" borderId="3" xfId="0" applyNumberFormat="1" applyFont="1" applyFill="1" applyBorder="1" applyAlignment="1">
      <alignment horizontal="center" vertical="top"/>
    </xf>
    <xf numFmtId="3" fontId="2" fillId="6" borderId="106" xfId="0" applyNumberFormat="1" applyFont="1" applyFill="1" applyBorder="1" applyAlignment="1">
      <alignment horizontal="center" vertical="top"/>
    </xf>
    <xf numFmtId="49" fontId="2" fillId="6" borderId="99" xfId="0" applyNumberFormat="1" applyFont="1" applyFill="1" applyBorder="1" applyAlignment="1">
      <alignment horizontal="center" vertical="top"/>
    </xf>
    <xf numFmtId="49" fontId="2" fillId="6" borderId="30" xfId="0" applyNumberFormat="1" applyFont="1" applyFill="1" applyBorder="1" applyAlignment="1">
      <alignment horizontal="center" vertical="top"/>
    </xf>
    <xf numFmtId="3" fontId="2" fillId="6" borderId="61" xfId="0" applyNumberFormat="1" applyFont="1" applyFill="1" applyBorder="1" applyAlignment="1">
      <alignment horizontal="center" vertical="top" wrapText="1"/>
    </xf>
    <xf numFmtId="1" fontId="2" fillId="6" borderId="1" xfId="0" applyNumberFormat="1" applyFont="1" applyFill="1" applyBorder="1" applyAlignment="1">
      <alignment horizontal="center" vertical="top" wrapText="1"/>
    </xf>
    <xf numFmtId="1" fontId="2" fillId="6" borderId="65" xfId="0" applyNumberFormat="1" applyFont="1" applyFill="1" applyBorder="1" applyAlignment="1">
      <alignment horizontal="center" vertical="top" wrapText="1"/>
    </xf>
    <xf numFmtId="0" fontId="2" fillId="6" borderId="97" xfId="0" applyFont="1" applyFill="1" applyBorder="1" applyAlignment="1">
      <alignment horizontal="center" vertical="center"/>
    </xf>
    <xf numFmtId="0" fontId="2" fillId="6" borderId="29" xfId="0" applyFont="1" applyFill="1" applyBorder="1" applyAlignment="1">
      <alignment horizontal="center" vertical="top"/>
    </xf>
    <xf numFmtId="164" fontId="2" fillId="6" borderId="89" xfId="0" applyNumberFormat="1" applyFont="1" applyFill="1" applyBorder="1" applyAlignment="1">
      <alignment horizontal="center" vertical="center" wrapText="1"/>
    </xf>
    <xf numFmtId="0" fontId="2" fillId="6" borderId="89" xfId="0" applyNumberFormat="1" applyFont="1" applyFill="1" applyBorder="1" applyAlignment="1">
      <alignment horizontal="center" vertical="top" wrapText="1"/>
    </xf>
    <xf numFmtId="0" fontId="2" fillId="0" borderId="24" xfId="0" applyFont="1" applyBorder="1" applyAlignment="1">
      <alignment horizontal="center" vertical="top"/>
    </xf>
    <xf numFmtId="3" fontId="2" fillId="6" borderId="14" xfId="1" applyNumberFormat="1" applyFont="1" applyFill="1" applyBorder="1" applyAlignment="1">
      <alignment horizontal="center" vertical="top"/>
    </xf>
    <xf numFmtId="165" fontId="2" fillId="6" borderId="14" xfId="0" applyNumberFormat="1" applyFont="1" applyFill="1" applyBorder="1" applyAlignment="1">
      <alignment horizontal="center" vertical="top" wrapText="1"/>
    </xf>
    <xf numFmtId="165" fontId="2" fillId="6" borderId="1" xfId="0" applyNumberFormat="1" applyFont="1" applyFill="1" applyBorder="1" applyAlignment="1">
      <alignment horizontal="center" vertical="top" wrapText="1"/>
    </xf>
    <xf numFmtId="3" fontId="2" fillId="6" borderId="89" xfId="1" applyNumberFormat="1" applyFont="1" applyFill="1" applyBorder="1" applyAlignment="1">
      <alignment horizontal="center" vertical="top" wrapText="1"/>
    </xf>
    <xf numFmtId="1" fontId="2" fillId="6" borderId="14" xfId="1" applyNumberFormat="1" applyFont="1" applyFill="1" applyBorder="1" applyAlignment="1">
      <alignment horizontal="center" vertical="top" wrapText="1"/>
    </xf>
    <xf numFmtId="3" fontId="2" fillId="6" borderId="65" xfId="1" applyNumberFormat="1" applyFont="1" applyFill="1" applyBorder="1" applyAlignment="1">
      <alignment horizontal="center" vertical="top" wrapText="1"/>
    </xf>
    <xf numFmtId="3" fontId="2" fillId="6" borderId="61" xfId="1" applyNumberFormat="1" applyFont="1" applyFill="1" applyBorder="1" applyAlignment="1">
      <alignment horizontal="center" vertical="top" wrapText="1"/>
    </xf>
    <xf numFmtId="0" fontId="2" fillId="6" borderId="65" xfId="0" applyNumberFormat="1" applyFont="1" applyFill="1" applyBorder="1" applyAlignment="1">
      <alignment horizontal="center" vertical="top" wrapText="1"/>
    </xf>
    <xf numFmtId="49" fontId="2" fillId="6" borderId="61" xfId="0" applyNumberFormat="1" applyFont="1" applyFill="1" applyBorder="1" applyAlignment="1">
      <alignment horizontal="center" vertical="top" wrapText="1"/>
    </xf>
    <xf numFmtId="0" fontId="2" fillId="6" borderId="61" xfId="0" applyNumberFormat="1" applyFont="1" applyFill="1" applyBorder="1" applyAlignment="1">
      <alignment horizontal="center" vertical="top" wrapText="1"/>
    </xf>
    <xf numFmtId="3" fontId="2" fillId="8" borderId="94" xfId="0" applyNumberFormat="1" applyFont="1" applyFill="1" applyBorder="1" applyAlignment="1">
      <alignment horizontal="center" vertical="top" wrapText="1"/>
    </xf>
    <xf numFmtId="3" fontId="26" fillId="6" borderId="30" xfId="0" applyNumberFormat="1" applyFont="1" applyFill="1" applyBorder="1" applyAlignment="1">
      <alignment horizontal="center" vertical="top" wrapText="1"/>
    </xf>
    <xf numFmtId="3" fontId="2" fillId="8" borderId="24" xfId="0" applyNumberFormat="1" applyFont="1" applyFill="1" applyBorder="1" applyAlignment="1">
      <alignment horizontal="center" vertical="top"/>
    </xf>
    <xf numFmtId="0" fontId="2" fillId="0" borderId="14" xfId="0" applyFont="1" applyBorder="1" applyAlignment="1">
      <alignment horizontal="center" vertical="top"/>
    </xf>
    <xf numFmtId="0" fontId="2" fillId="6" borderId="14" xfId="0" applyFont="1" applyFill="1" applyBorder="1" applyAlignment="1">
      <alignment vertical="top"/>
    </xf>
    <xf numFmtId="0" fontId="2" fillId="6" borderId="24" xfId="0" applyFont="1" applyFill="1" applyBorder="1" applyAlignment="1">
      <alignment vertical="top"/>
    </xf>
    <xf numFmtId="3" fontId="4" fillId="6" borderId="14" xfId="0" applyNumberFormat="1" applyFont="1" applyFill="1" applyBorder="1" applyAlignment="1">
      <alignment horizontal="center" vertical="top" wrapText="1"/>
    </xf>
    <xf numFmtId="3" fontId="4" fillId="6" borderId="24" xfId="0" applyNumberFormat="1" applyFont="1" applyFill="1" applyBorder="1" applyAlignment="1">
      <alignment horizontal="center" vertical="top" wrapText="1"/>
    </xf>
    <xf numFmtId="3" fontId="4" fillId="6" borderId="1" xfId="0" applyNumberFormat="1" applyFont="1" applyFill="1" applyBorder="1" applyAlignment="1">
      <alignment horizontal="center" vertical="top" wrapText="1"/>
    </xf>
    <xf numFmtId="0" fontId="2" fillId="6" borderId="9" xfId="0" applyFont="1" applyFill="1" applyBorder="1" applyAlignment="1">
      <alignment vertical="top"/>
    </xf>
    <xf numFmtId="0" fontId="2" fillId="0" borderId="9" xfId="0" applyFont="1" applyBorder="1" applyAlignment="1">
      <alignment vertical="top"/>
    </xf>
    <xf numFmtId="165" fontId="2" fillId="0" borderId="24" xfId="0" applyNumberFormat="1" applyFont="1" applyBorder="1" applyAlignment="1">
      <alignment horizontal="center" vertical="top"/>
    </xf>
    <xf numFmtId="165" fontId="2" fillId="8" borderId="24" xfId="0" applyNumberFormat="1" applyFont="1" applyFill="1" applyBorder="1" applyAlignment="1">
      <alignment horizontal="center" vertical="top"/>
    </xf>
    <xf numFmtId="165" fontId="4" fillId="4" borderId="94" xfId="0" applyNumberFormat="1" applyFont="1" applyFill="1" applyBorder="1" applyAlignment="1">
      <alignment horizontal="center" vertical="top" wrapText="1"/>
    </xf>
    <xf numFmtId="165" fontId="2" fillId="0" borderId="94" xfId="0" applyNumberFormat="1" applyFont="1" applyBorder="1" applyAlignment="1">
      <alignment horizontal="center" vertical="top" wrapText="1"/>
    </xf>
    <xf numFmtId="0" fontId="2" fillId="0" borderId="32" xfId="0" applyFont="1" applyFill="1" applyBorder="1" applyAlignment="1">
      <alignment vertical="top"/>
    </xf>
    <xf numFmtId="0" fontId="21" fillId="0" borderId="100" xfId="0" applyFont="1" applyBorder="1" applyAlignment="1">
      <alignment horizontal="center" vertical="center" textRotation="90" wrapText="1"/>
    </xf>
    <xf numFmtId="165" fontId="2" fillId="0" borderId="44" xfId="0" applyNumberFormat="1" applyFont="1" applyBorder="1" applyAlignment="1">
      <alignment horizontal="center" vertical="top"/>
    </xf>
    <xf numFmtId="165" fontId="2" fillId="8" borderId="44" xfId="0" applyNumberFormat="1" applyFont="1" applyFill="1" applyBorder="1" applyAlignment="1">
      <alignment horizontal="center" vertical="top" wrapText="1"/>
    </xf>
    <xf numFmtId="165" fontId="4" fillId="4" borderId="44" xfId="0" applyNumberFormat="1" applyFont="1" applyFill="1" applyBorder="1" applyAlignment="1">
      <alignment horizontal="center" vertical="top" wrapText="1"/>
    </xf>
    <xf numFmtId="165" fontId="2" fillId="0" borderId="1" xfId="0" applyNumberFormat="1" applyFont="1" applyBorder="1" applyAlignment="1">
      <alignment horizontal="center" vertical="top"/>
    </xf>
    <xf numFmtId="165" fontId="2" fillId="8" borderId="1" xfId="0" applyNumberFormat="1" applyFont="1" applyFill="1" applyBorder="1" applyAlignment="1">
      <alignment horizontal="center" vertical="top"/>
    </xf>
    <xf numFmtId="165" fontId="2" fillId="8" borderId="1" xfId="0" applyNumberFormat="1" applyFont="1" applyFill="1" applyBorder="1" applyAlignment="1">
      <alignment horizontal="center" vertical="top" wrapText="1"/>
    </xf>
    <xf numFmtId="165" fontId="2" fillId="0" borderId="1" xfId="0" applyNumberFormat="1" applyFont="1" applyBorder="1" applyAlignment="1">
      <alignment horizontal="center" vertical="top" wrapText="1"/>
    </xf>
    <xf numFmtId="165" fontId="26" fillId="6" borderId="42" xfId="0" applyNumberFormat="1" applyFont="1" applyFill="1" applyBorder="1" applyAlignment="1">
      <alignment horizontal="center" vertical="top"/>
    </xf>
    <xf numFmtId="164" fontId="26" fillId="6" borderId="30" xfId="0" applyNumberFormat="1" applyFont="1" applyFill="1" applyBorder="1" applyAlignment="1">
      <alignment horizontal="center" vertical="top"/>
    </xf>
    <xf numFmtId="165" fontId="26" fillId="6" borderId="30" xfId="0" applyNumberFormat="1" applyFont="1" applyFill="1" applyBorder="1" applyAlignment="1">
      <alignment horizontal="center" vertical="top"/>
    </xf>
    <xf numFmtId="0" fontId="26" fillId="0" borderId="15" xfId="0" applyFont="1" applyBorder="1" applyAlignment="1">
      <alignment vertical="top"/>
    </xf>
    <xf numFmtId="0" fontId="26" fillId="0" borderId="8" xfId="0" applyFont="1" applyBorder="1" applyAlignment="1">
      <alignment horizontal="center" vertical="top"/>
    </xf>
    <xf numFmtId="164" fontId="26" fillId="6" borderId="44" xfId="0" applyNumberFormat="1" applyFont="1" applyFill="1" applyBorder="1" applyAlignment="1">
      <alignment horizontal="center" vertical="top"/>
    </xf>
    <xf numFmtId="165" fontId="26" fillId="6" borderId="33" xfId="0" applyNumberFormat="1" applyFont="1" applyFill="1" applyBorder="1" applyAlignment="1">
      <alignment horizontal="center" vertical="top"/>
    </xf>
    <xf numFmtId="0" fontId="26" fillId="0" borderId="42" xfId="0" applyFont="1" applyBorder="1" applyAlignment="1">
      <alignment vertical="top"/>
    </xf>
    <xf numFmtId="165" fontId="26" fillId="6" borderId="15" xfId="0" applyNumberFormat="1" applyFont="1" applyFill="1" applyBorder="1" applyAlignment="1">
      <alignment horizontal="center" vertical="top"/>
    </xf>
    <xf numFmtId="0" fontId="26" fillId="6" borderId="8" xfId="0" applyFont="1" applyFill="1" applyBorder="1" applyAlignment="1">
      <alignment horizontal="center" vertical="top" wrapText="1"/>
    </xf>
    <xf numFmtId="165" fontId="26" fillId="6" borderId="14" xfId="0" applyNumberFormat="1" applyFont="1" applyFill="1" applyBorder="1" applyAlignment="1">
      <alignment horizontal="center" vertical="top"/>
    </xf>
    <xf numFmtId="165" fontId="26" fillId="6" borderId="1" xfId="0" applyNumberFormat="1" applyFont="1" applyFill="1" applyBorder="1" applyAlignment="1">
      <alignment horizontal="center" vertical="top"/>
    </xf>
    <xf numFmtId="165" fontId="35" fillId="10" borderId="116" xfId="0" applyNumberFormat="1" applyFont="1" applyFill="1" applyBorder="1" applyAlignment="1">
      <alignment horizontal="center" vertical="top"/>
    </xf>
    <xf numFmtId="165" fontId="35" fillId="4" borderId="116" xfId="0" applyNumberFormat="1" applyFont="1" applyFill="1" applyBorder="1" applyAlignment="1">
      <alignment horizontal="center" vertical="top"/>
    </xf>
    <xf numFmtId="165" fontId="35" fillId="4" borderId="53" xfId="0" applyNumberFormat="1" applyFont="1" applyFill="1" applyBorder="1" applyAlignment="1">
      <alignment horizontal="center" vertical="top"/>
    </xf>
    <xf numFmtId="165" fontId="2" fillId="6" borderId="55" xfId="0" applyNumberFormat="1" applyFont="1" applyFill="1" applyBorder="1" applyAlignment="1">
      <alignment horizontal="center" vertical="top"/>
    </xf>
    <xf numFmtId="165" fontId="35" fillId="4" borderId="117" xfId="0" applyNumberFormat="1" applyFont="1" applyFill="1" applyBorder="1" applyAlignment="1">
      <alignment horizontal="center" vertical="top"/>
    </xf>
    <xf numFmtId="165" fontId="35" fillId="8" borderId="29" xfId="0" applyNumberFormat="1" applyFont="1" applyFill="1" applyBorder="1" applyAlignment="1">
      <alignment horizontal="center" vertical="top" wrapText="1"/>
    </xf>
    <xf numFmtId="165" fontId="26" fillId="6" borderId="94" xfId="0" applyNumberFormat="1" applyFont="1" applyFill="1" applyBorder="1" applyAlignment="1">
      <alignment horizontal="center" vertical="top"/>
    </xf>
    <xf numFmtId="165" fontId="35" fillId="5" borderId="114" xfId="0" applyNumberFormat="1" applyFont="1" applyFill="1" applyBorder="1" applyAlignment="1">
      <alignment horizontal="center" vertical="top"/>
    </xf>
    <xf numFmtId="165" fontId="4" fillId="8" borderId="57" xfId="0" applyNumberFormat="1" applyFont="1" applyFill="1" applyBorder="1" applyAlignment="1">
      <alignment horizontal="center" vertical="top" wrapText="1"/>
    </xf>
    <xf numFmtId="165" fontId="35" fillId="4" borderId="112" xfId="0" applyNumberFormat="1" applyFont="1" applyFill="1" applyBorder="1" applyAlignment="1">
      <alignment horizontal="center" vertical="top"/>
    </xf>
    <xf numFmtId="165" fontId="35" fillId="8" borderId="94" xfId="0" applyNumberFormat="1" applyFont="1" applyFill="1" applyBorder="1" applyAlignment="1">
      <alignment horizontal="center" vertical="top" wrapText="1"/>
    </xf>
    <xf numFmtId="165" fontId="35" fillId="5" borderId="21" xfId="0" applyNumberFormat="1" applyFont="1" applyFill="1" applyBorder="1" applyAlignment="1">
      <alignment horizontal="center" vertical="top"/>
    </xf>
    <xf numFmtId="165" fontId="4" fillId="5" borderId="93" xfId="0" applyNumberFormat="1" applyFont="1" applyFill="1" applyBorder="1" applyAlignment="1">
      <alignment horizontal="center" vertical="top"/>
    </xf>
    <xf numFmtId="165" fontId="2" fillId="0" borderId="94" xfId="0" applyNumberFormat="1" applyFont="1" applyBorder="1" applyAlignment="1">
      <alignment horizontal="center" vertical="top"/>
    </xf>
    <xf numFmtId="3" fontId="2" fillId="6" borderId="42" xfId="1" applyNumberFormat="1" applyFont="1" applyFill="1" applyBorder="1" applyAlignment="1">
      <alignment horizontal="center" vertical="top"/>
    </xf>
    <xf numFmtId="165" fontId="4" fillId="9" borderId="77" xfId="0" applyNumberFormat="1" applyFont="1" applyFill="1" applyBorder="1" applyAlignment="1">
      <alignment horizontal="center" vertical="top"/>
    </xf>
    <xf numFmtId="0" fontId="2" fillId="0" borderId="85" xfId="0" applyFont="1" applyBorder="1" applyAlignment="1">
      <alignment horizontal="center" vertical="center" textRotation="90"/>
    </xf>
    <xf numFmtId="3" fontId="2" fillId="8" borderId="2" xfId="0" applyNumberFormat="1" applyFont="1" applyFill="1" applyBorder="1" applyAlignment="1">
      <alignment horizontal="center" vertical="top"/>
    </xf>
    <xf numFmtId="3" fontId="26" fillId="6" borderId="30" xfId="0" applyNumberFormat="1" applyFont="1" applyFill="1" applyBorder="1" applyAlignment="1">
      <alignment horizontal="center" vertical="top"/>
    </xf>
    <xf numFmtId="3" fontId="36" fillId="6" borderId="42" xfId="0" applyNumberFormat="1" applyFont="1" applyFill="1" applyBorder="1" applyAlignment="1">
      <alignment horizontal="center" vertical="top"/>
    </xf>
    <xf numFmtId="165" fontId="2" fillId="6" borderId="70" xfId="0" applyNumberFormat="1" applyFont="1" applyFill="1" applyBorder="1" applyAlignment="1">
      <alignment horizontal="center" vertical="top" wrapText="1"/>
    </xf>
    <xf numFmtId="165" fontId="2" fillId="6" borderId="118" xfId="0" applyNumberFormat="1" applyFont="1" applyFill="1" applyBorder="1" applyAlignment="1">
      <alignment horizontal="center" vertical="top" wrapText="1"/>
    </xf>
    <xf numFmtId="0" fontId="2" fillId="6" borderId="48" xfId="0" applyFont="1" applyFill="1" applyBorder="1" applyAlignment="1">
      <alignment horizontal="center" vertical="top"/>
    </xf>
    <xf numFmtId="3" fontId="2" fillId="6" borderId="114" xfId="0" applyNumberFormat="1" applyFont="1" applyFill="1" applyBorder="1" applyAlignment="1">
      <alignment horizontal="center" vertical="top"/>
    </xf>
    <xf numFmtId="165" fontId="31" fillId="6" borderId="5" xfId="0" applyNumberFormat="1" applyFont="1" applyFill="1" applyBorder="1" applyAlignment="1">
      <alignment horizontal="center" vertical="top"/>
    </xf>
    <xf numFmtId="164" fontId="31" fillId="6" borderId="8" xfId="0" applyNumberFormat="1" applyFont="1" applyFill="1" applyBorder="1" applyAlignment="1">
      <alignment horizontal="center" vertical="top"/>
    </xf>
    <xf numFmtId="165" fontId="31" fillId="6" borderId="8" xfId="0" applyNumberFormat="1" applyFont="1" applyFill="1" applyBorder="1" applyAlignment="1">
      <alignment horizontal="center" vertical="top"/>
    </xf>
    <xf numFmtId="165" fontId="2" fillId="6" borderId="58" xfId="0" applyNumberFormat="1" applyFont="1" applyFill="1" applyBorder="1" applyAlignment="1">
      <alignment horizontal="center" vertical="top"/>
    </xf>
    <xf numFmtId="0" fontId="31" fillId="0" borderId="8" xfId="0" applyFont="1" applyBorder="1" applyAlignment="1">
      <alignment vertical="top"/>
    </xf>
    <xf numFmtId="165" fontId="31" fillId="6" borderId="73" xfId="0" applyNumberFormat="1" applyFont="1" applyFill="1" applyBorder="1" applyAlignment="1">
      <alignment horizontal="center" vertical="top"/>
    </xf>
    <xf numFmtId="0" fontId="31" fillId="6" borderId="8" xfId="0" applyFont="1" applyFill="1" applyBorder="1" applyAlignment="1">
      <alignment vertical="top"/>
    </xf>
    <xf numFmtId="165" fontId="2" fillId="8" borderId="17" xfId="0" applyNumberFormat="1" applyFont="1" applyFill="1" applyBorder="1" applyAlignment="1">
      <alignment horizontal="center" vertical="top"/>
    </xf>
    <xf numFmtId="164" fontId="31" fillId="6" borderId="8" xfId="0" applyNumberFormat="1" applyFont="1" applyFill="1" applyBorder="1" applyAlignment="1">
      <alignment horizontal="center" vertical="top" wrapText="1"/>
    </xf>
    <xf numFmtId="165" fontId="31" fillId="6" borderId="8" xfId="0" applyNumberFormat="1" applyFont="1" applyFill="1" applyBorder="1" applyAlignment="1">
      <alignment horizontal="center" vertical="center"/>
    </xf>
    <xf numFmtId="165" fontId="31" fillId="6" borderId="74" xfId="0" applyNumberFormat="1" applyFont="1" applyFill="1" applyBorder="1" applyAlignment="1">
      <alignment horizontal="center" vertical="top"/>
    </xf>
    <xf numFmtId="165" fontId="31" fillId="6" borderId="17" xfId="0" applyNumberFormat="1" applyFont="1" applyFill="1" applyBorder="1" applyAlignment="1">
      <alignment horizontal="center" vertical="top"/>
    </xf>
    <xf numFmtId="165" fontId="2" fillId="6" borderId="37" xfId="0" applyNumberFormat="1" applyFont="1" applyFill="1" applyBorder="1" applyAlignment="1">
      <alignment horizontal="center" vertical="center"/>
    </xf>
    <xf numFmtId="165" fontId="2" fillId="6" borderId="8" xfId="0" applyNumberFormat="1" applyFont="1" applyFill="1" applyBorder="1" applyAlignment="1">
      <alignment horizontal="center" vertical="center"/>
    </xf>
    <xf numFmtId="165" fontId="2" fillId="2" borderId="37" xfId="0" applyNumberFormat="1" applyFont="1" applyFill="1" applyBorder="1" applyAlignment="1">
      <alignment horizontal="center" vertical="top"/>
    </xf>
    <xf numFmtId="165" fontId="2" fillId="2" borderId="8" xfId="0" applyNumberFormat="1" applyFont="1" applyFill="1" applyBorder="1" applyAlignment="1">
      <alignment horizontal="center" vertical="top"/>
    </xf>
    <xf numFmtId="165" fontId="2" fillId="2" borderId="18" xfId="0" applyNumberFormat="1" applyFont="1" applyFill="1" applyBorder="1" applyAlignment="1">
      <alignment horizontal="center" vertical="top"/>
    </xf>
    <xf numFmtId="165" fontId="31" fillId="0" borderId="17" xfId="0" applyNumberFormat="1" applyFont="1" applyFill="1" applyBorder="1" applyAlignment="1">
      <alignment horizontal="center" vertical="top"/>
    </xf>
    <xf numFmtId="165" fontId="31" fillId="0" borderId="8" xfId="0" applyNumberFormat="1" applyFont="1" applyFill="1" applyBorder="1" applyAlignment="1">
      <alignment horizontal="center" vertical="top"/>
    </xf>
    <xf numFmtId="164" fontId="31" fillId="6" borderId="17" xfId="0" applyNumberFormat="1" applyFont="1" applyFill="1" applyBorder="1" applyAlignment="1">
      <alignment horizontal="center" vertical="top" wrapText="1"/>
    </xf>
    <xf numFmtId="164" fontId="31" fillId="6" borderId="5" xfId="0" applyNumberFormat="1" applyFont="1" applyFill="1" applyBorder="1" applyAlignment="1">
      <alignment horizontal="center" vertical="top" wrapText="1"/>
    </xf>
    <xf numFmtId="0" fontId="6" fillId="9" borderId="54" xfId="0" applyFont="1" applyFill="1" applyBorder="1" applyAlignment="1">
      <alignment horizontal="left" vertical="top" wrapText="1"/>
    </xf>
    <xf numFmtId="165" fontId="32" fillId="6" borderId="5" xfId="0" applyNumberFormat="1" applyFont="1" applyFill="1" applyBorder="1" applyAlignment="1">
      <alignment horizontal="center" vertical="top"/>
    </xf>
    <xf numFmtId="165" fontId="32" fillId="6" borderId="18" xfId="0" applyNumberFormat="1" applyFont="1" applyFill="1" applyBorder="1" applyAlignment="1">
      <alignment horizontal="center" vertical="top"/>
    </xf>
    <xf numFmtId="164" fontId="32" fillId="12" borderId="18" xfId="0" applyNumberFormat="1" applyFont="1" applyFill="1" applyBorder="1" applyAlignment="1">
      <alignment horizontal="center" vertical="top"/>
    </xf>
    <xf numFmtId="165" fontId="32" fillId="6" borderId="8" xfId="0" applyNumberFormat="1" applyFont="1" applyFill="1" applyBorder="1" applyAlignment="1">
      <alignment horizontal="center" vertical="top"/>
    </xf>
    <xf numFmtId="165" fontId="4" fillId="4" borderId="95" xfId="0" applyNumberFormat="1" applyFont="1" applyFill="1" applyBorder="1" applyAlignment="1">
      <alignment horizontal="center" vertical="top"/>
    </xf>
    <xf numFmtId="0" fontId="21" fillId="0" borderId="95" xfId="0" applyFont="1" applyBorder="1" applyAlignment="1">
      <alignment horizontal="center" vertical="center" textRotation="90" wrapText="1"/>
    </xf>
    <xf numFmtId="165" fontId="35" fillId="8" borderId="96" xfId="0" applyNumberFormat="1" applyFont="1" applyFill="1" applyBorder="1" applyAlignment="1">
      <alignment horizontal="center" vertical="top"/>
    </xf>
    <xf numFmtId="165" fontId="35" fillId="8" borderId="114" xfId="0" applyNumberFormat="1" applyFont="1" applyFill="1" applyBorder="1" applyAlignment="1">
      <alignment horizontal="center" vertical="top"/>
    </xf>
    <xf numFmtId="165" fontId="35" fillId="8" borderId="77" xfId="0" applyNumberFormat="1" applyFont="1" applyFill="1" applyBorder="1" applyAlignment="1">
      <alignment horizontal="center" vertical="top"/>
    </xf>
    <xf numFmtId="165" fontId="35" fillId="3" borderId="116" xfId="0" applyNumberFormat="1" applyFont="1" applyFill="1" applyBorder="1" applyAlignment="1">
      <alignment horizontal="center" vertical="top"/>
    </xf>
    <xf numFmtId="165" fontId="35" fillId="3" borderId="100" xfId="0" applyNumberFormat="1" applyFont="1" applyFill="1" applyBorder="1" applyAlignment="1">
      <alignment horizontal="center" vertical="top"/>
    </xf>
    <xf numFmtId="165" fontId="35" fillId="3" borderId="4" xfId="0" applyNumberFormat="1" applyFont="1" applyFill="1" applyBorder="1" applyAlignment="1">
      <alignment horizontal="center" vertical="top"/>
    </xf>
    <xf numFmtId="165" fontId="4" fillId="10" borderId="50" xfId="0" applyNumberFormat="1" applyFont="1" applyFill="1" applyBorder="1" applyAlignment="1">
      <alignment horizontal="center" vertical="top"/>
    </xf>
    <xf numFmtId="165" fontId="35" fillId="10" borderId="4" xfId="0" applyNumberFormat="1" applyFont="1" applyFill="1" applyBorder="1" applyAlignment="1">
      <alignment horizontal="center" vertical="top"/>
    </xf>
    <xf numFmtId="165" fontId="35" fillId="4" borderId="100" xfId="0" applyNumberFormat="1" applyFont="1" applyFill="1" applyBorder="1" applyAlignment="1">
      <alignment horizontal="center" vertical="top"/>
    </xf>
    <xf numFmtId="0" fontId="27" fillId="0" borderId="0" xfId="0" applyFont="1" applyBorder="1" applyAlignment="1">
      <alignment vertical="center"/>
    </xf>
    <xf numFmtId="3" fontId="36" fillId="6" borderId="1" xfId="0" applyNumberFormat="1" applyFont="1" applyFill="1" applyBorder="1" applyAlignment="1">
      <alignment horizontal="center" vertical="top" wrapText="1"/>
    </xf>
    <xf numFmtId="0" fontId="2" fillId="0" borderId="87" xfId="0" applyFont="1" applyBorder="1" applyAlignment="1">
      <alignment horizontal="center" vertical="center" textRotation="90"/>
    </xf>
    <xf numFmtId="0" fontId="2" fillId="0" borderId="86" xfId="0" applyFont="1" applyBorder="1" applyAlignment="1">
      <alignment horizontal="center" vertical="center" textRotation="90"/>
    </xf>
    <xf numFmtId="0" fontId="34" fillId="0" borderId="31" xfId="0" applyFont="1" applyBorder="1" applyAlignment="1">
      <alignment vertical="top"/>
    </xf>
    <xf numFmtId="3" fontId="31" fillId="0" borderId="31" xfId="0" applyNumberFormat="1" applyFont="1" applyBorder="1" applyAlignment="1">
      <alignment vertical="top"/>
    </xf>
    <xf numFmtId="164" fontId="2" fillId="6" borderId="67" xfId="0" applyNumberFormat="1" applyFont="1" applyFill="1" applyBorder="1" applyAlignment="1">
      <alignment horizontal="center" vertical="top"/>
    </xf>
    <xf numFmtId="49" fontId="2" fillId="6" borderId="72" xfId="0" applyNumberFormat="1" applyFont="1" applyFill="1" applyBorder="1" applyAlignment="1">
      <alignment horizontal="center" vertical="top"/>
    </xf>
    <xf numFmtId="49" fontId="2" fillId="6" borderId="67" xfId="0" applyNumberFormat="1" applyFont="1" applyFill="1" applyBorder="1" applyAlignment="1">
      <alignment horizontal="center" vertical="top"/>
    </xf>
    <xf numFmtId="0" fontId="26" fillId="0" borderId="14" xfId="0" applyFont="1" applyBorder="1" applyAlignment="1">
      <alignment horizontal="center" vertical="top"/>
    </xf>
    <xf numFmtId="0" fontId="26" fillId="6" borderId="14" xfId="0" applyFont="1" applyFill="1" applyBorder="1" applyAlignment="1">
      <alignment horizontal="center" vertical="top"/>
    </xf>
    <xf numFmtId="0" fontId="36" fillId="6" borderId="1" xfId="0" applyFont="1" applyFill="1" applyBorder="1" applyAlignment="1">
      <alignment horizontal="center" vertical="top"/>
    </xf>
    <xf numFmtId="0" fontId="2" fillId="6" borderId="13" xfId="0" applyFont="1" applyFill="1" applyBorder="1" applyAlignment="1">
      <alignment vertical="top" wrapText="1"/>
    </xf>
    <xf numFmtId="0" fontId="2" fillId="6" borderId="16" xfId="0" applyFont="1" applyFill="1" applyBorder="1" applyAlignment="1">
      <alignment vertical="top" wrapText="1"/>
    </xf>
    <xf numFmtId="0" fontId="6" fillId="9" borderId="53" xfId="0" applyFont="1" applyFill="1" applyBorder="1" applyAlignment="1">
      <alignment horizontal="left" vertical="top" wrapText="1"/>
    </xf>
    <xf numFmtId="0" fontId="2" fillId="6" borderId="16" xfId="0" applyFont="1" applyFill="1" applyBorder="1" applyAlignment="1">
      <alignment horizontal="left" vertical="top" wrapText="1"/>
    </xf>
    <xf numFmtId="0" fontId="2" fillId="6" borderId="13" xfId="0" applyFont="1" applyFill="1" applyBorder="1" applyAlignment="1">
      <alignment horizontal="left" vertical="top" wrapText="1"/>
    </xf>
    <xf numFmtId="0" fontId="2" fillId="6" borderId="25" xfId="0" applyFont="1" applyFill="1" applyBorder="1" applyAlignment="1">
      <alignment horizontal="left" vertical="top" wrapText="1"/>
    </xf>
    <xf numFmtId="0" fontId="2" fillId="6" borderId="25" xfId="0" applyFont="1" applyFill="1" applyBorder="1" applyAlignment="1">
      <alignment vertical="top" wrapText="1"/>
    </xf>
    <xf numFmtId="0" fontId="4" fillId="6" borderId="16" xfId="0" applyFont="1" applyFill="1" applyBorder="1" applyAlignment="1">
      <alignment horizontal="center" vertical="top" wrapText="1"/>
    </xf>
    <xf numFmtId="0" fontId="4" fillId="6" borderId="13" xfId="0" applyFont="1" applyFill="1" applyBorder="1" applyAlignment="1">
      <alignment horizontal="center" vertical="top" wrapText="1"/>
    </xf>
    <xf numFmtId="0" fontId="2" fillId="6" borderId="5" xfId="0" applyFont="1" applyFill="1" applyBorder="1" applyAlignment="1">
      <alignment horizontal="left" vertical="top" wrapText="1"/>
    </xf>
    <xf numFmtId="0" fontId="2" fillId="6" borderId="74" xfId="0" applyFont="1" applyFill="1" applyBorder="1" applyAlignment="1">
      <alignment horizontal="left" vertical="top" wrapText="1"/>
    </xf>
    <xf numFmtId="49" fontId="4" fillId="10" borderId="9" xfId="0" applyNumberFormat="1" applyFont="1" applyFill="1" applyBorder="1" applyAlignment="1">
      <alignment horizontal="center" vertical="top"/>
    </xf>
    <xf numFmtId="49" fontId="4" fillId="3" borderId="13" xfId="0" applyNumberFormat="1" applyFont="1" applyFill="1" applyBorder="1" applyAlignment="1">
      <alignment horizontal="center" vertical="top"/>
    </xf>
    <xf numFmtId="49" fontId="4" fillId="8" borderId="13" xfId="0" applyNumberFormat="1" applyFont="1" applyFill="1" applyBorder="1" applyAlignment="1">
      <alignment horizontal="center" vertical="top" wrapText="1"/>
    </xf>
    <xf numFmtId="0" fontId="6" fillId="6" borderId="41" xfId="0" applyFont="1" applyFill="1" applyBorder="1" applyAlignment="1"/>
    <xf numFmtId="0" fontId="2" fillId="6" borderId="73" xfId="0" applyFont="1" applyFill="1" applyBorder="1" applyAlignment="1">
      <alignment horizontal="left" vertical="top" wrapText="1"/>
    </xf>
    <xf numFmtId="0" fontId="6" fillId="6" borderId="13" xfId="0" applyFont="1" applyFill="1" applyBorder="1" applyAlignment="1">
      <alignment vertical="top" wrapText="1"/>
    </xf>
    <xf numFmtId="0" fontId="4" fillId="2" borderId="13" xfId="0" applyFont="1" applyFill="1" applyBorder="1" applyAlignment="1">
      <alignment horizontal="left" vertical="top" wrapText="1"/>
    </xf>
    <xf numFmtId="0" fontId="2" fillId="6" borderId="5" xfId="0" applyFont="1" applyFill="1" applyBorder="1" applyAlignment="1">
      <alignment vertical="top" wrapText="1"/>
    </xf>
    <xf numFmtId="0" fontId="2" fillId="6" borderId="8" xfId="0" applyFont="1" applyFill="1" applyBorder="1" applyAlignment="1">
      <alignment vertical="top" wrapText="1"/>
    </xf>
    <xf numFmtId="49" fontId="4" fillId="8" borderId="13" xfId="0" applyNumberFormat="1" applyFont="1" applyFill="1" applyBorder="1" applyAlignment="1">
      <alignment horizontal="center" vertical="top"/>
    </xf>
    <xf numFmtId="0" fontId="2" fillId="6" borderId="18" xfId="0" applyFont="1" applyFill="1" applyBorder="1" applyAlignment="1">
      <alignment horizontal="left" vertical="top" wrapText="1"/>
    </xf>
    <xf numFmtId="49" fontId="4" fillId="3" borderId="41" xfId="0" applyNumberFormat="1" applyFont="1" applyFill="1" applyBorder="1" applyAlignment="1">
      <alignment horizontal="center" vertical="top"/>
    </xf>
    <xf numFmtId="0" fontId="4" fillId="6" borderId="20" xfId="0" applyFont="1" applyFill="1" applyBorder="1" applyAlignment="1">
      <alignment horizontal="center" vertical="top" wrapText="1"/>
    </xf>
    <xf numFmtId="0" fontId="4" fillId="6" borderId="25" xfId="0" applyFont="1" applyFill="1" applyBorder="1" applyAlignment="1">
      <alignment horizontal="center" vertical="top" wrapText="1"/>
    </xf>
    <xf numFmtId="0" fontId="2" fillId="6" borderId="37" xfId="0" applyFont="1" applyFill="1" applyBorder="1" applyAlignment="1">
      <alignment horizontal="left" vertical="top" wrapText="1"/>
    </xf>
    <xf numFmtId="1" fontId="2" fillId="6" borderId="68" xfId="0" applyNumberFormat="1" applyFont="1" applyFill="1" applyBorder="1" applyAlignment="1">
      <alignment horizontal="center" vertical="top" wrapText="1"/>
    </xf>
    <xf numFmtId="1" fontId="2" fillId="6" borderId="69" xfId="0" applyNumberFormat="1" applyFont="1" applyFill="1" applyBorder="1" applyAlignment="1">
      <alignment horizontal="center" vertical="top" wrapText="1"/>
    </xf>
    <xf numFmtId="1" fontId="2" fillId="6" borderId="71" xfId="0" applyNumberFormat="1" applyFont="1" applyFill="1" applyBorder="1" applyAlignment="1">
      <alignment horizontal="center" vertical="top" wrapText="1"/>
    </xf>
    <xf numFmtId="1" fontId="2" fillId="6" borderId="70" xfId="0" applyNumberFormat="1" applyFont="1" applyFill="1" applyBorder="1" applyAlignment="1">
      <alignment horizontal="center" vertical="top" wrapText="1"/>
    </xf>
    <xf numFmtId="1" fontId="2" fillId="6" borderId="72" xfId="0" applyNumberFormat="1" applyFont="1" applyFill="1" applyBorder="1" applyAlignment="1">
      <alignment horizontal="center" vertical="top" wrapText="1"/>
    </xf>
    <xf numFmtId="1" fontId="2" fillId="6" borderId="61" xfId="0" applyNumberFormat="1" applyFont="1" applyFill="1" applyBorder="1" applyAlignment="1">
      <alignment horizontal="center" vertical="top" wrapText="1"/>
    </xf>
    <xf numFmtId="0" fontId="2" fillId="6" borderId="41" xfId="0" applyFont="1" applyFill="1" applyBorder="1" applyAlignment="1">
      <alignment horizontal="left" vertical="top" wrapText="1"/>
    </xf>
    <xf numFmtId="0" fontId="2" fillId="6" borderId="5" xfId="1" applyFont="1" applyFill="1" applyBorder="1" applyAlignment="1">
      <alignment vertical="top" wrapText="1"/>
    </xf>
    <xf numFmtId="0" fontId="6" fillId="6" borderId="18" xfId="0" applyFont="1" applyFill="1" applyBorder="1" applyAlignment="1">
      <alignment vertical="top" wrapText="1"/>
    </xf>
    <xf numFmtId="0" fontId="2" fillId="6" borderId="8" xfId="0" applyFont="1" applyFill="1" applyBorder="1" applyAlignment="1">
      <alignment horizontal="left" vertical="top" wrapText="1"/>
    </xf>
    <xf numFmtId="0" fontId="2" fillId="6" borderId="13" xfId="0" applyFont="1" applyFill="1" applyBorder="1" applyAlignment="1">
      <alignment horizontal="center" vertical="center" textRotation="90" wrapText="1"/>
    </xf>
    <xf numFmtId="0" fontId="2" fillId="6" borderId="8" xfId="1" applyFont="1" applyFill="1" applyBorder="1" applyAlignment="1">
      <alignment vertical="top" wrapText="1"/>
    </xf>
    <xf numFmtId="0" fontId="2" fillId="6" borderId="18" xfId="1" applyFont="1" applyFill="1" applyBorder="1" applyAlignment="1">
      <alignment vertical="top" wrapText="1"/>
    </xf>
    <xf numFmtId="0" fontId="2" fillId="6" borderId="8" xfId="1" applyFont="1" applyFill="1" applyBorder="1" applyAlignment="1">
      <alignment horizontal="left" vertical="top" wrapText="1"/>
    </xf>
    <xf numFmtId="3" fontId="2" fillId="6" borderId="36" xfId="1" applyNumberFormat="1" applyFont="1" applyFill="1" applyBorder="1" applyAlignment="1">
      <alignment horizontal="center" vertical="top"/>
    </xf>
    <xf numFmtId="3" fontId="2" fillId="6" borderId="22" xfId="1" applyNumberFormat="1" applyFont="1" applyFill="1" applyBorder="1" applyAlignment="1">
      <alignment horizontal="center" vertical="top"/>
    </xf>
    <xf numFmtId="3" fontId="2" fillId="6" borderId="16" xfId="1" applyNumberFormat="1" applyFont="1" applyFill="1" applyBorder="1" applyAlignment="1">
      <alignment horizontal="center" vertical="top"/>
    </xf>
    <xf numFmtId="3" fontId="2" fillId="6" borderId="25" xfId="1" applyNumberFormat="1" applyFont="1" applyFill="1" applyBorder="1" applyAlignment="1">
      <alignment horizontal="center" vertical="top"/>
    </xf>
    <xf numFmtId="3" fontId="2" fillId="6" borderId="1" xfId="1" applyNumberFormat="1" applyFont="1" applyFill="1" applyBorder="1" applyAlignment="1">
      <alignment horizontal="center" vertical="top"/>
    </xf>
    <xf numFmtId="3" fontId="2" fillId="6" borderId="24" xfId="1" applyNumberFormat="1" applyFont="1" applyFill="1" applyBorder="1" applyAlignment="1">
      <alignment horizontal="center" vertical="top"/>
    </xf>
    <xf numFmtId="0" fontId="2" fillId="6" borderId="71" xfId="0" applyFont="1" applyFill="1" applyBorder="1" applyAlignment="1">
      <alignment vertical="top" wrapText="1"/>
    </xf>
    <xf numFmtId="0" fontId="2" fillId="0" borderId="13" xfId="0" applyFont="1" applyBorder="1" applyAlignment="1">
      <alignment horizontal="center" vertical="top"/>
    </xf>
    <xf numFmtId="0" fontId="2" fillId="0" borderId="25" xfId="0" applyFont="1" applyBorder="1" applyAlignment="1">
      <alignment horizontal="center" vertical="top"/>
    </xf>
    <xf numFmtId="0" fontId="2" fillId="0" borderId="9" xfId="0" applyFont="1" applyBorder="1" applyAlignment="1">
      <alignment horizontal="center" vertical="top"/>
    </xf>
    <xf numFmtId="0" fontId="2" fillId="0" borderId="22" xfId="0" applyFont="1" applyBorder="1" applyAlignment="1">
      <alignment horizontal="center" vertical="top"/>
    </xf>
    <xf numFmtId="0" fontId="2" fillId="6" borderId="73" xfId="0" applyFont="1" applyFill="1" applyBorder="1" applyAlignment="1">
      <alignment vertical="top" wrapText="1"/>
    </xf>
    <xf numFmtId="0" fontId="6" fillId="0" borderId="0" xfId="0" applyFont="1" applyBorder="1"/>
    <xf numFmtId="0" fontId="4" fillId="6" borderId="16" xfId="0" applyFont="1" applyFill="1" applyBorder="1" applyAlignment="1">
      <alignment horizontal="center" vertical="top" wrapText="1"/>
    </xf>
    <xf numFmtId="0" fontId="4" fillId="6" borderId="14" xfId="0" applyFont="1" applyFill="1" applyBorder="1" applyAlignment="1">
      <alignment horizontal="center" vertical="center" wrapText="1"/>
    </xf>
    <xf numFmtId="0" fontId="2" fillId="6" borderId="73" xfId="0" applyFont="1" applyFill="1" applyBorder="1" applyAlignment="1">
      <alignment vertical="top" wrapText="1"/>
    </xf>
    <xf numFmtId="1" fontId="2" fillId="6" borderId="70" xfId="0" applyNumberFormat="1" applyFont="1" applyFill="1" applyBorder="1" applyAlignment="1">
      <alignment horizontal="center" vertical="top" wrapText="1"/>
    </xf>
    <xf numFmtId="1" fontId="2" fillId="6" borderId="61" xfId="0" applyNumberFormat="1" applyFont="1" applyFill="1" applyBorder="1" applyAlignment="1">
      <alignment horizontal="center" vertical="top" wrapText="1"/>
    </xf>
    <xf numFmtId="49" fontId="2" fillId="6" borderId="44" xfId="0" applyNumberFormat="1" applyFont="1" applyFill="1" applyBorder="1" applyAlignment="1">
      <alignment horizontal="center" vertical="top" wrapText="1"/>
    </xf>
    <xf numFmtId="0" fontId="2" fillId="6" borderId="13" xfId="0" applyFont="1" applyFill="1" applyBorder="1" applyAlignment="1">
      <alignment horizontal="left" vertical="top" wrapText="1"/>
    </xf>
    <xf numFmtId="49" fontId="4" fillId="10" borderId="9" xfId="0" applyNumberFormat="1" applyFont="1" applyFill="1" applyBorder="1" applyAlignment="1">
      <alignment horizontal="center" vertical="top"/>
    </xf>
    <xf numFmtId="49" fontId="4" fillId="8" borderId="13" xfId="0" applyNumberFormat="1" applyFont="1" applyFill="1" applyBorder="1" applyAlignment="1">
      <alignment horizontal="center" vertical="top"/>
    </xf>
    <xf numFmtId="0" fontId="2" fillId="6" borderId="5" xfId="1" applyFont="1" applyFill="1" applyBorder="1" applyAlignment="1">
      <alignment vertical="top" wrapText="1"/>
    </xf>
    <xf numFmtId="49" fontId="4" fillId="3" borderId="41" xfId="0" applyNumberFormat="1" applyFont="1" applyFill="1" applyBorder="1" applyAlignment="1">
      <alignment horizontal="center" vertical="top"/>
    </xf>
    <xf numFmtId="3" fontId="2" fillId="6" borderId="41" xfId="0" applyNumberFormat="1" applyFont="1" applyFill="1" applyBorder="1" applyAlignment="1">
      <alignment horizontal="center" vertical="top" wrapText="1"/>
    </xf>
    <xf numFmtId="3" fontId="2" fillId="6" borderId="108" xfId="0" applyNumberFormat="1" applyFont="1" applyFill="1" applyBorder="1" applyAlignment="1">
      <alignment horizontal="center" vertical="top" wrapText="1"/>
    </xf>
    <xf numFmtId="0" fontId="2" fillId="6" borderId="13" xfId="0" applyFont="1" applyFill="1" applyBorder="1" applyAlignment="1">
      <alignment horizontal="center" vertical="center" textRotation="90"/>
    </xf>
    <xf numFmtId="0" fontId="2" fillId="6" borderId="14" xfId="0" applyFont="1" applyFill="1" applyBorder="1" applyAlignment="1">
      <alignment horizontal="center" vertical="center" textRotation="90"/>
    </xf>
    <xf numFmtId="0" fontId="4" fillId="6" borderId="72" xfId="0" applyFont="1" applyFill="1" applyBorder="1" applyAlignment="1">
      <alignment horizontal="center" vertical="top" wrapText="1"/>
    </xf>
    <xf numFmtId="165" fontId="2" fillId="6" borderId="90" xfId="0" applyNumberFormat="1" applyFont="1" applyFill="1" applyBorder="1" applyAlignment="1">
      <alignment horizontal="left" vertical="top"/>
    </xf>
    <xf numFmtId="0" fontId="2" fillId="6" borderId="109" xfId="0" applyNumberFormat="1" applyFont="1" applyFill="1" applyBorder="1" applyAlignment="1">
      <alignment horizontal="center" vertical="top" wrapText="1"/>
    </xf>
    <xf numFmtId="0" fontId="4" fillId="6" borderId="94" xfId="0" applyFont="1" applyFill="1" applyBorder="1" applyAlignment="1">
      <alignment horizontal="center" vertical="top" wrapText="1"/>
    </xf>
    <xf numFmtId="3" fontId="2" fillId="6" borderId="12" xfId="0" applyNumberFormat="1" applyFont="1" applyFill="1" applyBorder="1" applyAlignment="1">
      <alignment horizontal="center" vertical="top" wrapText="1"/>
    </xf>
    <xf numFmtId="3" fontId="2" fillId="6" borderId="2" xfId="0" applyNumberFormat="1" applyFont="1" applyFill="1" applyBorder="1" applyAlignment="1">
      <alignment horizontal="center" vertical="top" wrapText="1"/>
    </xf>
    <xf numFmtId="0" fontId="2" fillId="0" borderId="62" xfId="0" applyFont="1" applyBorder="1" applyAlignment="1">
      <alignment horizontal="center" vertical="top"/>
    </xf>
    <xf numFmtId="0" fontId="2" fillId="0" borderId="65" xfId="0" applyFont="1" applyBorder="1" applyAlignment="1">
      <alignment horizontal="center" vertical="top"/>
    </xf>
    <xf numFmtId="0" fontId="32" fillId="6" borderId="17" xfId="0" applyFont="1" applyFill="1" applyBorder="1" applyAlignment="1">
      <alignment horizontal="center" vertical="top" wrapText="1"/>
    </xf>
    <xf numFmtId="165" fontId="32" fillId="6" borderId="12" xfId="0" applyNumberFormat="1" applyFont="1" applyFill="1" applyBorder="1" applyAlignment="1">
      <alignment horizontal="center" vertical="top"/>
    </xf>
    <xf numFmtId="165" fontId="32" fillId="6" borderId="2" xfId="0" applyNumberFormat="1" applyFont="1" applyFill="1" applyBorder="1" applyAlignment="1">
      <alignment horizontal="center" vertical="top"/>
    </xf>
    <xf numFmtId="165" fontId="32" fillId="6" borderId="94" xfId="0" applyNumberFormat="1" applyFont="1" applyFill="1" applyBorder="1" applyAlignment="1">
      <alignment horizontal="center" vertical="top"/>
    </xf>
    <xf numFmtId="0" fontId="2" fillId="6" borderId="13" xfId="0" applyFont="1" applyFill="1" applyBorder="1" applyAlignment="1">
      <alignment vertical="top" wrapText="1"/>
    </xf>
    <xf numFmtId="0" fontId="2" fillId="6" borderId="73" xfId="0" applyFont="1" applyFill="1" applyBorder="1" applyAlignment="1">
      <alignment horizontal="left" vertical="top" wrapText="1"/>
    </xf>
    <xf numFmtId="0" fontId="2" fillId="6" borderId="8" xfId="0" applyFont="1" applyFill="1" applyBorder="1" applyAlignment="1">
      <alignment horizontal="left" vertical="top" wrapText="1"/>
    </xf>
    <xf numFmtId="0" fontId="2" fillId="6" borderId="17" xfId="0" applyFont="1" applyFill="1" applyBorder="1" applyAlignment="1">
      <alignment vertical="top" wrapText="1"/>
    </xf>
    <xf numFmtId="0" fontId="2" fillId="6" borderId="30" xfId="0" applyFont="1" applyFill="1" applyBorder="1" applyAlignment="1">
      <alignment horizontal="left" vertical="top" wrapText="1"/>
    </xf>
    <xf numFmtId="3" fontId="2" fillId="6" borderId="1" xfId="1" applyNumberFormat="1" applyFont="1" applyFill="1" applyBorder="1" applyAlignment="1">
      <alignment horizontal="center" vertical="top"/>
    </xf>
    <xf numFmtId="0" fontId="2" fillId="6" borderId="74" xfId="0" applyFont="1" applyFill="1" applyBorder="1" applyAlignment="1">
      <alignment horizontal="left" vertical="top" wrapText="1"/>
    </xf>
    <xf numFmtId="49" fontId="4" fillId="10" borderId="9" xfId="0" applyNumberFormat="1" applyFont="1" applyFill="1" applyBorder="1" applyAlignment="1">
      <alignment horizontal="center" vertical="top"/>
    </xf>
    <xf numFmtId="49" fontId="4" fillId="8" borderId="13" xfId="0" applyNumberFormat="1" applyFont="1" applyFill="1" applyBorder="1" applyAlignment="1">
      <alignment horizontal="center" vertical="top"/>
    </xf>
    <xf numFmtId="0" fontId="2" fillId="6" borderId="13" xfId="0" applyFont="1" applyFill="1" applyBorder="1" applyAlignment="1">
      <alignment horizontal="center" vertical="center" textRotation="90" wrapText="1"/>
    </xf>
    <xf numFmtId="49" fontId="4" fillId="3" borderId="41" xfId="0" applyNumberFormat="1" applyFont="1" applyFill="1" applyBorder="1" applyAlignment="1">
      <alignment horizontal="center" vertical="top"/>
    </xf>
    <xf numFmtId="0" fontId="2" fillId="6" borderId="41" xfId="0" applyFont="1" applyFill="1" applyBorder="1" applyAlignment="1">
      <alignment horizontal="left" vertical="top" wrapText="1"/>
    </xf>
    <xf numFmtId="3" fontId="2" fillId="6" borderId="41" xfId="1" applyNumberFormat="1" applyFont="1" applyFill="1" applyBorder="1" applyAlignment="1">
      <alignment horizontal="center" vertical="top"/>
    </xf>
    <xf numFmtId="3" fontId="2" fillId="6" borderId="39" xfId="1" applyNumberFormat="1" applyFont="1" applyFill="1" applyBorder="1" applyAlignment="1">
      <alignment horizontal="center" vertical="top"/>
    </xf>
    <xf numFmtId="49" fontId="4" fillId="10" borderId="9" xfId="0" applyNumberFormat="1" applyFont="1" applyFill="1" applyBorder="1" applyAlignment="1">
      <alignment horizontal="center" vertical="top"/>
    </xf>
    <xf numFmtId="0" fontId="2" fillId="6" borderId="74" xfId="0" applyFont="1" applyFill="1" applyBorder="1" applyAlignment="1">
      <alignment horizontal="left" vertical="top" wrapText="1"/>
    </xf>
    <xf numFmtId="49" fontId="4" fillId="8" borderId="13" xfId="0" applyNumberFormat="1" applyFont="1" applyFill="1" applyBorder="1" applyAlignment="1">
      <alignment horizontal="center" vertical="top"/>
    </xf>
    <xf numFmtId="49" fontId="4" fillId="3" borderId="41" xfId="0" applyNumberFormat="1" applyFont="1" applyFill="1" applyBorder="1" applyAlignment="1">
      <alignment horizontal="center" vertical="top"/>
    </xf>
    <xf numFmtId="0" fontId="2" fillId="6" borderId="41" xfId="0" applyFont="1" applyFill="1" applyBorder="1" applyAlignment="1">
      <alignment horizontal="left" vertical="top" wrapText="1"/>
    </xf>
    <xf numFmtId="0" fontId="2" fillId="6" borderId="13" xfId="0" applyFont="1" applyFill="1" applyBorder="1" applyAlignment="1">
      <alignment horizontal="center" vertical="center" textRotation="90" wrapText="1"/>
    </xf>
    <xf numFmtId="0" fontId="2" fillId="6" borderId="13" xfId="0" applyFont="1" applyFill="1" applyBorder="1" applyAlignment="1">
      <alignment vertical="top" wrapText="1"/>
    </xf>
    <xf numFmtId="0" fontId="4" fillId="9" borderId="60" xfId="0" applyFont="1" applyFill="1" applyBorder="1" applyAlignment="1">
      <alignment horizontal="left" vertical="top" wrapText="1"/>
    </xf>
    <xf numFmtId="0" fontId="6" fillId="9" borderId="53" xfId="0" applyFont="1" applyFill="1" applyBorder="1" applyAlignment="1">
      <alignment horizontal="left" vertical="top" wrapText="1"/>
    </xf>
    <xf numFmtId="0" fontId="4" fillId="9" borderId="53" xfId="0" applyFont="1" applyFill="1" applyBorder="1" applyAlignment="1">
      <alignment horizontal="center" vertical="top" wrapText="1"/>
    </xf>
    <xf numFmtId="0" fontId="4" fillId="9" borderId="54" xfId="0" applyFont="1" applyFill="1" applyBorder="1" applyAlignment="1">
      <alignment horizontal="center" vertical="top" wrapText="1"/>
    </xf>
    <xf numFmtId="0" fontId="4" fillId="6" borderId="20" xfId="0" applyFont="1" applyFill="1" applyBorder="1" applyAlignment="1">
      <alignment horizontal="left" vertical="top" wrapText="1"/>
    </xf>
    <xf numFmtId="0" fontId="4" fillId="6" borderId="13" xfId="0" applyFont="1" applyFill="1" applyBorder="1" applyAlignment="1">
      <alignment horizontal="left" vertical="top" wrapText="1"/>
    </xf>
    <xf numFmtId="0" fontId="4" fillId="6" borderId="25" xfId="0" applyFont="1" applyFill="1" applyBorder="1" applyAlignment="1">
      <alignment horizontal="left" vertical="top" wrapText="1"/>
    </xf>
    <xf numFmtId="0" fontId="2" fillId="2" borderId="55"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46" xfId="0" applyFont="1" applyFill="1" applyBorder="1" applyAlignment="1">
      <alignment horizontal="left" vertical="top" wrapText="1"/>
    </xf>
    <xf numFmtId="0" fontId="4" fillId="4" borderId="59" xfId="0" applyFont="1" applyFill="1" applyBorder="1" applyAlignment="1">
      <alignment horizontal="right" vertical="top" wrapText="1"/>
    </xf>
    <xf numFmtId="0" fontId="4" fillId="4" borderId="56" xfId="0" applyFont="1" applyFill="1" applyBorder="1" applyAlignment="1">
      <alignment horizontal="right" vertical="top" wrapText="1"/>
    </xf>
    <xf numFmtId="0" fontId="4" fillId="4" borderId="51" xfId="0" applyFont="1" applyFill="1" applyBorder="1" applyAlignment="1">
      <alignment horizontal="right" vertical="top" wrapText="1"/>
    </xf>
    <xf numFmtId="0" fontId="4" fillId="8" borderId="57" xfId="0" applyFont="1" applyFill="1" applyBorder="1" applyAlignment="1">
      <alignment horizontal="right" vertical="top" wrapText="1"/>
    </xf>
    <xf numFmtId="0" fontId="6" fillId="8" borderId="34" xfId="0" applyFont="1" applyFill="1" applyBorder="1" applyAlignment="1">
      <alignment horizontal="right" vertical="top" wrapText="1"/>
    </xf>
    <xf numFmtId="0" fontId="6" fillId="8" borderId="35" xfId="0" applyFont="1" applyFill="1" applyBorder="1" applyAlignment="1">
      <alignment horizontal="right" vertical="top" wrapText="1"/>
    </xf>
    <xf numFmtId="49" fontId="4" fillId="3" borderId="84" xfId="0" applyNumberFormat="1" applyFont="1" applyFill="1" applyBorder="1" applyAlignment="1">
      <alignment horizontal="right" vertical="top"/>
    </xf>
    <xf numFmtId="49" fontId="4" fillId="3" borderId="77" xfId="0" applyNumberFormat="1" applyFont="1" applyFill="1" applyBorder="1" applyAlignment="1">
      <alignment horizontal="right" vertical="top"/>
    </xf>
    <xf numFmtId="49" fontId="4" fillId="3" borderId="86" xfId="0" applyNumberFormat="1" applyFont="1" applyFill="1" applyBorder="1" applyAlignment="1">
      <alignment horizontal="right" vertical="top"/>
    </xf>
    <xf numFmtId="0" fontId="2" fillId="3" borderId="87" xfId="0" applyFont="1" applyFill="1" applyBorder="1" applyAlignment="1">
      <alignment horizontal="center" vertical="top" wrapText="1"/>
    </xf>
    <xf numFmtId="0" fontId="2" fillId="3" borderId="77" xfId="0" applyFont="1" applyFill="1" applyBorder="1" applyAlignment="1">
      <alignment horizontal="center" vertical="top" wrapText="1"/>
    </xf>
    <xf numFmtId="0" fontId="2" fillId="3" borderId="86" xfId="0" applyFont="1" applyFill="1" applyBorder="1" applyAlignment="1">
      <alignment horizontal="center" vertical="top" wrapText="1"/>
    </xf>
    <xf numFmtId="49" fontId="4" fillId="10" borderId="60" xfId="0" applyNumberFormat="1" applyFont="1" applyFill="1" applyBorder="1" applyAlignment="1">
      <alignment horizontal="right" vertical="top"/>
    </xf>
    <xf numFmtId="49" fontId="4" fillId="10" borderId="53" xfId="0" applyNumberFormat="1" applyFont="1" applyFill="1" applyBorder="1" applyAlignment="1">
      <alignment horizontal="right" vertical="top"/>
    </xf>
    <xf numFmtId="49" fontId="4" fillId="10" borderId="54" xfId="0" applyNumberFormat="1" applyFont="1" applyFill="1" applyBorder="1" applyAlignment="1">
      <alignment horizontal="right" vertical="top"/>
    </xf>
    <xf numFmtId="0" fontId="2" fillId="10" borderId="50" xfId="0" applyFont="1" applyFill="1" applyBorder="1" applyAlignment="1">
      <alignment horizontal="center" vertical="top" wrapText="1"/>
    </xf>
    <xf numFmtId="0" fontId="2" fillId="10" borderId="53" xfId="0" applyFont="1" applyFill="1" applyBorder="1" applyAlignment="1">
      <alignment horizontal="center" vertical="top" wrapText="1"/>
    </xf>
    <xf numFmtId="0" fontId="2" fillId="10" borderId="54" xfId="0" applyFont="1" applyFill="1" applyBorder="1" applyAlignment="1">
      <alignment horizontal="center" vertical="top" wrapText="1"/>
    </xf>
    <xf numFmtId="49" fontId="4" fillId="4" borderId="60" xfId="0" applyNumberFormat="1" applyFont="1" applyFill="1" applyBorder="1" applyAlignment="1">
      <alignment horizontal="right" vertical="top"/>
    </xf>
    <xf numFmtId="49" fontId="4" fillId="4" borderId="53" xfId="0" applyNumberFormat="1" applyFont="1" applyFill="1" applyBorder="1" applyAlignment="1">
      <alignment horizontal="right" vertical="top"/>
    </xf>
    <xf numFmtId="49" fontId="4" fillId="4" borderId="54" xfId="0" applyNumberFormat="1" applyFont="1" applyFill="1" applyBorder="1" applyAlignment="1">
      <alignment horizontal="right" vertical="top"/>
    </xf>
    <xf numFmtId="0" fontId="2" fillId="4" borderId="50" xfId="0" applyFont="1" applyFill="1" applyBorder="1" applyAlignment="1">
      <alignment horizontal="center" vertical="top"/>
    </xf>
    <xf numFmtId="0" fontId="2" fillId="4" borderId="53" xfId="0" applyFont="1" applyFill="1" applyBorder="1" applyAlignment="1">
      <alignment horizontal="center" vertical="top"/>
    </xf>
    <xf numFmtId="0" fontId="2" fillId="4" borderId="54" xfId="0" applyFont="1" applyFill="1" applyBorder="1" applyAlignment="1">
      <alignment horizontal="center" vertical="top"/>
    </xf>
    <xf numFmtId="49" fontId="11" fillId="10" borderId="55" xfId="0" applyNumberFormat="1" applyFont="1" applyFill="1" applyBorder="1" applyAlignment="1">
      <alignment horizontal="center" vertical="top"/>
    </xf>
    <xf numFmtId="49" fontId="11" fillId="10" borderId="31" xfId="0" applyNumberFormat="1" applyFont="1" applyFill="1" applyBorder="1" applyAlignment="1">
      <alignment horizontal="center" vertical="top"/>
    </xf>
    <xf numFmtId="49" fontId="11" fillId="9" borderId="25" xfId="0" applyNumberFormat="1" applyFont="1" applyFill="1" applyBorder="1" applyAlignment="1">
      <alignment horizontal="center" vertical="top"/>
    </xf>
    <xf numFmtId="49" fontId="11" fillId="9" borderId="13" xfId="0" applyNumberFormat="1" applyFont="1" applyFill="1" applyBorder="1" applyAlignment="1">
      <alignment horizontal="center" vertical="top"/>
    </xf>
    <xf numFmtId="49" fontId="11" fillId="8" borderId="40" xfId="0" applyNumberFormat="1" applyFont="1" applyFill="1" applyBorder="1" applyAlignment="1">
      <alignment horizontal="center" vertical="top"/>
    </xf>
    <xf numFmtId="49" fontId="11" fillId="8" borderId="0" xfId="0" applyNumberFormat="1" applyFont="1" applyFill="1" applyBorder="1" applyAlignment="1">
      <alignment horizontal="center" vertical="top"/>
    </xf>
    <xf numFmtId="3" fontId="2" fillId="6" borderId="2" xfId="0" applyNumberFormat="1" applyFont="1" applyFill="1" applyBorder="1" applyAlignment="1">
      <alignment horizontal="left" vertical="top" wrapText="1"/>
    </xf>
    <xf numFmtId="3" fontId="2" fillId="6" borderId="13" xfId="0" applyNumberFormat="1" applyFont="1" applyFill="1" applyBorder="1" applyAlignment="1">
      <alignment horizontal="left" vertical="top" wrapText="1"/>
    </xf>
    <xf numFmtId="49" fontId="4" fillId="0" borderId="21" xfId="0" applyNumberFormat="1" applyFont="1" applyFill="1" applyBorder="1" applyAlignment="1">
      <alignment horizontal="center" vertical="top" wrapText="1"/>
    </xf>
    <xf numFmtId="0" fontId="2" fillId="0" borderId="57" xfId="0" applyFont="1" applyBorder="1" applyAlignment="1">
      <alignment horizontal="left" vertical="top" wrapText="1"/>
    </xf>
    <xf numFmtId="0" fontId="2" fillId="0" borderId="34" xfId="0" applyFont="1" applyBorder="1" applyAlignment="1">
      <alignment horizontal="left" vertical="top" wrapText="1"/>
    </xf>
    <xf numFmtId="0" fontId="2" fillId="0" borderId="35" xfId="0" applyFont="1" applyBorder="1" applyAlignment="1">
      <alignment horizontal="left" vertical="top" wrapText="1"/>
    </xf>
    <xf numFmtId="0" fontId="4" fillId="5" borderId="26" xfId="0" applyFont="1" applyFill="1" applyBorder="1" applyAlignment="1">
      <alignment horizontal="right" vertical="top" wrapText="1"/>
    </xf>
    <xf numFmtId="0" fontId="4" fillId="5" borderId="21" xfId="0" applyFont="1" applyFill="1" applyBorder="1" applyAlignment="1">
      <alignment horizontal="right" vertical="top" wrapText="1"/>
    </xf>
    <xf numFmtId="0" fontId="4" fillId="5" borderId="27" xfId="0" applyFont="1" applyFill="1" applyBorder="1" applyAlignment="1">
      <alignment horizontal="right" vertical="top" wrapText="1"/>
    </xf>
    <xf numFmtId="0" fontId="2" fillId="6" borderId="16" xfId="0" applyFont="1" applyFill="1" applyBorder="1" applyAlignment="1">
      <alignment horizontal="left" vertical="top" wrapText="1"/>
    </xf>
    <xf numFmtId="0" fontId="2" fillId="6" borderId="13" xfId="0" applyFont="1" applyFill="1" applyBorder="1" applyAlignment="1">
      <alignment horizontal="left" vertical="top" wrapText="1"/>
    </xf>
    <xf numFmtId="0" fontId="2" fillId="6" borderId="25" xfId="0" applyFont="1" applyFill="1" applyBorder="1" applyAlignment="1">
      <alignment horizontal="left" vertical="top" wrapText="1"/>
    </xf>
    <xf numFmtId="0" fontId="2" fillId="8" borderId="57" xfId="0" applyFont="1" applyFill="1" applyBorder="1" applyAlignment="1">
      <alignment horizontal="left" vertical="top" wrapText="1"/>
    </xf>
    <xf numFmtId="0" fontId="2" fillId="8" borderId="34" xfId="0" applyFont="1" applyFill="1" applyBorder="1" applyAlignment="1">
      <alignment horizontal="left" vertical="top" wrapText="1"/>
    </xf>
    <xf numFmtId="0" fontId="2" fillId="8" borderId="35" xfId="0" applyFont="1" applyFill="1" applyBorder="1" applyAlignment="1">
      <alignment horizontal="left" vertical="top" wrapText="1"/>
    </xf>
    <xf numFmtId="0" fontId="4" fillId="4" borderId="57" xfId="0" applyFont="1" applyFill="1" applyBorder="1" applyAlignment="1">
      <alignment horizontal="right" vertical="top" wrapText="1"/>
    </xf>
    <xf numFmtId="0" fontId="4" fillId="4" borderId="34" xfId="0" applyFont="1" applyFill="1" applyBorder="1" applyAlignment="1">
      <alignment horizontal="right" vertical="top" wrapText="1"/>
    </xf>
    <xf numFmtId="0" fontId="4" fillId="4" borderId="35" xfId="0" applyFont="1" applyFill="1" applyBorder="1" applyAlignment="1">
      <alignment horizontal="right" vertical="top" wrapText="1"/>
    </xf>
    <xf numFmtId="0" fontId="2" fillId="6" borderId="57" xfId="0" applyFont="1" applyFill="1" applyBorder="1" applyAlignment="1">
      <alignment horizontal="left" vertical="top" wrapText="1"/>
    </xf>
    <xf numFmtId="0" fontId="2" fillId="6" borderId="34" xfId="0" applyFont="1" applyFill="1" applyBorder="1" applyAlignment="1">
      <alignment horizontal="left" vertical="top" wrapText="1"/>
    </xf>
    <xf numFmtId="0" fontId="2" fillId="6" borderId="35" xfId="0" applyFont="1" applyFill="1" applyBorder="1" applyAlignment="1">
      <alignment horizontal="left" vertical="top" wrapText="1"/>
    </xf>
    <xf numFmtId="0" fontId="2" fillId="6" borderId="55" xfId="0" applyFont="1" applyFill="1" applyBorder="1" applyAlignment="1">
      <alignment horizontal="left" vertical="top" wrapText="1"/>
    </xf>
    <xf numFmtId="0" fontId="2" fillId="6" borderId="40" xfId="0" applyFont="1" applyFill="1" applyBorder="1" applyAlignment="1">
      <alignment horizontal="left" vertical="top" wrapText="1"/>
    </xf>
    <xf numFmtId="0" fontId="2" fillId="6" borderId="46" xfId="0" applyFont="1" applyFill="1" applyBorder="1" applyAlignment="1">
      <alignment horizontal="left" vertical="top" wrapText="1"/>
    </xf>
    <xf numFmtId="3" fontId="2" fillId="0" borderId="32" xfId="0" applyNumberFormat="1" applyFont="1" applyFill="1" applyBorder="1" applyAlignment="1">
      <alignment horizontal="left" vertical="top" wrapText="1"/>
    </xf>
    <xf numFmtId="3" fontId="4" fillId="0" borderId="50" xfId="0" applyNumberFormat="1" applyFont="1" applyBorder="1" applyAlignment="1">
      <alignment horizontal="center" vertical="center" wrapText="1"/>
    </xf>
    <xf numFmtId="3" fontId="4" fillId="0" borderId="53" xfId="0" applyNumberFormat="1" applyFont="1" applyBorder="1" applyAlignment="1">
      <alignment horizontal="center" vertical="center" wrapText="1"/>
    </xf>
    <xf numFmtId="3" fontId="4" fillId="0" borderId="54" xfId="0" applyNumberFormat="1" applyFont="1" applyBorder="1" applyAlignment="1">
      <alignment horizontal="center" vertical="center" wrapText="1"/>
    </xf>
    <xf numFmtId="0" fontId="2" fillId="6" borderId="16" xfId="0" applyFont="1" applyFill="1" applyBorder="1" applyAlignment="1">
      <alignment vertical="top" wrapText="1"/>
    </xf>
    <xf numFmtId="0" fontId="2" fillId="6" borderId="25" xfId="0" applyFont="1" applyFill="1" applyBorder="1" applyAlignment="1">
      <alignment vertical="top" wrapText="1"/>
    </xf>
    <xf numFmtId="49" fontId="4" fillId="10" borderId="9" xfId="0" applyNumberFormat="1" applyFont="1" applyFill="1" applyBorder="1" applyAlignment="1">
      <alignment horizontal="center" vertical="top"/>
    </xf>
    <xf numFmtId="49" fontId="4" fillId="3" borderId="13" xfId="0" applyNumberFormat="1" applyFont="1" applyFill="1" applyBorder="1" applyAlignment="1">
      <alignment horizontal="center" vertical="top"/>
    </xf>
    <xf numFmtId="0" fontId="10" fillId="6" borderId="41" xfId="0" applyFont="1" applyFill="1" applyBorder="1" applyAlignment="1">
      <alignment horizontal="left" vertical="top" wrapText="1"/>
    </xf>
    <xf numFmtId="0" fontId="6" fillId="6" borderId="41" xfId="0" applyFont="1" applyFill="1" applyBorder="1" applyAlignment="1">
      <alignment horizontal="left" vertical="top" wrapText="1"/>
    </xf>
    <xf numFmtId="0" fontId="6" fillId="6" borderId="41" xfId="0" applyFont="1" applyFill="1" applyBorder="1" applyAlignment="1"/>
    <xf numFmtId="0" fontId="2" fillId="6" borderId="73" xfId="0" applyFont="1" applyFill="1" applyBorder="1" applyAlignment="1">
      <alignment horizontal="left" vertical="top" wrapText="1"/>
    </xf>
    <xf numFmtId="0" fontId="2" fillId="6" borderId="74" xfId="0" applyFont="1" applyFill="1" applyBorder="1" applyAlignment="1">
      <alignment horizontal="left" vertical="top" wrapText="1"/>
    </xf>
    <xf numFmtId="3" fontId="2" fillId="6" borderId="5" xfId="0" applyNumberFormat="1" applyFont="1" applyFill="1" applyBorder="1" applyAlignment="1">
      <alignment horizontal="left" vertical="top" wrapText="1"/>
    </xf>
    <xf numFmtId="3" fontId="2" fillId="6" borderId="18" xfId="0" applyNumberFormat="1" applyFont="1" applyFill="1" applyBorder="1" applyAlignment="1">
      <alignment horizontal="left" vertical="top" wrapText="1"/>
    </xf>
    <xf numFmtId="3" fontId="2" fillId="0" borderId="36" xfId="0" applyNumberFormat="1" applyFont="1" applyFill="1" applyBorder="1" applyAlignment="1">
      <alignment horizontal="center" vertical="top"/>
    </xf>
    <xf numFmtId="3" fontId="2" fillId="0" borderId="22" xfId="0" applyNumberFormat="1" applyFont="1" applyFill="1" applyBorder="1" applyAlignment="1">
      <alignment horizontal="center" vertical="top"/>
    </xf>
    <xf numFmtId="3" fontId="2" fillId="0" borderId="16" xfId="0" applyNumberFormat="1" applyFont="1" applyFill="1" applyBorder="1" applyAlignment="1">
      <alignment horizontal="center" vertical="top"/>
    </xf>
    <xf numFmtId="3" fontId="2" fillId="0" borderId="25" xfId="0" applyNumberFormat="1" applyFont="1" applyFill="1" applyBorder="1" applyAlignment="1">
      <alignment horizontal="center" vertical="top"/>
    </xf>
    <xf numFmtId="3" fontId="2" fillId="0" borderId="1" xfId="0" applyNumberFormat="1" applyFont="1" applyFill="1" applyBorder="1" applyAlignment="1">
      <alignment horizontal="center" vertical="top"/>
    </xf>
    <xf numFmtId="3" fontId="2" fillId="0" borderId="24" xfId="0" applyNumberFormat="1" applyFont="1" applyFill="1" applyBorder="1" applyAlignment="1">
      <alignment horizontal="center" vertical="top"/>
    </xf>
    <xf numFmtId="49" fontId="4" fillId="3" borderId="60" xfId="0" applyNumberFormat="1" applyFont="1" applyFill="1" applyBorder="1" applyAlignment="1">
      <alignment horizontal="right" vertical="top"/>
    </xf>
    <xf numFmtId="49" fontId="4" fillId="3" borderId="53" xfId="0" applyNumberFormat="1" applyFont="1" applyFill="1" applyBorder="1" applyAlignment="1">
      <alignment horizontal="right" vertical="top"/>
    </xf>
    <xf numFmtId="49" fontId="4" fillId="3" borderId="54" xfId="0" applyNumberFormat="1" applyFont="1" applyFill="1" applyBorder="1" applyAlignment="1">
      <alignment horizontal="right" vertical="top"/>
    </xf>
    <xf numFmtId="0" fontId="2" fillId="3" borderId="50" xfId="0" applyFont="1" applyFill="1" applyBorder="1" applyAlignment="1">
      <alignment horizontal="center" vertical="top" wrapText="1"/>
    </xf>
    <xf numFmtId="0" fontId="2" fillId="3" borderId="53" xfId="0" applyFont="1" applyFill="1" applyBorder="1" applyAlignment="1">
      <alignment horizontal="center" vertical="top" wrapText="1"/>
    </xf>
    <xf numFmtId="0" fontId="2" fillId="3" borderId="54" xfId="0" applyFont="1" applyFill="1" applyBorder="1" applyAlignment="1">
      <alignment horizontal="center" vertical="top" wrapText="1"/>
    </xf>
    <xf numFmtId="0" fontId="4" fillId="6" borderId="16" xfId="0" applyFont="1" applyFill="1" applyBorder="1" applyAlignment="1">
      <alignment horizontal="center" vertical="top" wrapText="1"/>
    </xf>
    <xf numFmtId="0" fontId="4" fillId="6" borderId="13" xfId="0" applyFont="1" applyFill="1" applyBorder="1" applyAlignment="1">
      <alignment horizontal="center" vertical="top" wrapText="1"/>
    </xf>
    <xf numFmtId="0" fontId="2" fillId="6" borderId="5" xfId="0" applyFont="1" applyFill="1" applyBorder="1" applyAlignment="1">
      <alignment horizontal="left" vertical="top" wrapText="1"/>
    </xf>
    <xf numFmtId="49" fontId="4" fillId="8" borderId="13" xfId="0" applyNumberFormat="1" applyFont="1" applyFill="1" applyBorder="1" applyAlignment="1">
      <alignment horizontal="center" vertical="top" wrapText="1"/>
    </xf>
    <xf numFmtId="0" fontId="2" fillId="2" borderId="16" xfId="0" applyFont="1" applyFill="1" applyBorder="1" applyAlignment="1">
      <alignment vertical="top" wrapText="1"/>
    </xf>
    <xf numFmtId="0" fontId="2" fillId="2" borderId="13" xfId="0" applyFont="1" applyFill="1" applyBorder="1" applyAlignment="1">
      <alignment vertical="top" wrapText="1"/>
    </xf>
    <xf numFmtId="0" fontId="4" fillId="9" borderId="53" xfId="0" applyFont="1" applyFill="1" applyBorder="1" applyAlignment="1">
      <alignment horizontal="left" vertical="top" wrapText="1"/>
    </xf>
    <xf numFmtId="0" fontId="4" fillId="9" borderId="54" xfId="0" applyFont="1" applyFill="1" applyBorder="1" applyAlignment="1">
      <alignment horizontal="left" vertical="top" wrapText="1"/>
    </xf>
    <xf numFmtId="0" fontId="6" fillId="6" borderId="13" xfId="0" applyFont="1" applyFill="1" applyBorder="1" applyAlignment="1">
      <alignment vertical="top" wrapText="1"/>
    </xf>
    <xf numFmtId="0" fontId="4" fillId="2" borderId="20" xfId="0" applyFont="1" applyFill="1" applyBorder="1" applyAlignment="1">
      <alignment horizontal="left" vertical="top" wrapText="1"/>
    </xf>
    <xf numFmtId="0" fontId="4" fillId="2" borderId="13" xfId="0" applyFont="1" applyFill="1" applyBorder="1" applyAlignment="1">
      <alignment horizontal="left" vertical="top" wrapText="1"/>
    </xf>
    <xf numFmtId="0" fontId="2" fillId="6" borderId="5" xfId="0" applyFont="1" applyFill="1" applyBorder="1" applyAlignment="1">
      <alignment vertical="top" wrapText="1"/>
    </xf>
    <xf numFmtId="0" fontId="2" fillId="6" borderId="8" xfId="0" applyFont="1" applyFill="1" applyBorder="1" applyAlignment="1">
      <alignment vertical="top" wrapText="1"/>
    </xf>
    <xf numFmtId="0" fontId="4" fillId="9" borderId="60" xfId="0" applyFont="1" applyFill="1" applyBorder="1" applyAlignment="1">
      <alignment horizontal="left" vertical="center"/>
    </xf>
    <xf numFmtId="0" fontId="4" fillId="9" borderId="53" xfId="0" applyFont="1" applyFill="1" applyBorder="1" applyAlignment="1">
      <alignment horizontal="left" vertical="center"/>
    </xf>
    <xf numFmtId="0" fontId="4" fillId="9" borderId="54" xfId="0" applyFont="1" applyFill="1" applyBorder="1" applyAlignment="1">
      <alignment horizontal="left" vertical="center"/>
    </xf>
    <xf numFmtId="3" fontId="2" fillId="0" borderId="7" xfId="0" applyNumberFormat="1" applyFont="1" applyFill="1" applyBorder="1" applyAlignment="1">
      <alignment horizontal="center" vertical="top" wrapText="1"/>
    </xf>
    <xf numFmtId="3" fontId="2" fillId="0" borderId="22" xfId="0" applyNumberFormat="1" applyFont="1" applyFill="1" applyBorder="1" applyAlignment="1">
      <alignment horizontal="center" vertical="top" wrapText="1"/>
    </xf>
    <xf numFmtId="3" fontId="2" fillId="0" borderId="20" xfId="0" applyNumberFormat="1" applyFont="1" applyFill="1" applyBorder="1" applyAlignment="1">
      <alignment horizontal="center" vertical="top" wrapText="1"/>
    </xf>
    <xf numFmtId="3" fontId="2" fillId="0" borderId="25" xfId="0" applyNumberFormat="1" applyFont="1" applyFill="1" applyBorder="1" applyAlignment="1">
      <alignment horizontal="center" vertical="top" wrapText="1"/>
    </xf>
    <xf numFmtId="3" fontId="2" fillId="0" borderId="45" xfId="0" applyNumberFormat="1" applyFont="1" applyFill="1" applyBorder="1" applyAlignment="1">
      <alignment horizontal="center" vertical="top" wrapText="1"/>
    </xf>
    <xf numFmtId="3" fontId="2" fillId="0" borderId="46" xfId="0" applyNumberFormat="1" applyFont="1" applyFill="1" applyBorder="1" applyAlignment="1">
      <alignment horizontal="center" vertical="top" wrapText="1"/>
    </xf>
    <xf numFmtId="49" fontId="4" fillId="8" borderId="13" xfId="0" applyNumberFormat="1" applyFont="1" applyFill="1" applyBorder="1" applyAlignment="1">
      <alignment horizontal="center" vertical="top"/>
    </xf>
    <xf numFmtId="0" fontId="2" fillId="6" borderId="18" xfId="0" applyFont="1" applyFill="1" applyBorder="1" applyAlignment="1">
      <alignment horizontal="left" vertical="top" wrapText="1"/>
    </xf>
    <xf numFmtId="49" fontId="4" fillId="10" borderId="7" xfId="0" applyNumberFormat="1" applyFont="1" applyFill="1" applyBorder="1" applyAlignment="1">
      <alignment horizontal="center" vertical="top"/>
    </xf>
    <xf numFmtId="49" fontId="4" fillId="3" borderId="38" xfId="0" applyNumberFormat="1" applyFont="1" applyFill="1" applyBorder="1" applyAlignment="1">
      <alignment horizontal="center" vertical="top"/>
    </xf>
    <xf numFmtId="49" fontId="4" fillId="3" borderId="41" xfId="0" applyNumberFormat="1" applyFont="1" applyFill="1" applyBorder="1" applyAlignment="1">
      <alignment horizontal="center" vertical="top"/>
    </xf>
    <xf numFmtId="49" fontId="4" fillId="8" borderId="20" xfId="0" applyNumberFormat="1" applyFont="1" applyFill="1" applyBorder="1" applyAlignment="1">
      <alignment horizontal="center" vertical="top"/>
    </xf>
    <xf numFmtId="0" fontId="9" fillId="6" borderId="20" xfId="0" applyFont="1" applyFill="1" applyBorder="1" applyAlignment="1">
      <alignment horizontal="left" vertical="top" wrapText="1"/>
    </xf>
    <xf numFmtId="0" fontId="9" fillId="6" borderId="25" xfId="0" applyFont="1" applyFill="1" applyBorder="1" applyAlignment="1">
      <alignment horizontal="left" vertical="top" wrapText="1"/>
    </xf>
    <xf numFmtId="0" fontId="4" fillId="6" borderId="20" xfId="0" applyFont="1" applyFill="1" applyBorder="1" applyAlignment="1">
      <alignment horizontal="center" vertical="top" wrapText="1"/>
    </xf>
    <xf numFmtId="0" fontId="4" fillId="6" borderId="25" xfId="0" applyFont="1" applyFill="1" applyBorder="1" applyAlignment="1">
      <alignment horizontal="center" vertical="top" wrapText="1"/>
    </xf>
    <xf numFmtId="0" fontId="2" fillId="6" borderId="37" xfId="0" applyFont="1" applyFill="1" applyBorder="1" applyAlignment="1">
      <alignment horizontal="left" vertical="top" wrapText="1"/>
    </xf>
    <xf numFmtId="0" fontId="2" fillId="6" borderId="39" xfId="0" applyFont="1" applyFill="1" applyBorder="1" applyAlignment="1">
      <alignment horizontal="left" vertical="top" wrapText="1"/>
    </xf>
    <xf numFmtId="0" fontId="6" fillId="6" borderId="41" xfId="0" applyFont="1" applyFill="1" applyBorder="1" applyAlignment="1">
      <alignment vertical="top" wrapText="1"/>
    </xf>
    <xf numFmtId="0" fontId="2" fillId="6" borderId="33" xfId="0" applyFont="1" applyFill="1" applyBorder="1" applyAlignment="1">
      <alignment horizontal="left" vertical="top" wrapText="1"/>
    </xf>
    <xf numFmtId="0" fontId="2" fillId="6" borderId="48" xfId="0" applyFont="1" applyFill="1" applyBorder="1" applyAlignment="1">
      <alignment horizontal="left" vertical="top" wrapText="1"/>
    </xf>
    <xf numFmtId="1" fontId="2" fillId="6" borderId="68" xfId="0" applyNumberFormat="1" applyFont="1" applyFill="1" applyBorder="1" applyAlignment="1">
      <alignment horizontal="center" vertical="top" wrapText="1"/>
    </xf>
    <xf numFmtId="1" fontId="2" fillId="6" borderId="69" xfId="0" applyNumberFormat="1" applyFont="1" applyFill="1" applyBorder="1" applyAlignment="1">
      <alignment horizontal="center" vertical="top" wrapText="1"/>
    </xf>
    <xf numFmtId="1" fontId="2" fillId="6" borderId="71" xfId="0" applyNumberFormat="1" applyFont="1" applyFill="1" applyBorder="1" applyAlignment="1">
      <alignment horizontal="center" vertical="top" wrapText="1"/>
    </xf>
    <xf numFmtId="1" fontId="2" fillId="6" borderId="70" xfId="0" applyNumberFormat="1" applyFont="1" applyFill="1" applyBorder="1" applyAlignment="1">
      <alignment horizontal="center" vertical="top" wrapText="1"/>
    </xf>
    <xf numFmtId="1" fontId="2" fillId="6" borderId="72" xfId="0" applyNumberFormat="1" applyFont="1" applyFill="1" applyBorder="1" applyAlignment="1">
      <alignment horizontal="center" vertical="top" wrapText="1"/>
    </xf>
    <xf numFmtId="1" fontId="2" fillId="6" borderId="61" xfId="0" applyNumberFormat="1" applyFont="1" applyFill="1" applyBorder="1" applyAlignment="1">
      <alignment horizontal="center" vertical="top" wrapText="1"/>
    </xf>
    <xf numFmtId="0" fontId="2" fillId="6" borderId="41" xfId="0" applyFont="1" applyFill="1" applyBorder="1" applyAlignment="1">
      <alignment horizontal="left" vertical="top" wrapText="1"/>
    </xf>
    <xf numFmtId="0" fontId="6" fillId="0" borderId="13" xfId="0" applyFont="1" applyBorder="1" applyAlignment="1">
      <alignment horizontal="left" vertical="top" wrapText="1"/>
    </xf>
    <xf numFmtId="0" fontId="2" fillId="6" borderId="71"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25" xfId="0" applyFont="1" applyFill="1" applyBorder="1" applyAlignment="1">
      <alignment horizontal="left" vertical="top" wrapText="1"/>
    </xf>
    <xf numFmtId="49" fontId="4" fillId="8" borderId="34" xfId="0" applyNumberFormat="1" applyFont="1" applyFill="1" applyBorder="1" applyAlignment="1">
      <alignment horizontal="left" vertical="top"/>
    </xf>
    <xf numFmtId="0" fontId="2" fillId="6" borderId="5" xfId="1" applyFont="1" applyFill="1" applyBorder="1" applyAlignment="1">
      <alignment vertical="top" wrapText="1"/>
    </xf>
    <xf numFmtId="0" fontId="6" fillId="6" borderId="18" xfId="0" applyFont="1" applyFill="1" applyBorder="1" applyAlignment="1">
      <alignment vertical="top" wrapText="1"/>
    </xf>
    <xf numFmtId="0" fontId="2" fillId="6" borderId="8" xfId="0" applyFont="1" applyFill="1" applyBorder="1" applyAlignment="1">
      <alignment horizontal="left" vertical="top" wrapText="1"/>
    </xf>
    <xf numFmtId="0" fontId="2" fillId="6" borderId="13" xfId="0" applyFont="1" applyFill="1" applyBorder="1" applyAlignment="1">
      <alignment horizontal="center" vertical="center" textRotation="90" wrapText="1"/>
    </xf>
    <xf numFmtId="49" fontId="4" fillId="8" borderId="34" xfId="0" applyNumberFormat="1" applyFont="1" applyFill="1" applyBorder="1" applyAlignment="1">
      <alignment horizontal="left" vertical="center"/>
    </xf>
    <xf numFmtId="49" fontId="4" fillId="3" borderId="30" xfId="0" applyNumberFormat="1" applyFont="1" applyFill="1" applyBorder="1" applyAlignment="1">
      <alignment horizontal="center" vertical="top"/>
    </xf>
    <xf numFmtId="0" fontId="2" fillId="6" borderId="8" xfId="1" applyFont="1" applyFill="1" applyBorder="1" applyAlignment="1">
      <alignment vertical="top" wrapText="1"/>
    </xf>
    <xf numFmtId="0" fontId="2" fillId="6" borderId="18" xfId="1" applyFont="1" applyFill="1" applyBorder="1" applyAlignment="1">
      <alignment vertical="top" wrapText="1"/>
    </xf>
    <xf numFmtId="3" fontId="2" fillId="0" borderId="20" xfId="0" applyNumberFormat="1" applyFont="1" applyBorder="1" applyAlignment="1">
      <alignment horizontal="center" vertical="center" textRotation="90" shrinkToFit="1"/>
    </xf>
    <xf numFmtId="3" fontId="2" fillId="0" borderId="13" xfId="0" applyNumberFormat="1" applyFont="1" applyBorder="1" applyAlignment="1">
      <alignment horizontal="center" vertical="center" textRotation="90" shrinkToFit="1"/>
    </xf>
    <xf numFmtId="3" fontId="2" fillId="0" borderId="19" xfId="0" applyNumberFormat="1" applyFont="1" applyBorder="1" applyAlignment="1">
      <alignment horizontal="center" vertical="center" textRotation="90" shrinkToFit="1"/>
    </xf>
    <xf numFmtId="3" fontId="2" fillId="0" borderId="37" xfId="0" applyNumberFormat="1" applyFont="1" applyBorder="1" applyAlignment="1">
      <alignment horizontal="center" vertical="center" textRotation="90" wrapText="1" shrinkToFit="1"/>
    </xf>
    <xf numFmtId="3" fontId="2" fillId="0" borderId="8" xfId="0" applyNumberFormat="1" applyFont="1" applyBorder="1" applyAlignment="1">
      <alignment horizontal="center" vertical="center" textRotation="90" wrapText="1" shrinkToFit="1"/>
    </xf>
    <xf numFmtId="3" fontId="2" fillId="0" borderId="52" xfId="0" applyNumberFormat="1" applyFont="1" applyBorder="1" applyAlignment="1">
      <alignment horizontal="center" vertical="center" textRotation="90" wrapText="1" shrinkToFit="1"/>
    </xf>
    <xf numFmtId="0" fontId="2" fillId="0" borderId="7" xfId="0" applyFont="1" applyBorder="1" applyAlignment="1">
      <alignment horizontal="center" vertical="center" textRotation="90" wrapText="1"/>
    </xf>
    <xf numFmtId="0" fontId="2" fillId="0" borderId="9"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0" fontId="2" fillId="6" borderId="28" xfId="0" applyFont="1" applyFill="1" applyBorder="1" applyAlignment="1">
      <alignment horizontal="left" vertical="top" wrapText="1"/>
    </xf>
    <xf numFmtId="0" fontId="6" fillId="6" borderId="28" xfId="0" applyFont="1" applyFill="1" applyBorder="1" applyAlignment="1">
      <alignment horizontal="left" vertical="top" wrapText="1"/>
    </xf>
    <xf numFmtId="0" fontId="2" fillId="6" borderId="8" xfId="1" applyFont="1" applyFill="1" applyBorder="1" applyAlignment="1">
      <alignment horizontal="left" vertical="top" wrapText="1"/>
    </xf>
    <xf numFmtId="0" fontId="2" fillId="6" borderId="18" xfId="1" applyFont="1" applyFill="1" applyBorder="1" applyAlignment="1">
      <alignment horizontal="left" vertical="top" wrapText="1"/>
    </xf>
    <xf numFmtId="0" fontId="2" fillId="6" borderId="5" xfId="1" applyFont="1" applyFill="1" applyBorder="1" applyAlignment="1">
      <alignment horizontal="left" vertical="top" wrapText="1"/>
    </xf>
    <xf numFmtId="0" fontId="2" fillId="6" borderId="48" xfId="1" applyFont="1" applyFill="1" applyBorder="1" applyAlignment="1">
      <alignment vertical="top" wrapText="1"/>
    </xf>
    <xf numFmtId="0" fontId="6" fillId="6" borderId="31" xfId="0" applyFont="1" applyFill="1" applyBorder="1" applyAlignment="1">
      <alignment vertical="top" wrapText="1"/>
    </xf>
    <xf numFmtId="3" fontId="2" fillId="6" borderId="36" xfId="1" applyNumberFormat="1" applyFont="1" applyFill="1" applyBorder="1" applyAlignment="1">
      <alignment horizontal="center" vertical="top"/>
    </xf>
    <xf numFmtId="3" fontId="2" fillId="6" borderId="22" xfId="1" applyNumberFormat="1" applyFont="1" applyFill="1" applyBorder="1" applyAlignment="1">
      <alignment horizontal="center" vertical="top"/>
    </xf>
    <xf numFmtId="3" fontId="2" fillId="6" borderId="16" xfId="1" applyNumberFormat="1" applyFont="1" applyFill="1" applyBorder="1" applyAlignment="1">
      <alignment horizontal="center" vertical="top"/>
    </xf>
    <xf numFmtId="3" fontId="2" fillId="6" borderId="25" xfId="1" applyNumberFormat="1" applyFont="1" applyFill="1" applyBorder="1" applyAlignment="1">
      <alignment horizontal="center" vertical="top"/>
    </xf>
    <xf numFmtId="3" fontId="2" fillId="6" borderId="1" xfId="1" applyNumberFormat="1" applyFont="1" applyFill="1" applyBorder="1" applyAlignment="1">
      <alignment horizontal="center" vertical="top"/>
    </xf>
    <xf numFmtId="3" fontId="2" fillId="6" borderId="24" xfId="1" applyNumberFormat="1" applyFont="1" applyFill="1" applyBorder="1" applyAlignment="1">
      <alignment horizontal="center" vertical="top"/>
    </xf>
    <xf numFmtId="0" fontId="30" fillId="0" borderId="0" xfId="0" applyFont="1" applyAlignment="1">
      <alignment horizontal="left" vertical="top" wrapText="1"/>
    </xf>
    <xf numFmtId="3" fontId="19" fillId="0" borderId="0" xfId="0" applyNumberFormat="1" applyFont="1" applyAlignment="1">
      <alignment horizontal="center" vertical="top"/>
    </xf>
    <xf numFmtId="0" fontId="5" fillId="0" borderId="0" xfId="0" applyFont="1" applyAlignment="1">
      <alignment horizontal="center" vertical="top" wrapText="1"/>
    </xf>
    <xf numFmtId="0" fontId="3" fillId="0" borderId="0" xfId="0" applyFont="1" applyAlignment="1">
      <alignment horizontal="center" vertical="top"/>
    </xf>
    <xf numFmtId="0" fontId="2" fillId="0" borderId="21" xfId="0" applyFont="1" applyBorder="1" applyAlignment="1">
      <alignment horizontal="right"/>
    </xf>
    <xf numFmtId="3" fontId="2" fillId="0" borderId="7" xfId="0" applyNumberFormat="1" applyFont="1" applyBorder="1" applyAlignment="1">
      <alignment horizontal="center" vertical="center" textRotation="90" shrinkToFit="1"/>
    </xf>
    <xf numFmtId="3" fontId="2" fillId="0" borderId="9" xfId="0" applyNumberFormat="1" applyFont="1" applyBorder="1" applyAlignment="1">
      <alignment horizontal="center" vertical="center" textRotation="90" shrinkToFit="1"/>
    </xf>
    <xf numFmtId="3" fontId="2" fillId="0" borderId="10" xfId="0" applyNumberFormat="1" applyFont="1" applyBorder="1" applyAlignment="1">
      <alignment horizontal="center" vertical="center" textRotation="90" shrinkToFit="1"/>
    </xf>
    <xf numFmtId="3" fontId="2" fillId="0" borderId="38" xfId="0" applyNumberFormat="1" applyFont="1" applyBorder="1" applyAlignment="1">
      <alignment horizontal="center" vertical="center" shrinkToFit="1"/>
    </xf>
    <xf numFmtId="3" fontId="2" fillId="0" borderId="41" xfId="0" applyNumberFormat="1" applyFont="1" applyBorder="1" applyAlignment="1">
      <alignment horizontal="center" vertical="center" shrinkToFit="1"/>
    </xf>
    <xf numFmtId="3" fontId="2" fillId="0" borderId="49" xfId="0" applyNumberFormat="1" applyFont="1" applyBorder="1" applyAlignment="1">
      <alignment horizontal="center" vertical="center" shrinkToFit="1"/>
    </xf>
    <xf numFmtId="0" fontId="4" fillId="4" borderId="57" xfId="0" applyFont="1" applyFill="1" applyBorder="1" applyAlignment="1">
      <alignment horizontal="left" vertical="top" wrapText="1"/>
    </xf>
    <xf numFmtId="0" fontId="4" fillId="4" borderId="34" xfId="0" applyFont="1" applyFill="1"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4" fillId="10" borderId="41" xfId="0" applyFont="1" applyFill="1" applyBorder="1" applyAlignment="1">
      <alignment horizontal="left" vertical="top" wrapText="1"/>
    </xf>
    <xf numFmtId="0" fontId="4" fillId="10" borderId="0" xfId="0" applyFont="1" applyFill="1" applyBorder="1" applyAlignment="1">
      <alignment horizontal="left" vertical="top" wrapText="1"/>
    </xf>
    <xf numFmtId="0" fontId="0" fillId="0" borderId="0" xfId="0" applyAlignment="1">
      <alignment horizontal="left" vertical="top" wrapText="1"/>
    </xf>
    <xf numFmtId="0" fontId="0" fillId="0" borderId="44" xfId="0" applyBorder="1" applyAlignment="1">
      <alignment horizontal="left" vertical="top" wrapText="1"/>
    </xf>
    <xf numFmtId="0" fontId="4" fillId="3" borderId="28" xfId="0" applyFont="1" applyFill="1" applyBorder="1" applyAlignment="1">
      <alignment horizontal="left" vertical="top" wrapText="1"/>
    </xf>
    <xf numFmtId="0" fontId="4" fillId="3" borderId="34" xfId="0" applyFont="1" applyFill="1" applyBorder="1" applyAlignment="1">
      <alignment horizontal="left" vertical="top" wrapText="1"/>
    </xf>
    <xf numFmtId="0" fontId="4" fillId="6" borderId="41" xfId="0" applyFont="1" applyFill="1" applyBorder="1" applyAlignment="1">
      <alignment horizontal="left" vertical="top" wrapText="1"/>
    </xf>
    <xf numFmtId="0" fontId="4" fillId="6" borderId="48" xfId="0" applyFont="1" applyFill="1" applyBorder="1" applyAlignment="1">
      <alignment vertical="top" wrapText="1"/>
    </xf>
    <xf numFmtId="0" fontId="4" fillId="6" borderId="31" xfId="0" applyFont="1" applyFill="1" applyBorder="1" applyAlignment="1">
      <alignment vertical="top" wrapText="1"/>
    </xf>
    <xf numFmtId="0" fontId="2" fillId="0" borderId="97"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06" xfId="0" applyFont="1" applyBorder="1" applyAlignment="1">
      <alignment horizontal="center" vertical="center" textRotation="90" wrapText="1"/>
    </xf>
    <xf numFmtId="0" fontId="4" fillId="0" borderId="59" xfId="0" applyFont="1" applyBorder="1" applyAlignment="1">
      <alignment horizontal="center" vertical="center"/>
    </xf>
    <xf numFmtId="0" fontId="4" fillId="0" borderId="56" xfId="0" applyFont="1" applyBorder="1" applyAlignment="1">
      <alignment horizontal="center" vertical="center"/>
    </xf>
    <xf numFmtId="0" fontId="4" fillId="0" borderId="51" xfId="0" applyFont="1" applyBorder="1" applyAlignment="1">
      <alignment horizontal="center" vertical="center"/>
    </xf>
    <xf numFmtId="0" fontId="2" fillId="0" borderId="5" xfId="0" applyFont="1" applyBorder="1" applyAlignment="1">
      <alignment horizontal="center" vertical="center" wrapText="1"/>
    </xf>
    <xf numFmtId="0" fontId="2" fillId="0" borderId="52" xfId="0" applyFont="1" applyBorder="1" applyAlignment="1">
      <alignment horizontal="center" vertical="center" wrapText="1"/>
    </xf>
    <xf numFmtId="3" fontId="2" fillId="0" borderId="56" xfId="0" applyNumberFormat="1" applyFont="1" applyBorder="1" applyAlignment="1">
      <alignment horizontal="center" vertical="center"/>
    </xf>
    <xf numFmtId="3" fontId="2" fillId="0" borderId="51" xfId="0" applyNumberFormat="1" applyFont="1" applyBorder="1" applyAlignment="1">
      <alignment horizontal="center" vertical="center"/>
    </xf>
    <xf numFmtId="49" fontId="4" fillId="7" borderId="59" xfId="0" applyNumberFormat="1" applyFont="1" applyFill="1" applyBorder="1" applyAlignment="1">
      <alignment horizontal="left" vertical="top" wrapText="1"/>
    </xf>
    <xf numFmtId="49" fontId="4" fillId="7" borderId="56" xfId="0" applyNumberFormat="1" applyFont="1" applyFill="1" applyBorder="1" applyAlignment="1">
      <alignment horizontal="left" vertical="top" wrapText="1"/>
    </xf>
    <xf numFmtId="49" fontId="4" fillId="7" borderId="51" xfId="0" applyNumberFormat="1" applyFont="1" applyFill="1" applyBorder="1" applyAlignment="1">
      <alignment horizontal="left" vertical="top" wrapText="1"/>
    </xf>
    <xf numFmtId="3" fontId="2" fillId="0" borderId="31" xfId="0" applyNumberFormat="1" applyFont="1" applyBorder="1" applyAlignment="1">
      <alignment horizontal="center" vertical="center"/>
    </xf>
    <xf numFmtId="3" fontId="2" fillId="0" borderId="0" xfId="0" applyNumberFormat="1" applyFont="1" applyBorder="1" applyAlignment="1">
      <alignment horizontal="center" vertical="center"/>
    </xf>
    <xf numFmtId="3" fontId="2" fillId="0" borderId="44" xfId="0" applyNumberFormat="1" applyFont="1" applyBorder="1" applyAlignment="1">
      <alignment horizontal="center" vertical="center"/>
    </xf>
    <xf numFmtId="0" fontId="4" fillId="9" borderId="26" xfId="0" applyFont="1" applyFill="1" applyBorder="1" applyAlignment="1">
      <alignment horizontal="center" vertical="top" wrapText="1"/>
    </xf>
    <xf numFmtId="0" fontId="4" fillId="9" borderId="21" xfId="0" applyFont="1" applyFill="1" applyBorder="1" applyAlignment="1">
      <alignment horizontal="center" vertical="top" wrapText="1"/>
    </xf>
    <xf numFmtId="0" fontId="4" fillId="9" borderId="27" xfId="0" applyFont="1" applyFill="1" applyBorder="1" applyAlignment="1">
      <alignment horizontal="center" vertical="top" wrapText="1"/>
    </xf>
    <xf numFmtId="165" fontId="2" fillId="2" borderId="57" xfId="0" applyNumberFormat="1" applyFont="1" applyFill="1" applyBorder="1" applyAlignment="1">
      <alignment horizontal="left" vertical="top" wrapText="1"/>
    </xf>
    <xf numFmtId="165" fontId="2" fillId="2" borderId="34" xfId="0" applyNumberFormat="1" applyFont="1" applyFill="1" applyBorder="1" applyAlignment="1">
      <alignment horizontal="left" vertical="top" wrapText="1"/>
    </xf>
    <xf numFmtId="165" fontId="2" fillId="2" borderId="35" xfId="0" applyNumberFormat="1" applyFont="1" applyFill="1" applyBorder="1" applyAlignment="1">
      <alignment horizontal="left" vertical="top" wrapText="1"/>
    </xf>
    <xf numFmtId="0" fontId="2" fillId="6" borderId="74" xfId="1" applyFont="1" applyFill="1" applyBorder="1" applyAlignment="1">
      <alignment horizontal="left" vertical="top" wrapText="1"/>
    </xf>
    <xf numFmtId="3" fontId="2" fillId="0" borderId="115" xfId="0" applyNumberFormat="1" applyFont="1" applyFill="1" applyBorder="1" applyAlignment="1">
      <alignment horizontal="center" vertical="top" wrapText="1"/>
    </xf>
    <xf numFmtId="3" fontId="2" fillId="0" borderId="15" xfId="0" applyNumberFormat="1" applyFont="1" applyFill="1" applyBorder="1" applyAlignment="1">
      <alignment horizontal="center" vertical="top" wrapText="1"/>
    </xf>
    <xf numFmtId="3" fontId="2" fillId="0" borderId="97" xfId="0" applyNumberFormat="1" applyFont="1" applyFill="1" applyBorder="1" applyAlignment="1">
      <alignment horizontal="center" vertical="top" wrapText="1"/>
    </xf>
    <xf numFmtId="3" fontId="2" fillId="0" borderId="24" xfId="0" applyNumberFormat="1" applyFont="1" applyFill="1" applyBorder="1" applyAlignment="1">
      <alignment horizontal="center" vertical="top" wrapText="1"/>
    </xf>
    <xf numFmtId="0" fontId="2" fillId="0" borderId="38" xfId="0" applyFont="1" applyBorder="1" applyAlignment="1">
      <alignment horizontal="center" vertical="center" textRotation="90" wrapText="1"/>
    </xf>
    <xf numFmtId="0" fontId="2" fillId="0" borderId="41" xfId="0" applyFont="1" applyBorder="1" applyAlignment="1">
      <alignment horizontal="center" vertical="center" textRotation="90" wrapText="1"/>
    </xf>
    <xf numFmtId="0" fontId="4" fillId="4" borderId="31" xfId="0" applyFont="1" applyFill="1" applyBorder="1" applyAlignment="1">
      <alignment horizontal="left" vertical="top" wrapText="1"/>
    </xf>
    <xf numFmtId="0" fontId="4" fillId="4" borderId="0" xfId="0" applyFont="1" applyFill="1" applyBorder="1" applyAlignment="1">
      <alignment horizontal="left" vertical="top" wrapText="1"/>
    </xf>
    <xf numFmtId="0" fontId="0" fillId="0" borderId="0" xfId="0" applyBorder="1" applyAlignment="1">
      <alignment horizontal="left" vertical="top" wrapText="1"/>
    </xf>
    <xf numFmtId="0" fontId="4" fillId="10" borderId="39" xfId="0" applyFont="1" applyFill="1" applyBorder="1" applyAlignment="1">
      <alignment horizontal="left" vertical="top" wrapText="1"/>
    </xf>
    <xf numFmtId="0" fontId="4" fillId="10" borderId="33" xfId="0" applyFont="1" applyFill="1" applyBorder="1" applyAlignment="1">
      <alignment horizontal="left" vertical="top" wrapText="1"/>
    </xf>
    <xf numFmtId="0" fontId="0" fillId="0" borderId="33" xfId="0" applyBorder="1" applyAlignment="1">
      <alignment horizontal="left" vertical="top" wrapText="1"/>
    </xf>
    <xf numFmtId="0" fontId="0" fillId="0" borderId="43" xfId="0" applyBorder="1" applyAlignment="1">
      <alignment horizontal="left" vertical="top" wrapText="1"/>
    </xf>
    <xf numFmtId="0" fontId="2" fillId="0" borderId="37" xfId="0" applyFont="1" applyBorder="1" applyAlignment="1">
      <alignment horizontal="center" vertical="center" textRotation="90" wrapText="1"/>
    </xf>
    <xf numFmtId="0" fontId="2" fillId="0" borderId="8" xfId="0" applyFont="1" applyBorder="1" applyAlignment="1">
      <alignment horizontal="center" vertical="center" textRotation="90" wrapText="1"/>
    </xf>
    <xf numFmtId="0" fontId="2" fillId="0" borderId="32" xfId="0" applyFont="1" applyBorder="1" applyAlignment="1">
      <alignment horizontal="center" vertical="center" textRotation="90" wrapText="1"/>
    </xf>
    <xf numFmtId="0" fontId="2" fillId="0" borderId="0" xfId="0" applyFont="1" applyBorder="1" applyAlignment="1">
      <alignment horizontal="center" vertical="center" textRotation="90" wrapText="1"/>
    </xf>
    <xf numFmtId="0" fontId="2" fillId="0" borderId="8" xfId="0" applyFont="1" applyBorder="1" applyAlignment="1">
      <alignment horizontal="center" vertical="center" wrapText="1"/>
    </xf>
    <xf numFmtId="3" fontId="4" fillId="0" borderId="97" xfId="0" applyNumberFormat="1" applyFont="1" applyBorder="1" applyAlignment="1">
      <alignment horizontal="center" vertical="center" textRotation="90" wrapText="1" shrinkToFit="1"/>
    </xf>
    <xf numFmtId="3" fontId="4" fillId="0" borderId="14" xfId="0" applyNumberFormat="1" applyFont="1" applyBorder="1" applyAlignment="1">
      <alignment horizontal="center" vertical="center" textRotation="90" wrapText="1" shrinkToFit="1"/>
    </xf>
    <xf numFmtId="0" fontId="4" fillId="0" borderId="59"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1" xfId="0" applyFont="1" applyBorder="1" applyAlignment="1">
      <alignment horizontal="center" vertical="center" wrapText="1"/>
    </xf>
    <xf numFmtId="0" fontId="2" fillId="6" borderId="14" xfId="0" applyFont="1" applyFill="1" applyBorder="1" applyAlignment="1">
      <alignment horizontal="center" vertical="top" wrapText="1"/>
    </xf>
    <xf numFmtId="0" fontId="2" fillId="6" borderId="24" xfId="0" applyFont="1" applyFill="1" applyBorder="1" applyAlignment="1">
      <alignment horizontal="center" vertical="top" wrapText="1"/>
    </xf>
    <xf numFmtId="3" fontId="2" fillId="6" borderId="5" xfId="0" applyNumberFormat="1" applyFont="1" applyFill="1" applyBorder="1" applyAlignment="1">
      <alignment horizontal="center" vertical="top"/>
    </xf>
    <xf numFmtId="3" fontId="2" fillId="6" borderId="18" xfId="0" applyNumberFormat="1" applyFont="1" applyFill="1" applyBorder="1" applyAlignment="1">
      <alignment horizontal="center" vertical="top"/>
    </xf>
    <xf numFmtId="0" fontId="2" fillId="6" borderId="71" xfId="0" applyFont="1" applyFill="1" applyBorder="1" applyAlignment="1">
      <alignment vertical="top" wrapText="1"/>
    </xf>
    <xf numFmtId="0" fontId="6" fillId="6" borderId="70" xfId="0" applyFont="1" applyFill="1" applyBorder="1" applyAlignment="1">
      <alignment vertical="top" wrapText="1"/>
    </xf>
    <xf numFmtId="0" fontId="2" fillId="6" borderId="76" xfId="0" applyFont="1" applyFill="1" applyBorder="1" applyAlignment="1">
      <alignment horizontal="center" vertical="top" wrapText="1"/>
    </xf>
    <xf numFmtId="0" fontId="2" fillId="6" borderId="44" xfId="0" applyFont="1" applyFill="1" applyBorder="1" applyAlignment="1">
      <alignment horizontal="center" vertical="top" wrapText="1"/>
    </xf>
    <xf numFmtId="0" fontId="2" fillId="6" borderId="46" xfId="0" applyFont="1" applyFill="1" applyBorder="1" applyAlignment="1">
      <alignment horizontal="center" vertical="top" wrapText="1"/>
    </xf>
    <xf numFmtId="0" fontId="2" fillId="0" borderId="13" xfId="0" applyFont="1" applyBorder="1" applyAlignment="1">
      <alignment horizontal="center" vertical="top"/>
    </xf>
    <xf numFmtId="0" fontId="2" fillId="0" borderId="25" xfId="0" applyFont="1" applyBorder="1" applyAlignment="1">
      <alignment horizontal="center" vertical="top"/>
    </xf>
    <xf numFmtId="0" fontId="2" fillId="0" borderId="44" xfId="0" applyFont="1" applyBorder="1" applyAlignment="1">
      <alignment horizontal="center" vertical="top"/>
    </xf>
    <xf numFmtId="0" fontId="2" fillId="0" borderId="46" xfId="0" applyFont="1" applyBorder="1" applyAlignment="1">
      <alignment horizontal="center" vertical="top"/>
    </xf>
    <xf numFmtId="1" fontId="2" fillId="6" borderId="73" xfId="0" applyNumberFormat="1" applyFont="1" applyFill="1" applyBorder="1" applyAlignment="1">
      <alignment horizontal="center" vertical="top" wrapText="1"/>
    </xf>
    <xf numFmtId="1" fontId="2" fillId="6" borderId="74" xfId="0" applyNumberFormat="1" applyFont="1" applyFill="1" applyBorder="1" applyAlignment="1">
      <alignment horizontal="center" vertical="top" wrapText="1"/>
    </xf>
    <xf numFmtId="0" fontId="2" fillId="0" borderId="8" xfId="0" applyFont="1" applyBorder="1" applyAlignment="1">
      <alignment horizontal="center" vertical="top"/>
    </xf>
    <xf numFmtId="0" fontId="2" fillId="0" borderId="18" xfId="0" applyFont="1" applyBorder="1" applyAlignment="1">
      <alignment horizontal="center" vertical="top"/>
    </xf>
    <xf numFmtId="0" fontId="2" fillId="0" borderId="9" xfId="0" applyFont="1" applyBorder="1" applyAlignment="1">
      <alignment horizontal="center" vertical="top"/>
    </xf>
    <xf numFmtId="0" fontId="2" fillId="0" borderId="22" xfId="0" applyFont="1" applyBorder="1" applyAlignment="1">
      <alignment horizontal="center" vertical="top"/>
    </xf>
    <xf numFmtId="49" fontId="2" fillId="6" borderId="14" xfId="0" applyNumberFormat="1" applyFont="1" applyFill="1" applyBorder="1" applyAlignment="1">
      <alignment horizontal="center" vertical="top" wrapText="1"/>
    </xf>
    <xf numFmtId="49" fontId="2" fillId="6" borderId="43" xfId="0" applyNumberFormat="1" applyFont="1" applyFill="1" applyBorder="1" applyAlignment="1">
      <alignment horizontal="center" vertical="top" wrapText="1"/>
    </xf>
    <xf numFmtId="49" fontId="2" fillId="6" borderId="44" xfId="0" applyNumberFormat="1" applyFont="1" applyFill="1" applyBorder="1" applyAlignment="1">
      <alignment horizontal="center" vertical="top" wrapText="1"/>
    </xf>
    <xf numFmtId="49" fontId="2" fillId="6" borderId="46" xfId="0" applyNumberFormat="1" applyFont="1" applyFill="1" applyBorder="1" applyAlignment="1">
      <alignment horizontal="center" vertical="top" wrapText="1"/>
    </xf>
    <xf numFmtId="0" fontId="2" fillId="6" borderId="1" xfId="0" applyFont="1" applyFill="1" applyBorder="1" applyAlignment="1">
      <alignment horizontal="center" wrapText="1"/>
    </xf>
    <xf numFmtId="0" fontId="2" fillId="6" borderId="14" xfId="0" applyFont="1" applyFill="1" applyBorder="1" applyAlignment="1">
      <alignment horizontal="center" wrapText="1"/>
    </xf>
    <xf numFmtId="0" fontId="2" fillId="6" borderId="24" xfId="0" applyFont="1" applyFill="1" applyBorder="1" applyAlignment="1">
      <alignment horizontal="center" wrapText="1"/>
    </xf>
    <xf numFmtId="49" fontId="2" fillId="6" borderId="1" xfId="0" applyNumberFormat="1" applyFont="1" applyFill="1" applyBorder="1" applyAlignment="1">
      <alignment horizontal="center" vertical="top" wrapText="1"/>
    </xf>
    <xf numFmtId="49" fontId="2" fillId="6" borderId="44" xfId="0" applyNumberFormat="1" applyFont="1" applyFill="1" applyBorder="1" applyAlignment="1">
      <alignment horizontal="center" vertical="center" wrapText="1"/>
    </xf>
    <xf numFmtId="0" fontId="6" fillId="6" borderId="44" xfId="0" applyFont="1" applyFill="1" applyBorder="1" applyAlignment="1">
      <alignment horizontal="center" vertical="center" wrapText="1"/>
    </xf>
    <xf numFmtId="0" fontId="2" fillId="6" borderId="73" xfId="0" applyFont="1" applyFill="1" applyBorder="1" applyAlignment="1">
      <alignment vertical="top" wrapText="1"/>
    </xf>
    <xf numFmtId="0" fontId="6" fillId="6" borderId="74" xfId="0" applyFont="1" applyFill="1" applyBorder="1" applyAlignment="1">
      <alignment vertical="top" wrapText="1"/>
    </xf>
    <xf numFmtId="0" fontId="6" fillId="6" borderId="44" xfId="0" applyFont="1" applyFill="1" applyBorder="1" applyAlignment="1">
      <alignment horizontal="center" vertical="top" wrapText="1"/>
    </xf>
    <xf numFmtId="49" fontId="2" fillId="6" borderId="16" xfId="0" applyNumberFormat="1" applyFont="1" applyFill="1" applyBorder="1" applyAlignment="1">
      <alignment horizontal="center" vertical="center" textRotation="90"/>
    </xf>
    <xf numFmtId="49" fontId="2" fillId="6" borderId="13" xfId="0" applyNumberFormat="1" applyFont="1" applyFill="1" applyBorder="1" applyAlignment="1">
      <alignment horizontal="center" vertical="center" textRotation="90"/>
    </xf>
    <xf numFmtId="49" fontId="2" fillId="6" borderId="25" xfId="0" applyNumberFormat="1" applyFont="1" applyFill="1" applyBorder="1" applyAlignment="1">
      <alignment horizontal="center" vertical="center" textRotation="90"/>
    </xf>
    <xf numFmtId="49" fontId="4" fillId="6" borderId="16" xfId="0" applyNumberFormat="1" applyFont="1" applyFill="1" applyBorder="1" applyAlignment="1">
      <alignment horizontal="center" vertical="top"/>
    </xf>
    <xf numFmtId="49" fontId="4" fillId="6" borderId="25" xfId="0" applyNumberFormat="1" applyFont="1" applyFill="1" applyBorder="1" applyAlignment="1">
      <alignment horizontal="center" vertical="top"/>
    </xf>
    <xf numFmtId="0" fontId="6" fillId="0" borderId="25" xfId="0" applyFont="1" applyBorder="1" applyAlignment="1">
      <alignment horizontal="left" vertical="top" wrapText="1"/>
    </xf>
    <xf numFmtId="49" fontId="2" fillId="6" borderId="1" xfId="0" applyNumberFormat="1" applyFont="1" applyFill="1" applyBorder="1" applyAlignment="1">
      <alignment horizontal="center" vertical="center" wrapText="1"/>
    </xf>
    <xf numFmtId="49" fontId="2" fillId="6" borderId="14" xfId="0" applyNumberFormat="1" applyFont="1" applyFill="1" applyBorder="1" applyAlignment="1">
      <alignment horizontal="center" vertical="center" wrapText="1"/>
    </xf>
    <xf numFmtId="49" fontId="2" fillId="6" borderId="24" xfId="0" applyNumberFormat="1" applyFont="1" applyFill="1" applyBorder="1" applyAlignment="1">
      <alignment horizontal="center" vertical="top" wrapText="1"/>
    </xf>
    <xf numFmtId="49" fontId="2" fillId="0" borderId="0" xfId="0" applyNumberFormat="1" applyFont="1" applyFill="1" applyBorder="1" applyAlignment="1">
      <alignment horizontal="left" vertical="top" wrapText="1"/>
    </xf>
    <xf numFmtId="0" fontId="2" fillId="0" borderId="44" xfId="0" applyFont="1" applyFill="1" applyBorder="1" applyAlignment="1">
      <alignment horizontal="center" vertical="center" wrapText="1"/>
    </xf>
    <xf numFmtId="49" fontId="4" fillId="0" borderId="16"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6" fillId="0" borderId="44" xfId="0" applyFont="1" applyBorder="1" applyAlignment="1">
      <alignment horizontal="center" vertical="top" wrapText="1"/>
    </xf>
    <xf numFmtId="49" fontId="4" fillId="6" borderId="13" xfId="0" applyNumberFormat="1" applyFont="1" applyFill="1" applyBorder="1" applyAlignment="1">
      <alignment horizontal="center" vertical="top"/>
    </xf>
    <xf numFmtId="49" fontId="4" fillId="0" borderId="33" xfId="0" applyNumberFormat="1" applyFont="1" applyBorder="1" applyAlignment="1">
      <alignment horizontal="center" vertical="top"/>
    </xf>
    <xf numFmtId="49" fontId="4" fillId="0" borderId="0" xfId="0" applyNumberFormat="1" applyFont="1" applyBorder="1" applyAlignment="1">
      <alignment horizontal="center" vertical="top"/>
    </xf>
    <xf numFmtId="49" fontId="4" fillId="0" borderId="16" xfId="0" applyNumberFormat="1" applyFont="1" applyBorder="1" applyAlignment="1">
      <alignment horizontal="center" vertical="top"/>
    </xf>
    <xf numFmtId="49" fontId="4" fillId="0" borderId="25" xfId="0" applyNumberFormat="1" applyFont="1" applyBorder="1" applyAlignment="1">
      <alignment horizontal="center" vertical="top"/>
    </xf>
    <xf numFmtId="49" fontId="2" fillId="0" borderId="43" xfId="0" applyNumberFormat="1" applyFont="1" applyBorder="1" applyAlignment="1">
      <alignment horizontal="center" vertical="top" wrapText="1"/>
    </xf>
    <xf numFmtId="49" fontId="2" fillId="0" borderId="44" xfId="0" applyNumberFormat="1" applyFont="1" applyBorder="1" applyAlignment="1">
      <alignment horizontal="center" vertical="top" wrapText="1"/>
    </xf>
    <xf numFmtId="49" fontId="4" fillId="8" borderId="28" xfId="0" applyNumberFormat="1" applyFont="1" applyFill="1" applyBorder="1" applyAlignment="1">
      <alignment horizontal="left" vertical="center"/>
    </xf>
    <xf numFmtId="49" fontId="4" fillId="6" borderId="16" xfId="0" applyNumberFormat="1" applyFont="1" applyFill="1" applyBorder="1" applyAlignment="1">
      <alignment horizontal="center" vertical="top" wrapText="1"/>
    </xf>
    <xf numFmtId="49" fontId="4" fillId="6" borderId="13" xfId="0" applyNumberFormat="1" applyFont="1" applyFill="1" applyBorder="1" applyAlignment="1">
      <alignment horizontal="center" vertical="top" wrapText="1"/>
    </xf>
    <xf numFmtId="49" fontId="4" fillId="6" borderId="25" xfId="0" applyNumberFormat="1" applyFont="1" applyFill="1" applyBorder="1" applyAlignment="1">
      <alignment horizontal="center" vertical="top" wrapText="1"/>
    </xf>
    <xf numFmtId="3" fontId="2" fillId="0" borderId="97" xfId="0" applyNumberFormat="1" applyFont="1" applyFill="1" applyBorder="1" applyAlignment="1">
      <alignment horizontal="center" vertical="center" wrapText="1" shrinkToFit="1"/>
    </xf>
    <xf numFmtId="3" fontId="2" fillId="0" borderId="14" xfId="0" applyNumberFormat="1" applyFont="1" applyFill="1" applyBorder="1" applyAlignment="1">
      <alignment horizontal="center" vertical="center" wrapText="1" shrinkToFit="1"/>
    </xf>
    <xf numFmtId="3" fontId="2" fillId="0" borderId="106" xfId="0" applyNumberFormat="1" applyFont="1" applyFill="1" applyBorder="1" applyAlignment="1">
      <alignment horizontal="center" vertical="center" wrapText="1" shrinkToFit="1"/>
    </xf>
    <xf numFmtId="0" fontId="2" fillId="0" borderId="37" xfId="0" applyFont="1" applyBorder="1" applyAlignment="1">
      <alignment horizontal="center" vertical="center" textRotation="90"/>
    </xf>
    <xf numFmtId="0" fontId="2" fillId="0" borderId="52" xfId="0" applyFont="1" applyBorder="1" applyAlignment="1">
      <alignment horizontal="center" vertical="center" textRotation="90"/>
    </xf>
    <xf numFmtId="49" fontId="4" fillId="8" borderId="28" xfId="0" applyNumberFormat="1" applyFont="1" applyFill="1" applyBorder="1" applyAlignment="1">
      <alignment horizontal="left" vertical="top"/>
    </xf>
    <xf numFmtId="0" fontId="3" fillId="0" borderId="0" xfId="0" applyFont="1" applyAlignment="1">
      <alignment horizontal="right" vertical="top"/>
    </xf>
    <xf numFmtId="0" fontId="2" fillId="0" borderId="52" xfId="0" applyFont="1" applyBorder="1" applyAlignment="1">
      <alignment horizontal="center" vertical="center" textRotation="90" wrapText="1"/>
    </xf>
    <xf numFmtId="49" fontId="2" fillId="0" borderId="20" xfId="0" applyNumberFormat="1" applyFont="1" applyBorder="1" applyAlignment="1">
      <alignment horizontal="center" vertical="top"/>
    </xf>
    <xf numFmtId="49" fontId="2" fillId="0" borderId="13" xfId="0" applyNumberFormat="1" applyFont="1" applyBorder="1" applyAlignment="1">
      <alignment horizontal="center" vertical="top"/>
    </xf>
  </cellXfs>
  <cellStyles count="4">
    <cellStyle name="Excel Built-in Normal" xfId="3"/>
    <cellStyle name="Įprastas" xfId="0" builtinId="0"/>
    <cellStyle name="Įprastas 2" xfId="1"/>
    <cellStyle name="Stilius 1" xfId="2"/>
  </cellStyles>
  <dxfs count="0"/>
  <tableStyles count="0" defaultTableStyle="TableStyleMedium2" defaultPivotStyle="PivotStyleLight16"/>
  <colors>
    <mruColors>
      <color rgb="FFFFCCFF"/>
      <color rgb="FFCCFFCC"/>
      <color rgb="FFFFD5FF"/>
      <color rgb="FFCCCCFF"/>
      <color rgb="FFFFFFCC"/>
      <color rgb="FF99FF99"/>
      <color rgb="FFFF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306"/>
  <sheetViews>
    <sheetView tabSelected="1" zoomScaleNormal="100" zoomScaleSheetLayoutView="90" workbookViewId="0">
      <selection activeCell="T269" sqref="T269"/>
    </sheetView>
  </sheetViews>
  <sheetFormatPr defaultColWidth="9.1796875" defaultRowHeight="13" x14ac:dyDescent="0.25"/>
  <cols>
    <col min="1" max="3" width="2.81640625" style="3" customWidth="1"/>
    <col min="4" max="4" width="32" style="3" customWidth="1"/>
    <col min="5" max="5" width="4.1796875" style="8" customWidth="1"/>
    <col min="6" max="6" width="8.1796875" style="14" customWidth="1"/>
    <col min="7" max="9" width="9.1796875" style="3" customWidth="1"/>
    <col min="10" max="10" width="38.453125" style="3" customWidth="1"/>
    <col min="11" max="13" width="6.1796875" style="14" customWidth="1"/>
    <col min="14" max="14" width="9.1796875" style="2"/>
    <col min="15" max="17" width="0" style="2" hidden="1" customWidth="1"/>
    <col min="18" max="18" width="12.1796875" style="2" hidden="1" customWidth="1"/>
    <col min="19" max="16384" width="9.1796875" style="2"/>
  </cols>
  <sheetData>
    <row r="1" spans="1:18" ht="32.25" customHeight="1" x14ac:dyDescent="0.25">
      <c r="G1" s="14"/>
      <c r="H1" s="14"/>
      <c r="I1" s="14"/>
      <c r="J1" s="1761" t="s">
        <v>339</v>
      </c>
      <c r="K1" s="1761"/>
      <c r="L1" s="1761"/>
      <c r="M1" s="1761"/>
    </row>
    <row r="2" spans="1:18" ht="14.25" customHeight="1" x14ac:dyDescent="0.25">
      <c r="G2" s="14"/>
      <c r="H2" s="14"/>
      <c r="I2" s="14"/>
      <c r="J2" s="1761" t="s">
        <v>340</v>
      </c>
      <c r="K2" s="1761"/>
      <c r="L2" s="1761"/>
      <c r="M2" s="1761"/>
    </row>
    <row r="3" spans="1:18" ht="12" customHeight="1" x14ac:dyDescent="0.25">
      <c r="G3" s="14"/>
      <c r="H3" s="14"/>
      <c r="I3" s="14"/>
      <c r="J3" s="201"/>
      <c r="K3" s="201"/>
      <c r="L3" s="201"/>
      <c r="M3" s="201"/>
    </row>
    <row r="4" spans="1:18" s="3" customFormat="1" ht="15" customHeight="1" x14ac:dyDescent="0.25">
      <c r="A4" s="1762" t="s">
        <v>338</v>
      </c>
      <c r="B4" s="1762"/>
      <c r="C4" s="1762"/>
      <c r="D4" s="1762"/>
      <c r="E4" s="1762"/>
      <c r="F4" s="1762"/>
      <c r="G4" s="1762"/>
      <c r="H4" s="1762"/>
      <c r="I4" s="1762"/>
      <c r="J4" s="1762"/>
      <c r="K4" s="1762"/>
      <c r="L4" s="1762"/>
      <c r="M4" s="1762"/>
    </row>
    <row r="5" spans="1:18" ht="15" customHeight="1" x14ac:dyDescent="0.25">
      <c r="A5" s="1763" t="s">
        <v>23</v>
      </c>
      <c r="B5" s="1763"/>
      <c r="C5" s="1763"/>
      <c r="D5" s="1763"/>
      <c r="E5" s="1763"/>
      <c r="F5" s="1763"/>
      <c r="G5" s="1763"/>
      <c r="H5" s="1763"/>
      <c r="I5" s="1763"/>
      <c r="J5" s="1763"/>
      <c r="K5" s="1763"/>
      <c r="L5" s="1763"/>
      <c r="M5" s="1763"/>
    </row>
    <row r="6" spans="1:18" ht="15.5" x14ac:dyDescent="0.25">
      <c r="A6" s="1764" t="s">
        <v>76</v>
      </c>
      <c r="B6" s="1764"/>
      <c r="C6" s="1764"/>
      <c r="D6" s="1764"/>
      <c r="E6" s="1764"/>
      <c r="F6" s="1764"/>
      <c r="G6" s="1764"/>
      <c r="H6" s="1764"/>
      <c r="I6" s="1764"/>
      <c r="J6" s="1764"/>
      <c r="K6" s="1764"/>
      <c r="L6" s="1764"/>
      <c r="M6" s="1764"/>
    </row>
    <row r="7" spans="1:18" ht="14.5" customHeight="1" x14ac:dyDescent="0.25">
      <c r="E7" s="951"/>
      <c r="F7" s="1065"/>
      <c r="J7" s="934"/>
      <c r="K7" s="1065"/>
      <c r="L7" s="1065"/>
      <c r="M7" s="1065"/>
    </row>
    <row r="8" spans="1:18" ht="12" customHeight="1" thickBot="1" x14ac:dyDescent="0.35">
      <c r="E8" s="951"/>
      <c r="F8" s="137"/>
      <c r="J8" s="934"/>
      <c r="K8" s="2"/>
      <c r="L8" s="1765" t="s">
        <v>73</v>
      </c>
      <c r="M8" s="1765"/>
    </row>
    <row r="9" spans="1:18" s="27" customFormat="1" ht="24.75" customHeight="1" thickBot="1" x14ac:dyDescent="0.3">
      <c r="A9" s="1766" t="s">
        <v>15</v>
      </c>
      <c r="B9" s="1736" t="s">
        <v>0</v>
      </c>
      <c r="C9" s="1736" t="s">
        <v>1</v>
      </c>
      <c r="D9" s="1769" t="s">
        <v>10</v>
      </c>
      <c r="E9" s="1736" t="s">
        <v>221</v>
      </c>
      <c r="F9" s="1739" t="s">
        <v>2</v>
      </c>
      <c r="G9" s="1742" t="s">
        <v>224</v>
      </c>
      <c r="H9" s="1745" t="s">
        <v>318</v>
      </c>
      <c r="I9" s="1785" t="s">
        <v>225</v>
      </c>
      <c r="J9" s="1788" t="s">
        <v>9</v>
      </c>
      <c r="K9" s="1789"/>
      <c r="L9" s="1789"/>
      <c r="M9" s="1790"/>
    </row>
    <row r="10" spans="1:18" s="27" customFormat="1" ht="18.75" customHeight="1" x14ac:dyDescent="0.25">
      <c r="A10" s="1767"/>
      <c r="B10" s="1737"/>
      <c r="C10" s="1737"/>
      <c r="D10" s="1770"/>
      <c r="E10" s="1737"/>
      <c r="F10" s="1740"/>
      <c r="G10" s="1743"/>
      <c r="H10" s="1746"/>
      <c r="I10" s="1786"/>
      <c r="J10" s="1791" t="s">
        <v>10</v>
      </c>
      <c r="K10" s="1793" t="s">
        <v>213</v>
      </c>
      <c r="L10" s="1793"/>
      <c r="M10" s="1794"/>
    </row>
    <row r="11" spans="1:18" s="27" customFormat="1" ht="91.4" customHeight="1" thickBot="1" x14ac:dyDescent="0.3">
      <c r="A11" s="1768"/>
      <c r="B11" s="1738"/>
      <c r="C11" s="1738"/>
      <c r="D11" s="1771"/>
      <c r="E11" s="1738"/>
      <c r="F11" s="1741"/>
      <c r="G11" s="1744"/>
      <c r="H11" s="1747"/>
      <c r="I11" s="1787"/>
      <c r="J11" s="1792"/>
      <c r="K11" s="548" t="s">
        <v>227</v>
      </c>
      <c r="L11" s="549" t="s">
        <v>228</v>
      </c>
      <c r="M11" s="550" t="s">
        <v>229</v>
      </c>
    </row>
    <row r="12" spans="1:18" s="7" customFormat="1" ht="15" customHeight="1" x14ac:dyDescent="0.25">
      <c r="A12" s="1795" t="s">
        <v>50</v>
      </c>
      <c r="B12" s="1796"/>
      <c r="C12" s="1796"/>
      <c r="D12" s="1796"/>
      <c r="E12" s="1796"/>
      <c r="F12" s="1796"/>
      <c r="G12" s="1796"/>
      <c r="H12" s="1796"/>
      <c r="I12" s="1796"/>
      <c r="J12" s="1796"/>
      <c r="K12" s="1796"/>
      <c r="L12" s="1796"/>
      <c r="M12" s="1797"/>
    </row>
    <row r="13" spans="1:18" s="7" customFormat="1" ht="14.25" customHeight="1" x14ac:dyDescent="0.25">
      <c r="A13" s="1772" t="s">
        <v>41</v>
      </c>
      <c r="B13" s="1773"/>
      <c r="C13" s="1773"/>
      <c r="D13" s="1773"/>
      <c r="E13" s="1773"/>
      <c r="F13" s="1773"/>
      <c r="G13" s="1773"/>
      <c r="H13" s="1773"/>
      <c r="I13" s="1773"/>
      <c r="J13" s="1773"/>
      <c r="K13" s="1774"/>
      <c r="L13" s="1774"/>
      <c r="M13" s="1775"/>
    </row>
    <row r="14" spans="1:18" ht="15" customHeight="1" x14ac:dyDescent="0.25">
      <c r="A14" s="425" t="s">
        <v>3</v>
      </c>
      <c r="B14" s="1776" t="s">
        <v>51</v>
      </c>
      <c r="C14" s="1777"/>
      <c r="D14" s="1777"/>
      <c r="E14" s="1777"/>
      <c r="F14" s="1777"/>
      <c r="G14" s="1777"/>
      <c r="H14" s="1777"/>
      <c r="I14" s="1777"/>
      <c r="J14" s="1777"/>
      <c r="K14" s="1778"/>
      <c r="L14" s="1778"/>
      <c r="M14" s="1779"/>
    </row>
    <row r="15" spans="1:18" ht="15.75" customHeight="1" x14ac:dyDescent="0.25">
      <c r="A15" s="23" t="s">
        <v>3</v>
      </c>
      <c r="B15" s="24" t="s">
        <v>3</v>
      </c>
      <c r="C15" s="1780" t="s">
        <v>38</v>
      </c>
      <c r="D15" s="1781"/>
      <c r="E15" s="1781"/>
      <c r="F15" s="1781"/>
      <c r="G15" s="1781"/>
      <c r="H15" s="1781"/>
      <c r="I15" s="1781"/>
      <c r="J15" s="1781"/>
      <c r="K15" s="1774"/>
      <c r="L15" s="1774"/>
      <c r="M15" s="1775"/>
    </row>
    <row r="16" spans="1:18" ht="15" customHeight="1" x14ac:dyDescent="0.25">
      <c r="A16" s="1054" t="s">
        <v>3</v>
      </c>
      <c r="B16" s="1064" t="s">
        <v>3</v>
      </c>
      <c r="C16" s="1051" t="s">
        <v>3</v>
      </c>
      <c r="D16" s="1592" t="s">
        <v>70</v>
      </c>
      <c r="E16" s="83"/>
      <c r="F16" s="1036" t="s">
        <v>22</v>
      </c>
      <c r="G16" s="314">
        <f>2676.7+60.5+863.2</f>
        <v>3600.4</v>
      </c>
      <c r="H16" s="167">
        <f>6037.7-400+1354.7-840.2</f>
        <v>6152.2</v>
      </c>
      <c r="I16" s="167">
        <f>9539.7-400+21.9-578.3</f>
        <v>8583.2999999999993</v>
      </c>
      <c r="J16" s="1783"/>
      <c r="K16" s="426"/>
      <c r="L16" s="289"/>
      <c r="M16" s="140"/>
      <c r="O16" s="1248" t="s">
        <v>22</v>
      </c>
      <c r="P16" s="1249">
        <f>+G28+G41+G50+G57+G61+G65+G69+G75+G77+G79+G80+G94+G96+G97+G98+G104+G105+G106+G107+G109+G111+G118+G119+G126+G131+G133+G134+G135</f>
        <v>2676.7</v>
      </c>
      <c r="Q16" s="1249">
        <f>+H28+H41+H50+H57+H61+H65+H69+H75+H77+H79+H80+H94+H96+H97+H98+H104+H105+H106+H107+H109+H111+H118+H119+H126+H131+H133+H134+H135</f>
        <v>6037.7</v>
      </c>
      <c r="R16" s="1249">
        <f>+I28+I41+I50+I57+I61+I65+I69+I75+I77+I79+I80+I94+I96+I97+I98+I104+I105+I106+I107+I109+I111+I118+I119+I126+I131+I133+I134+I135</f>
        <v>9539.7000000000007</v>
      </c>
    </row>
    <row r="17" spans="1:18" ht="15" customHeight="1" x14ac:dyDescent="0.25">
      <c r="A17" s="1054"/>
      <c r="B17" s="1064"/>
      <c r="C17" s="1051"/>
      <c r="D17" s="1782"/>
      <c r="E17" s="171"/>
      <c r="F17" s="196" t="s">
        <v>183</v>
      </c>
      <c r="G17" s="871"/>
      <c r="H17" s="321">
        <v>2964.9</v>
      </c>
      <c r="I17" s="39"/>
      <c r="J17" s="1784"/>
      <c r="K17" s="427"/>
      <c r="L17" s="290"/>
      <c r="M17" s="109"/>
      <c r="O17" s="1248" t="s">
        <v>183</v>
      </c>
      <c r="P17" s="1249">
        <f>+G29</f>
        <v>0</v>
      </c>
      <c r="Q17" s="1249">
        <f t="shared" ref="Q17:R17" si="0">+H29</f>
        <v>2964.9</v>
      </c>
      <c r="R17" s="1249">
        <f t="shared" si="0"/>
        <v>0</v>
      </c>
    </row>
    <row r="18" spans="1:18" ht="15" customHeight="1" x14ac:dyDescent="0.25">
      <c r="A18" s="1054"/>
      <c r="B18" s="1064"/>
      <c r="C18" s="1051"/>
      <c r="D18" s="1782"/>
      <c r="E18" s="171"/>
      <c r="F18" s="196" t="s">
        <v>132</v>
      </c>
      <c r="G18" s="871">
        <v>30.2</v>
      </c>
      <c r="H18" s="321"/>
      <c r="I18" s="39"/>
      <c r="J18" s="1784"/>
      <c r="K18" s="427"/>
      <c r="L18" s="290"/>
      <c r="M18" s="109"/>
      <c r="O18" s="1248" t="s">
        <v>132</v>
      </c>
      <c r="P18" s="1249">
        <f>+G33+G39+G99</f>
        <v>30.2</v>
      </c>
      <c r="Q18" s="1249">
        <f>+H33+H39+H99</f>
        <v>0</v>
      </c>
      <c r="R18" s="1249">
        <f>+I33+I39+I99</f>
        <v>0</v>
      </c>
    </row>
    <row r="19" spans="1:18" ht="15" customHeight="1" x14ac:dyDescent="0.25">
      <c r="A19" s="1054"/>
      <c r="B19" s="1064"/>
      <c r="C19" s="1051"/>
      <c r="D19" s="1782"/>
      <c r="E19" s="171"/>
      <c r="F19" s="196" t="s">
        <v>133</v>
      </c>
      <c r="G19" s="871">
        <v>52.3</v>
      </c>
      <c r="H19" s="321"/>
      <c r="I19" s="39"/>
      <c r="J19" s="1784"/>
      <c r="K19" s="427"/>
      <c r="L19" s="290"/>
      <c r="M19" s="109"/>
      <c r="O19" s="1248" t="s">
        <v>133</v>
      </c>
      <c r="P19" s="1249">
        <f>+G35+G37</f>
        <v>52.3</v>
      </c>
      <c r="Q19" s="1249">
        <f t="shared" ref="Q19:R19" si="1">+H35+H37</f>
        <v>0</v>
      </c>
      <c r="R19" s="1249">
        <f t="shared" si="1"/>
        <v>0</v>
      </c>
    </row>
    <row r="20" spans="1:18" ht="15" customHeight="1" x14ac:dyDescent="0.25">
      <c r="A20" s="1054"/>
      <c r="B20" s="1064"/>
      <c r="C20" s="1051"/>
      <c r="D20" s="1782"/>
      <c r="E20" s="171"/>
      <c r="F20" s="196" t="s">
        <v>37</v>
      </c>
      <c r="G20" s="871">
        <v>33.700000000000003</v>
      </c>
      <c r="H20" s="321">
        <v>33.700000000000003</v>
      </c>
      <c r="I20" s="39">
        <v>33.700000000000003</v>
      </c>
      <c r="J20" s="1784"/>
      <c r="K20" s="427"/>
      <c r="L20" s="290"/>
      <c r="M20" s="109"/>
      <c r="O20" s="1248" t="s">
        <v>37</v>
      </c>
      <c r="P20" s="1249">
        <f>+G112+G128+G129</f>
        <v>33.700000000000003</v>
      </c>
      <c r="Q20" s="1249">
        <f>+H112+H128+H129</f>
        <v>33.700000000000003</v>
      </c>
      <c r="R20" s="1249">
        <f>+I112+I128+I129</f>
        <v>33.700000000000003</v>
      </c>
    </row>
    <row r="21" spans="1:18" ht="15" customHeight="1" x14ac:dyDescent="0.25">
      <c r="A21" s="1054"/>
      <c r="B21" s="1064"/>
      <c r="C21" s="1051"/>
      <c r="D21" s="1782"/>
      <c r="E21" s="171"/>
      <c r="F21" s="196" t="s">
        <v>48</v>
      </c>
      <c r="G21" s="871">
        <f>2223.8+1263.7</f>
        <v>3487.5</v>
      </c>
      <c r="H21" s="321"/>
      <c r="I21" s="39"/>
      <c r="J21" s="1784"/>
      <c r="K21" s="427"/>
      <c r="L21" s="290"/>
      <c r="M21" s="109"/>
      <c r="O21" s="1248" t="s">
        <v>48</v>
      </c>
      <c r="P21" s="1249">
        <f>+G27+G32+G38+G40+G45+G49+G58+G62+G64+G68+G81+G102+G132+G136</f>
        <v>2223.8000000000002</v>
      </c>
      <c r="Q21" s="1249">
        <f>+H27+H32+H38+H40+H45+H49+H58+H62+H64+H68+H81+H102+H132+H136</f>
        <v>0</v>
      </c>
      <c r="R21" s="1249">
        <f>+I27+I32+I38+I40+I45+I49+I58+I62+I64+I68+I81+I102+I132+I136</f>
        <v>0</v>
      </c>
    </row>
    <row r="22" spans="1:18" ht="15" customHeight="1" x14ac:dyDescent="0.25">
      <c r="A22" s="1054"/>
      <c r="B22" s="1064"/>
      <c r="C22" s="1051"/>
      <c r="D22" s="1782"/>
      <c r="E22" s="171"/>
      <c r="F22" s="196" t="s">
        <v>64</v>
      </c>
      <c r="G22" s="871">
        <v>2.9</v>
      </c>
      <c r="H22" s="321"/>
      <c r="I22" s="39"/>
      <c r="J22" s="1784"/>
      <c r="K22" s="427"/>
      <c r="L22" s="290"/>
      <c r="M22" s="109"/>
      <c r="O22" s="1248" t="s">
        <v>64</v>
      </c>
      <c r="P22" s="1249">
        <f>+G113+G127+G130</f>
        <v>2.9</v>
      </c>
      <c r="Q22" s="1249">
        <f>+H113+H127+H130</f>
        <v>0</v>
      </c>
      <c r="R22" s="1249">
        <f>+I113+I127+I130</f>
        <v>0</v>
      </c>
    </row>
    <row r="23" spans="1:18" ht="15" customHeight="1" x14ac:dyDescent="0.25">
      <c r="A23" s="1054"/>
      <c r="B23" s="1064"/>
      <c r="C23" s="1051"/>
      <c r="D23" s="1782"/>
      <c r="E23" s="171"/>
      <c r="F23" s="196" t="s">
        <v>197</v>
      </c>
      <c r="G23" s="871">
        <v>53.4</v>
      </c>
      <c r="H23" s="321"/>
      <c r="I23" s="39"/>
      <c r="J23" s="1784"/>
      <c r="K23" s="427"/>
      <c r="L23" s="290"/>
      <c r="M23" s="109"/>
      <c r="O23" s="1248" t="s">
        <v>197</v>
      </c>
      <c r="P23" s="1249">
        <f>+G34</f>
        <v>53.4</v>
      </c>
      <c r="Q23" s="1249">
        <f t="shared" ref="Q23:R23" si="2">+H34</f>
        <v>0</v>
      </c>
      <c r="R23" s="1249">
        <f t="shared" si="2"/>
        <v>0</v>
      </c>
    </row>
    <row r="24" spans="1:18" ht="15" customHeight="1" x14ac:dyDescent="0.25">
      <c r="A24" s="1054"/>
      <c r="B24" s="1064"/>
      <c r="C24" s="1051"/>
      <c r="D24" s="1782"/>
      <c r="E24" s="171"/>
      <c r="F24" s="196" t="s">
        <v>198</v>
      </c>
      <c r="G24" s="871">
        <v>604.29999999999995</v>
      </c>
      <c r="H24" s="321"/>
      <c r="I24" s="39"/>
      <c r="J24" s="1784"/>
      <c r="K24" s="427"/>
      <c r="L24" s="290"/>
      <c r="M24" s="109"/>
      <c r="O24" s="1248" t="s">
        <v>198</v>
      </c>
      <c r="P24" s="1249">
        <f>+G36</f>
        <v>604.29999999999995</v>
      </c>
      <c r="Q24" s="1249">
        <f t="shared" ref="Q24:R24" si="3">+H36</f>
        <v>0</v>
      </c>
      <c r="R24" s="1249">
        <f t="shared" si="3"/>
        <v>0</v>
      </c>
    </row>
    <row r="25" spans="1:18" ht="15" customHeight="1" x14ac:dyDescent="0.25">
      <c r="A25" s="1054"/>
      <c r="B25" s="1064"/>
      <c r="C25" s="1051"/>
      <c r="D25" s="1782"/>
      <c r="E25" s="171"/>
      <c r="F25" s="196" t="s">
        <v>195</v>
      </c>
      <c r="G25" s="871">
        <v>22.9</v>
      </c>
      <c r="H25" s="321">
        <v>50</v>
      </c>
      <c r="I25" s="39">
        <v>50</v>
      </c>
      <c r="J25" s="1784"/>
      <c r="K25" s="427"/>
      <c r="L25" s="290"/>
      <c r="M25" s="109"/>
      <c r="O25" s="1248" t="s">
        <v>195</v>
      </c>
      <c r="P25" s="1249">
        <f>+G53+G72</f>
        <v>22.9</v>
      </c>
      <c r="Q25" s="1249">
        <f t="shared" ref="Q25:R25" si="4">+H53+H72</f>
        <v>50</v>
      </c>
      <c r="R25" s="1249">
        <f t="shared" si="4"/>
        <v>50</v>
      </c>
    </row>
    <row r="26" spans="1:18" ht="15" customHeight="1" x14ac:dyDescent="0.25">
      <c r="A26" s="1054"/>
      <c r="B26" s="1064"/>
      <c r="C26" s="1051"/>
      <c r="D26" s="1592"/>
      <c r="E26" s="255"/>
      <c r="F26" s="869" t="s">
        <v>279</v>
      </c>
      <c r="G26" s="871"/>
      <c r="H26" s="321">
        <v>426</v>
      </c>
      <c r="I26" s="39">
        <v>2795</v>
      </c>
      <c r="J26" s="1784"/>
      <c r="K26" s="427"/>
      <c r="L26" s="290"/>
      <c r="M26" s="109"/>
      <c r="O26" s="1248" t="s">
        <v>279</v>
      </c>
      <c r="P26" s="1249">
        <f>+G30+G42</f>
        <v>0</v>
      </c>
      <c r="Q26" s="1249">
        <f t="shared" ref="Q26:R26" si="5">+H30+H42</f>
        <v>426</v>
      </c>
      <c r="R26" s="1249">
        <f t="shared" si="5"/>
        <v>2795</v>
      </c>
    </row>
    <row r="27" spans="1:18" ht="15.65" customHeight="1" x14ac:dyDescent="0.25">
      <c r="A27" s="1054"/>
      <c r="B27" s="1064"/>
      <c r="C27" s="1051"/>
      <c r="D27" s="1636" t="s">
        <v>100</v>
      </c>
      <c r="E27" s="844" t="s">
        <v>178</v>
      </c>
      <c r="F27" s="1120" t="s">
        <v>343</v>
      </c>
      <c r="G27" s="1132">
        <v>500</v>
      </c>
      <c r="H27" s="1118"/>
      <c r="I27" s="1113"/>
      <c r="J27" s="1680" t="s">
        <v>285</v>
      </c>
      <c r="K27" s="428"/>
      <c r="L27" s="434">
        <v>30</v>
      </c>
      <c r="M27" s="1076">
        <v>75</v>
      </c>
      <c r="O27" s="1248"/>
      <c r="P27" s="1249">
        <f>+P16+P17+P18+P19+P20+P21+P22+P23+P24+P25+P26</f>
        <v>5700.2</v>
      </c>
      <c r="Q27" s="1249">
        <f t="shared" ref="Q27:R27" si="6">+Q16+Q17+Q18+Q19+Q20+Q21+Q22+Q23+Q24+Q25+Q26</f>
        <v>9512.2999999999993</v>
      </c>
      <c r="R27" s="1249">
        <f t="shared" si="6"/>
        <v>12418.4</v>
      </c>
    </row>
    <row r="28" spans="1:18" ht="15.65" customHeight="1" x14ac:dyDescent="0.25">
      <c r="A28" s="1054"/>
      <c r="B28" s="1064"/>
      <c r="C28" s="1051"/>
      <c r="D28" s="1637"/>
      <c r="E28" s="242" t="s">
        <v>153</v>
      </c>
      <c r="F28" s="1217" t="s">
        <v>341</v>
      </c>
      <c r="G28" s="1230"/>
      <c r="H28" s="1231">
        <v>222.6</v>
      </c>
      <c r="I28" s="1232">
        <f>4867-150</f>
        <v>4717</v>
      </c>
      <c r="J28" s="1663"/>
      <c r="L28" s="1085"/>
      <c r="M28" s="1086"/>
      <c r="N28" s="1077"/>
      <c r="O28" s="1248"/>
      <c r="P28" s="1249">
        <f>+P27-G137</f>
        <v>-2187.4</v>
      </c>
      <c r="Q28" s="1249">
        <f>+Q27-H137</f>
        <v>-114.5</v>
      </c>
      <c r="R28" s="1249">
        <f>+R27-I137</f>
        <v>956.4</v>
      </c>
    </row>
    <row r="29" spans="1:18" ht="15.65" customHeight="1" x14ac:dyDescent="0.25">
      <c r="A29" s="1054"/>
      <c r="B29" s="1064"/>
      <c r="C29" s="1051"/>
      <c r="D29" s="1637"/>
      <c r="E29" s="242" t="s">
        <v>262</v>
      </c>
      <c r="F29" s="1120" t="s">
        <v>346</v>
      </c>
      <c r="G29" s="1121"/>
      <c r="H29" s="1122">
        <v>2964.9</v>
      </c>
      <c r="I29" s="1123"/>
      <c r="J29" s="1662" t="s">
        <v>286</v>
      </c>
      <c r="K29" s="594"/>
      <c r="L29" s="723"/>
      <c r="M29" s="662">
        <v>30</v>
      </c>
    </row>
    <row r="30" spans="1:18" ht="15.65" customHeight="1" x14ac:dyDescent="0.25">
      <c r="A30" s="1054"/>
      <c r="B30" s="1064"/>
      <c r="C30" s="1051"/>
      <c r="D30" s="1637"/>
      <c r="E30" s="242" t="s">
        <v>136</v>
      </c>
      <c r="F30" s="1120" t="s">
        <v>347</v>
      </c>
      <c r="G30" s="1121"/>
      <c r="H30" s="1122"/>
      <c r="I30" s="1123">
        <v>1275</v>
      </c>
      <c r="J30" s="1730"/>
      <c r="K30" s="715"/>
      <c r="L30" s="716"/>
      <c r="M30" s="717"/>
    </row>
    <row r="31" spans="1:18" ht="15.65" customHeight="1" x14ac:dyDescent="0.25">
      <c r="A31" s="1054"/>
      <c r="B31" s="1064"/>
      <c r="C31" s="1051"/>
      <c r="D31" s="1637"/>
      <c r="E31" s="1084" t="s">
        <v>42</v>
      </c>
      <c r="F31" s="1224"/>
      <c r="G31" s="1141"/>
      <c r="H31" s="1233"/>
      <c r="I31" s="1234"/>
      <c r="J31" s="719"/>
      <c r="K31" s="720"/>
      <c r="L31" s="721"/>
      <c r="M31" s="722"/>
    </row>
    <row r="32" spans="1:18" ht="13.4" customHeight="1" x14ac:dyDescent="0.25">
      <c r="A32" s="1054"/>
      <c r="B32" s="1064"/>
      <c r="C32" s="1051"/>
      <c r="D32" s="1636" t="s">
        <v>114</v>
      </c>
      <c r="E32" s="254" t="s">
        <v>178</v>
      </c>
      <c r="F32" s="1120" t="s">
        <v>343</v>
      </c>
      <c r="G32" s="1132">
        <v>135.80000000000001</v>
      </c>
      <c r="H32" s="1118"/>
      <c r="I32" s="1113"/>
      <c r="J32" s="1753" t="s">
        <v>287</v>
      </c>
      <c r="K32" s="428">
        <v>100</v>
      </c>
      <c r="L32" s="434"/>
      <c r="M32" s="94"/>
    </row>
    <row r="33" spans="1:13" ht="13.5" customHeight="1" x14ac:dyDescent="0.25">
      <c r="A33" s="1054"/>
      <c r="B33" s="1064"/>
      <c r="C33" s="1051"/>
      <c r="D33" s="1637"/>
      <c r="E33" s="242" t="s">
        <v>153</v>
      </c>
      <c r="F33" s="1120" t="s">
        <v>348</v>
      </c>
      <c r="G33" s="1121">
        <v>5.6</v>
      </c>
      <c r="H33" s="1122"/>
      <c r="I33" s="1123"/>
      <c r="J33" s="1754"/>
      <c r="K33" s="429"/>
      <c r="L33" s="435"/>
      <c r="M33" s="88"/>
    </row>
    <row r="34" spans="1:13" ht="13.5" customHeight="1" x14ac:dyDescent="0.25">
      <c r="A34" s="1054"/>
      <c r="B34" s="1064"/>
      <c r="C34" s="1051"/>
      <c r="D34" s="1637"/>
      <c r="E34" s="242" t="s">
        <v>136</v>
      </c>
      <c r="F34" s="1120" t="s">
        <v>349</v>
      </c>
      <c r="G34" s="1121">
        <v>53.4</v>
      </c>
      <c r="H34" s="1122"/>
      <c r="I34" s="1123"/>
      <c r="J34" s="1754"/>
      <c r="K34" s="429"/>
      <c r="L34" s="435"/>
      <c r="M34" s="88"/>
    </row>
    <row r="35" spans="1:13" ht="13.5" customHeight="1" x14ac:dyDescent="0.25">
      <c r="A35" s="1054"/>
      <c r="B35" s="1064"/>
      <c r="C35" s="1051"/>
      <c r="D35" s="1637"/>
      <c r="E35" s="250" t="s">
        <v>42</v>
      </c>
      <c r="F35" s="1120" t="s">
        <v>350</v>
      </c>
      <c r="G35" s="1121">
        <v>52</v>
      </c>
      <c r="H35" s="1122"/>
      <c r="I35" s="1123"/>
      <c r="J35" s="1754"/>
      <c r="K35" s="429"/>
      <c r="L35" s="435"/>
      <c r="M35" s="88"/>
    </row>
    <row r="36" spans="1:13" ht="13.5" customHeight="1" x14ac:dyDescent="0.25">
      <c r="A36" s="1054"/>
      <c r="B36" s="1064"/>
      <c r="C36" s="1051"/>
      <c r="D36" s="1637"/>
      <c r="E36" s="242" t="s">
        <v>262</v>
      </c>
      <c r="F36" s="1133" t="s">
        <v>351</v>
      </c>
      <c r="G36" s="1128">
        <v>604.29999999999995</v>
      </c>
      <c r="H36" s="1116"/>
      <c r="I36" s="1130"/>
      <c r="J36" s="1754"/>
      <c r="K36" s="431"/>
      <c r="L36" s="435"/>
      <c r="M36" s="88"/>
    </row>
    <row r="37" spans="1:13" ht="21.65" customHeight="1" x14ac:dyDescent="0.25">
      <c r="A37" s="1054"/>
      <c r="B37" s="1064"/>
      <c r="C37" s="1051"/>
      <c r="D37" s="1636" t="s">
        <v>138</v>
      </c>
      <c r="E37" s="1075" t="s">
        <v>178</v>
      </c>
      <c r="F37" s="1131" t="s">
        <v>350</v>
      </c>
      <c r="G37" s="1132">
        <v>0.3</v>
      </c>
      <c r="H37" s="1118"/>
      <c r="I37" s="1113"/>
      <c r="J37" s="1752" t="s">
        <v>163</v>
      </c>
      <c r="K37" s="429"/>
      <c r="L37" s="434"/>
      <c r="M37" s="1076"/>
    </row>
    <row r="38" spans="1:13" ht="21.65" customHeight="1" x14ac:dyDescent="0.25">
      <c r="A38" s="1054"/>
      <c r="B38" s="1064"/>
      <c r="C38" s="1051"/>
      <c r="D38" s="1637"/>
      <c r="E38" s="1061" t="s">
        <v>136</v>
      </c>
      <c r="F38" s="1120" t="s">
        <v>343</v>
      </c>
      <c r="G38" s="1121">
        <v>1.3</v>
      </c>
      <c r="H38" s="1122"/>
      <c r="I38" s="1123"/>
      <c r="J38" s="1750"/>
      <c r="K38" s="1037"/>
      <c r="L38" s="1023"/>
      <c r="M38" s="1025"/>
    </row>
    <row r="39" spans="1:13" ht="25.5" customHeight="1" x14ac:dyDescent="0.25">
      <c r="A39" s="1054"/>
      <c r="B39" s="1064"/>
      <c r="C39" s="1051"/>
      <c r="D39" s="1638"/>
      <c r="E39" s="250" t="s">
        <v>42</v>
      </c>
      <c r="F39" s="1133" t="s">
        <v>348</v>
      </c>
      <c r="G39" s="1128">
        <v>0.1</v>
      </c>
      <c r="H39" s="1116"/>
      <c r="I39" s="1139"/>
      <c r="J39" s="1041"/>
      <c r="K39" s="429"/>
      <c r="L39" s="435"/>
      <c r="M39" s="88"/>
    </row>
    <row r="40" spans="1:13" ht="16.5" customHeight="1" x14ac:dyDescent="0.25">
      <c r="A40" s="1054"/>
      <c r="B40" s="1064"/>
      <c r="C40" s="1051"/>
      <c r="D40" s="1748" t="s">
        <v>119</v>
      </c>
      <c r="E40" s="254" t="s">
        <v>178</v>
      </c>
      <c r="F40" s="1200" t="s">
        <v>343</v>
      </c>
      <c r="G40" s="1201">
        <v>58.3</v>
      </c>
      <c r="H40" s="1202"/>
      <c r="I40" s="1203"/>
      <c r="J40" s="372" t="s">
        <v>71</v>
      </c>
      <c r="K40" s="432"/>
      <c r="L40" s="439">
        <v>1</v>
      </c>
      <c r="M40" s="143"/>
    </row>
    <row r="41" spans="1:13" ht="16.399999999999999" customHeight="1" x14ac:dyDescent="0.25">
      <c r="A41" s="1054"/>
      <c r="B41" s="1064"/>
      <c r="C41" s="1051"/>
      <c r="D41" s="1748"/>
      <c r="E41" s="242" t="s">
        <v>153</v>
      </c>
      <c r="F41" s="1204" t="s">
        <v>341</v>
      </c>
      <c r="G41" s="1205"/>
      <c r="H41" s="1206">
        <v>75</v>
      </c>
      <c r="I41" s="1207">
        <v>268.3</v>
      </c>
      <c r="J41" s="810" t="s">
        <v>288</v>
      </c>
      <c r="K41" s="429"/>
      <c r="L41" s="435">
        <v>10</v>
      </c>
      <c r="M41" s="88">
        <v>50</v>
      </c>
    </row>
    <row r="42" spans="1:13" ht="15" customHeight="1" x14ac:dyDescent="0.25">
      <c r="A42" s="1054"/>
      <c r="B42" s="1064"/>
      <c r="C42" s="1051"/>
      <c r="D42" s="1749"/>
      <c r="E42" s="242" t="s">
        <v>136</v>
      </c>
      <c r="F42" s="1204" t="s">
        <v>347</v>
      </c>
      <c r="G42" s="1205"/>
      <c r="H42" s="1208">
        <v>426</v>
      </c>
      <c r="I42" s="1207">
        <v>1520</v>
      </c>
      <c r="J42" s="1750"/>
      <c r="K42" s="429"/>
      <c r="L42" s="435"/>
      <c r="M42" s="682"/>
    </row>
    <row r="43" spans="1:13" ht="15" customHeight="1" x14ac:dyDescent="0.25">
      <c r="A43" s="1054"/>
      <c r="B43" s="1064"/>
      <c r="C43" s="1051"/>
      <c r="D43" s="1749"/>
      <c r="E43" s="171" t="s">
        <v>262</v>
      </c>
      <c r="F43" s="1204"/>
      <c r="G43" s="1205"/>
      <c r="H43" s="1209"/>
      <c r="I43" s="1210"/>
      <c r="J43" s="1750"/>
      <c r="K43" s="429"/>
      <c r="L43" s="435"/>
      <c r="M43" s="88"/>
    </row>
    <row r="44" spans="1:13" ht="14.9" customHeight="1" x14ac:dyDescent="0.25">
      <c r="A44" s="1054"/>
      <c r="B44" s="1064"/>
      <c r="C44" s="1051"/>
      <c r="D44" s="1749"/>
      <c r="E44" s="252" t="s">
        <v>42</v>
      </c>
      <c r="F44" s="1211"/>
      <c r="G44" s="1128"/>
      <c r="H44" s="1212"/>
      <c r="I44" s="1137"/>
      <c r="J44" s="1751"/>
      <c r="K44" s="431"/>
      <c r="L44" s="437"/>
      <c r="M44" s="96"/>
    </row>
    <row r="45" spans="1:13" ht="14.25" customHeight="1" x14ac:dyDescent="0.25">
      <c r="A45" s="1054"/>
      <c r="B45" s="1064"/>
      <c r="C45" s="1051"/>
      <c r="D45" s="1636" t="s">
        <v>99</v>
      </c>
      <c r="E45" s="253" t="s">
        <v>178</v>
      </c>
      <c r="F45" s="1213" t="s">
        <v>343</v>
      </c>
      <c r="G45" s="1201">
        <v>4.5999999999999996</v>
      </c>
      <c r="H45" s="1202"/>
      <c r="I45" s="1203"/>
      <c r="J45" s="1752" t="s">
        <v>162</v>
      </c>
      <c r="K45" s="429"/>
      <c r="L45" s="435"/>
      <c r="M45" s="88"/>
    </row>
    <row r="46" spans="1:13" ht="14.25" customHeight="1" x14ac:dyDescent="0.25">
      <c r="A46" s="1054"/>
      <c r="B46" s="1064"/>
      <c r="C46" s="1051"/>
      <c r="D46" s="1637"/>
      <c r="E46" s="172" t="s">
        <v>153</v>
      </c>
      <c r="F46" s="1120"/>
      <c r="G46" s="1205"/>
      <c r="H46" s="1208"/>
      <c r="I46" s="1207"/>
      <c r="J46" s="1750"/>
      <c r="K46" s="429"/>
      <c r="L46" s="435"/>
      <c r="M46" s="88"/>
    </row>
    <row r="47" spans="1:13" ht="14.25" customHeight="1" x14ac:dyDescent="0.25">
      <c r="A47" s="1054"/>
      <c r="B47" s="1064"/>
      <c r="C47" s="1051"/>
      <c r="D47" s="1637"/>
      <c r="E47" s="172" t="s">
        <v>42</v>
      </c>
      <c r="F47" s="1204"/>
      <c r="G47" s="1205"/>
      <c r="H47" s="1208"/>
      <c r="I47" s="1207"/>
      <c r="J47" s="1750"/>
      <c r="K47" s="429"/>
      <c r="L47" s="435"/>
      <c r="M47" s="88"/>
    </row>
    <row r="48" spans="1:13" ht="14.25" customHeight="1" x14ac:dyDescent="0.25">
      <c r="A48" s="1054"/>
      <c r="B48" s="1064"/>
      <c r="C48" s="1051"/>
      <c r="D48" s="1637"/>
      <c r="E48" s="1061" t="s">
        <v>136</v>
      </c>
      <c r="F48" s="1214"/>
      <c r="G48" s="1205"/>
      <c r="H48" s="1215"/>
      <c r="I48" s="1216"/>
      <c r="J48" s="1750"/>
      <c r="K48" s="429"/>
      <c r="L48" s="435"/>
      <c r="M48" s="88"/>
    </row>
    <row r="49" spans="1:13" ht="15" customHeight="1" x14ac:dyDescent="0.25">
      <c r="A49" s="1054"/>
      <c r="B49" s="1058"/>
      <c r="C49" s="63"/>
      <c r="D49" s="1636" t="s">
        <v>152</v>
      </c>
      <c r="E49" s="251" t="s">
        <v>178</v>
      </c>
      <c r="F49" s="1151" t="s">
        <v>343</v>
      </c>
      <c r="G49" s="1132">
        <v>24</v>
      </c>
      <c r="H49" s="1135"/>
      <c r="I49" s="1113"/>
      <c r="J49" s="1049" t="s">
        <v>312</v>
      </c>
      <c r="K49" s="441">
        <v>100</v>
      </c>
      <c r="L49" s="449"/>
      <c r="M49" s="585"/>
    </row>
    <row r="50" spans="1:13" ht="15" customHeight="1" x14ac:dyDescent="0.25">
      <c r="A50" s="1054"/>
      <c r="B50" s="1058"/>
      <c r="C50" s="63"/>
      <c r="D50" s="1637"/>
      <c r="E50" s="845" t="s">
        <v>262</v>
      </c>
      <c r="F50" s="1217" t="s">
        <v>341</v>
      </c>
      <c r="G50" s="1218"/>
      <c r="H50" s="1219">
        <v>141</v>
      </c>
      <c r="I50" s="1123"/>
      <c r="J50" s="1047" t="s">
        <v>289</v>
      </c>
      <c r="K50" s="748"/>
      <c r="L50" s="749">
        <v>100</v>
      </c>
      <c r="M50" s="744"/>
    </row>
    <row r="51" spans="1:13" ht="15" customHeight="1" x14ac:dyDescent="0.25">
      <c r="A51" s="1054"/>
      <c r="B51" s="1058"/>
      <c r="C51" s="63"/>
      <c r="D51" s="1637"/>
      <c r="E51" s="845" t="s">
        <v>42</v>
      </c>
      <c r="F51" s="1126"/>
      <c r="G51" s="1121"/>
      <c r="H51" s="1125"/>
      <c r="I51" s="1134"/>
      <c r="J51" s="1050"/>
      <c r="K51" s="443"/>
      <c r="L51" s="451"/>
      <c r="M51" s="744"/>
    </row>
    <row r="52" spans="1:13" ht="15" customHeight="1" x14ac:dyDescent="0.25">
      <c r="A52" s="1054"/>
      <c r="B52" s="1058"/>
      <c r="C52" s="63"/>
      <c r="D52" s="1638"/>
      <c r="E52" s="1078" t="s">
        <v>209</v>
      </c>
      <c r="F52" s="1220"/>
      <c r="G52" s="1141"/>
      <c r="H52" s="1221"/>
      <c r="I52" s="1222"/>
      <c r="J52" s="713"/>
      <c r="K52" s="165"/>
      <c r="L52" s="745"/>
      <c r="M52" s="750"/>
    </row>
    <row r="53" spans="1:13" ht="14.15" customHeight="1" x14ac:dyDescent="0.3">
      <c r="A53" s="1054"/>
      <c r="B53" s="1058"/>
      <c r="C53" s="64"/>
      <c r="D53" s="1636" t="s">
        <v>85</v>
      </c>
      <c r="E53" s="587" t="s">
        <v>178</v>
      </c>
      <c r="F53" s="1120" t="s">
        <v>352</v>
      </c>
      <c r="G53" s="1138">
        <v>22.9</v>
      </c>
      <c r="H53" s="1118"/>
      <c r="I53" s="1113"/>
      <c r="J53" s="1264" t="s">
        <v>313</v>
      </c>
      <c r="K53" s="526">
        <v>1</v>
      </c>
      <c r="L53" s="451"/>
      <c r="M53" s="87"/>
    </row>
    <row r="54" spans="1:13" ht="14.15" customHeight="1" x14ac:dyDescent="0.3">
      <c r="A54" s="1054"/>
      <c r="B54" s="1058"/>
      <c r="C54" s="64"/>
      <c r="D54" s="1637"/>
      <c r="E54" s="588" t="s">
        <v>153</v>
      </c>
      <c r="F54" s="1223"/>
      <c r="G54" s="1223"/>
      <c r="H54" s="1122"/>
      <c r="I54" s="1123"/>
      <c r="J54" s="607"/>
      <c r="K54" s="443"/>
      <c r="L54" s="451"/>
      <c r="M54" s="744"/>
    </row>
    <row r="55" spans="1:13" ht="14.15" customHeight="1" x14ac:dyDescent="0.3">
      <c r="A55" s="1054"/>
      <c r="B55" s="1058"/>
      <c r="C55" s="64"/>
      <c r="D55" s="1637"/>
      <c r="E55" s="172" t="s">
        <v>136</v>
      </c>
      <c r="F55" s="1126"/>
      <c r="G55" s="1121"/>
      <c r="H55" s="1122"/>
      <c r="I55" s="1123"/>
      <c r="J55" s="607"/>
      <c r="K55" s="443"/>
      <c r="L55" s="451"/>
      <c r="M55" s="744"/>
    </row>
    <row r="56" spans="1:13" ht="14.15" customHeight="1" x14ac:dyDescent="0.25">
      <c r="A56" s="1054"/>
      <c r="B56" s="1058"/>
      <c r="C56" s="1051"/>
      <c r="D56" s="1638"/>
      <c r="E56" s="252" t="s">
        <v>42</v>
      </c>
      <c r="F56" s="1224"/>
      <c r="G56" s="1141"/>
      <c r="H56" s="1225"/>
      <c r="I56" s="1226"/>
      <c r="J56" s="1261"/>
      <c r="K56" s="442"/>
      <c r="L56" s="450"/>
      <c r="M56" s="93"/>
    </row>
    <row r="57" spans="1:13" ht="14.15" customHeight="1" x14ac:dyDescent="0.25">
      <c r="A57" s="1054"/>
      <c r="B57" s="1058"/>
      <c r="C57" s="63"/>
      <c r="D57" s="1044" t="s">
        <v>216</v>
      </c>
      <c r="E57" s="251" t="s">
        <v>178</v>
      </c>
      <c r="F57" s="1131" t="s">
        <v>341</v>
      </c>
      <c r="G57" s="1132">
        <v>300</v>
      </c>
      <c r="H57" s="1118">
        <v>525.79999999999995</v>
      </c>
      <c r="I57" s="1113"/>
      <c r="J57" s="1728" t="s">
        <v>288</v>
      </c>
      <c r="K57" s="443">
        <v>50</v>
      </c>
      <c r="L57" s="451">
        <v>100</v>
      </c>
      <c r="M57" s="87"/>
    </row>
    <row r="58" spans="1:13" ht="14.15" customHeight="1" x14ac:dyDescent="0.25">
      <c r="A58" s="1054"/>
      <c r="B58" s="1058"/>
      <c r="C58" s="63"/>
      <c r="D58" s="1044"/>
      <c r="E58" s="588" t="s">
        <v>262</v>
      </c>
      <c r="F58" s="1120" t="s">
        <v>343</v>
      </c>
      <c r="G58" s="1121">
        <v>111.6</v>
      </c>
      <c r="H58" s="1122"/>
      <c r="I58" s="1123"/>
      <c r="J58" s="1734"/>
      <c r="K58" s="443"/>
      <c r="L58" s="451"/>
      <c r="M58" s="87"/>
    </row>
    <row r="59" spans="1:13" ht="14.15" customHeight="1" x14ac:dyDescent="0.25">
      <c r="A59" s="1054"/>
      <c r="B59" s="1058"/>
      <c r="C59" s="63"/>
      <c r="D59" s="1044"/>
      <c r="E59" s="171" t="s">
        <v>136</v>
      </c>
      <c r="F59" s="1120"/>
      <c r="G59" s="1121"/>
      <c r="H59" s="1125"/>
      <c r="I59" s="1134"/>
      <c r="J59" s="1734"/>
      <c r="K59" s="443"/>
      <c r="L59" s="451"/>
      <c r="M59" s="87"/>
    </row>
    <row r="60" spans="1:13" ht="14.15" customHeight="1" x14ac:dyDescent="0.25">
      <c r="A60" s="1054"/>
      <c r="B60" s="1058"/>
      <c r="C60" s="63"/>
      <c r="D60" s="1044"/>
      <c r="E60" s="252" t="s">
        <v>42</v>
      </c>
      <c r="F60" s="1133"/>
      <c r="G60" s="1128"/>
      <c r="H60" s="1212"/>
      <c r="I60" s="1137"/>
      <c r="J60" s="1735"/>
      <c r="K60" s="443"/>
      <c r="L60" s="451"/>
      <c r="M60" s="87"/>
    </row>
    <row r="61" spans="1:13" ht="15" customHeight="1" x14ac:dyDescent="0.25">
      <c r="A61" s="1054"/>
      <c r="B61" s="1058"/>
      <c r="C61" s="63"/>
      <c r="D61" s="1636" t="s">
        <v>186</v>
      </c>
      <c r="E61" s="251" t="s">
        <v>178</v>
      </c>
      <c r="F61" s="1131" t="s">
        <v>341</v>
      </c>
      <c r="G61" s="1132">
        <v>189.1</v>
      </c>
      <c r="H61" s="1118"/>
      <c r="I61" s="1113"/>
      <c r="J61" s="1728" t="s">
        <v>288</v>
      </c>
      <c r="K61" s="444">
        <v>100</v>
      </c>
      <c r="L61" s="452"/>
      <c r="M61" s="98"/>
    </row>
    <row r="62" spans="1:13" ht="15.75" customHeight="1" x14ac:dyDescent="0.25">
      <c r="A62" s="1054"/>
      <c r="B62" s="1058"/>
      <c r="C62" s="63"/>
      <c r="D62" s="1637"/>
      <c r="E62" s="171" t="s">
        <v>136</v>
      </c>
      <c r="F62" s="1120" t="s">
        <v>343</v>
      </c>
      <c r="G62" s="1121">
        <v>51.2</v>
      </c>
      <c r="H62" s="1122"/>
      <c r="I62" s="1134"/>
      <c r="J62" s="1734"/>
      <c r="K62" s="445"/>
      <c r="L62" s="453"/>
      <c r="M62" s="205"/>
    </row>
    <row r="63" spans="1:13" ht="16.5" customHeight="1" x14ac:dyDescent="0.25">
      <c r="A63" s="1054"/>
      <c r="B63" s="1058"/>
      <c r="C63" s="63"/>
      <c r="D63" s="1638"/>
      <c r="E63" s="252" t="s">
        <v>42</v>
      </c>
      <c r="F63" s="1133"/>
      <c r="G63" s="1128"/>
      <c r="H63" s="1212"/>
      <c r="I63" s="1137"/>
      <c r="J63" s="1735"/>
      <c r="K63" s="446"/>
      <c r="L63" s="454"/>
      <c r="M63" s="157"/>
    </row>
    <row r="64" spans="1:13" ht="16.5" customHeight="1" x14ac:dyDescent="0.25">
      <c r="A64" s="1054"/>
      <c r="B64" s="1058"/>
      <c r="C64" s="63"/>
      <c r="D64" s="1636" t="s">
        <v>232</v>
      </c>
      <c r="E64" s="289" t="s">
        <v>233</v>
      </c>
      <c r="F64" s="1151" t="s">
        <v>343</v>
      </c>
      <c r="G64" s="1132">
        <v>500</v>
      </c>
      <c r="H64" s="1222"/>
      <c r="I64" s="1227"/>
      <c r="J64" s="1040" t="s">
        <v>288</v>
      </c>
      <c r="K64" s="513">
        <v>75</v>
      </c>
      <c r="L64" s="449">
        <v>100</v>
      </c>
      <c r="M64" s="259"/>
    </row>
    <row r="65" spans="1:13" ht="15.65" customHeight="1" x14ac:dyDescent="0.25">
      <c r="A65" s="1054"/>
      <c r="B65" s="1058"/>
      <c r="C65" s="63"/>
      <c r="D65" s="1637"/>
      <c r="E65" s="845" t="s">
        <v>178</v>
      </c>
      <c r="F65" s="1120" t="s">
        <v>341</v>
      </c>
      <c r="G65" s="1121"/>
      <c r="H65" s="1122">
        <v>1500</v>
      </c>
      <c r="I65" s="1123">
        <v>1178.3</v>
      </c>
      <c r="J65" s="1041"/>
      <c r="K65" s="166"/>
      <c r="L65" s="827"/>
      <c r="M65" s="604"/>
    </row>
    <row r="66" spans="1:13" ht="15.65" customHeight="1" x14ac:dyDescent="0.25">
      <c r="A66" s="1054"/>
      <c r="B66" s="1058"/>
      <c r="C66" s="63"/>
      <c r="D66" s="1044"/>
      <c r="E66" s="588" t="s">
        <v>42</v>
      </c>
      <c r="F66" s="1120"/>
      <c r="G66" s="1121"/>
      <c r="H66" s="1122"/>
      <c r="I66" s="1123"/>
      <c r="J66" s="1041"/>
      <c r="K66" s="166"/>
      <c r="L66" s="827"/>
      <c r="M66" s="604"/>
    </row>
    <row r="67" spans="1:13" ht="15.65" customHeight="1" x14ac:dyDescent="0.25">
      <c r="A67" s="1054"/>
      <c r="B67" s="1058"/>
      <c r="C67" s="63"/>
      <c r="D67" s="1044"/>
      <c r="E67" s="588" t="s">
        <v>262</v>
      </c>
      <c r="F67" s="1133"/>
      <c r="G67" s="1128"/>
      <c r="H67" s="1129"/>
      <c r="I67" s="1130"/>
      <c r="J67" s="1042"/>
      <c r="K67" s="166"/>
      <c r="L67" s="450"/>
      <c r="M67" s="604"/>
    </row>
    <row r="68" spans="1:13" ht="19.399999999999999" customHeight="1" x14ac:dyDescent="0.25">
      <c r="A68" s="1054"/>
      <c r="B68" s="1058"/>
      <c r="C68" s="63"/>
      <c r="D68" s="1636" t="s">
        <v>261</v>
      </c>
      <c r="E68" s="289" t="s">
        <v>42</v>
      </c>
      <c r="F68" s="1151" t="s">
        <v>343</v>
      </c>
      <c r="G68" s="1132">
        <v>625</v>
      </c>
      <c r="H68" s="1228"/>
      <c r="I68" s="1222"/>
      <c r="J68" s="1041" t="s">
        <v>288</v>
      </c>
      <c r="K68" s="513">
        <v>25</v>
      </c>
      <c r="L68" s="886">
        <v>60</v>
      </c>
      <c r="M68" s="259">
        <v>100</v>
      </c>
    </row>
    <row r="69" spans="1:13" ht="19.399999999999999" customHeight="1" x14ac:dyDescent="0.25">
      <c r="A69" s="1054"/>
      <c r="B69" s="1058"/>
      <c r="C69" s="63"/>
      <c r="D69" s="1637"/>
      <c r="E69" s="845" t="s">
        <v>178</v>
      </c>
      <c r="F69" s="1120" t="s">
        <v>341</v>
      </c>
      <c r="G69" s="1229"/>
      <c r="H69" s="1122">
        <v>895.2</v>
      </c>
      <c r="I69" s="1123">
        <v>1139.2</v>
      </c>
      <c r="J69" s="1041"/>
      <c r="K69" s="166"/>
      <c r="L69" s="827"/>
      <c r="M69" s="604"/>
    </row>
    <row r="70" spans="1:13" ht="19.399999999999999" customHeight="1" x14ac:dyDescent="0.25">
      <c r="A70" s="1054"/>
      <c r="B70" s="1058"/>
      <c r="C70" s="63"/>
      <c r="D70" s="1638"/>
      <c r="E70" s="938" t="s">
        <v>262</v>
      </c>
      <c r="F70" s="1133"/>
      <c r="G70" s="1128"/>
      <c r="H70" s="1129"/>
      <c r="I70" s="1130"/>
      <c r="J70" s="1022"/>
      <c r="K70" s="166"/>
      <c r="L70" s="450"/>
      <c r="M70" s="605"/>
    </row>
    <row r="71" spans="1:13" ht="15" customHeight="1" x14ac:dyDescent="0.25">
      <c r="A71" s="1657"/>
      <c r="B71" s="1733"/>
      <c r="C71" s="1700"/>
      <c r="D71" s="1636" t="s">
        <v>310</v>
      </c>
      <c r="E71" s="1071" t="s">
        <v>153</v>
      </c>
      <c r="F71" s="1131"/>
      <c r="G71" s="1132"/>
      <c r="H71" s="1118"/>
      <c r="I71" s="1113"/>
      <c r="J71" s="901" t="s">
        <v>321</v>
      </c>
      <c r="K71" s="428">
        <v>100</v>
      </c>
      <c r="L71" s="439"/>
      <c r="M71" s="141"/>
    </row>
    <row r="72" spans="1:13" ht="15" customHeight="1" x14ac:dyDescent="0.25">
      <c r="A72" s="1657"/>
      <c r="B72" s="1733"/>
      <c r="C72" s="1700"/>
      <c r="D72" s="1637"/>
      <c r="E72" s="1061" t="s">
        <v>178</v>
      </c>
      <c r="F72" s="1120" t="s">
        <v>352</v>
      </c>
      <c r="G72" s="1121"/>
      <c r="H72" s="1122">
        <v>50</v>
      </c>
      <c r="I72" s="1123">
        <v>50</v>
      </c>
      <c r="J72" s="1067" t="s">
        <v>71</v>
      </c>
      <c r="K72" s="433"/>
      <c r="L72" s="1069"/>
      <c r="M72" s="682">
        <v>1</v>
      </c>
    </row>
    <row r="73" spans="1:13" ht="15" customHeight="1" x14ac:dyDescent="0.25">
      <c r="A73" s="1657"/>
      <c r="B73" s="1733"/>
      <c r="C73" s="1700"/>
      <c r="D73" s="1638"/>
      <c r="E73" s="171" t="s">
        <v>262</v>
      </c>
      <c r="F73" s="1133"/>
      <c r="G73" s="1212"/>
      <c r="H73" s="1212"/>
      <c r="I73" s="1212"/>
      <c r="J73" s="891"/>
      <c r="K73" s="892"/>
      <c r="L73" s="437"/>
      <c r="M73" s="893"/>
    </row>
    <row r="74" spans="1:13" ht="15" customHeight="1" x14ac:dyDescent="0.25">
      <c r="A74" s="1054"/>
      <c r="B74" s="1058"/>
      <c r="C74" s="63"/>
      <c r="D74" s="1732"/>
      <c r="E74" s="1732"/>
      <c r="F74" s="169"/>
      <c r="G74" s="86"/>
      <c r="H74" s="86"/>
      <c r="I74" s="86"/>
      <c r="J74" s="374"/>
      <c r="K74" s="447"/>
      <c r="L74" s="455"/>
      <c r="M74" s="206"/>
    </row>
    <row r="75" spans="1:13" ht="15.65" customHeight="1" x14ac:dyDescent="0.25">
      <c r="A75" s="1054"/>
      <c r="B75" s="1058"/>
      <c r="C75" s="1051"/>
      <c r="D75" s="1637" t="s">
        <v>77</v>
      </c>
      <c r="E75" s="589" t="s">
        <v>262</v>
      </c>
      <c r="F75" s="1151" t="s">
        <v>341</v>
      </c>
      <c r="G75" s="1132">
        <v>160.5</v>
      </c>
      <c r="H75" s="1118">
        <v>160.5</v>
      </c>
      <c r="I75" s="1134">
        <v>160.5</v>
      </c>
      <c r="J75" s="376" t="s">
        <v>118</v>
      </c>
      <c r="K75" s="872">
        <v>6.3</v>
      </c>
      <c r="L75" s="873">
        <v>6.3</v>
      </c>
      <c r="M75" s="207">
        <v>6.3</v>
      </c>
    </row>
    <row r="76" spans="1:13" ht="15.65" customHeight="1" x14ac:dyDescent="0.25">
      <c r="A76" s="1054"/>
      <c r="B76" s="1058"/>
      <c r="C76" s="1051"/>
      <c r="D76" s="1637"/>
      <c r="E76" s="77"/>
      <c r="F76" s="1126"/>
      <c r="G76" s="1121"/>
      <c r="H76" s="1122"/>
      <c r="I76" s="1134"/>
      <c r="J76" s="1030" t="s">
        <v>135</v>
      </c>
      <c r="K76" s="457">
        <v>387</v>
      </c>
      <c r="L76" s="462">
        <v>387</v>
      </c>
      <c r="M76" s="110">
        <v>387</v>
      </c>
    </row>
    <row r="77" spans="1:13" ht="15.65" customHeight="1" x14ac:dyDescent="0.25">
      <c r="A77" s="1657"/>
      <c r="B77" s="1658"/>
      <c r="C77" s="1700"/>
      <c r="D77" s="1636" t="s">
        <v>27</v>
      </c>
      <c r="E77" s="1095" t="s">
        <v>262</v>
      </c>
      <c r="F77" s="1131" t="s">
        <v>341</v>
      </c>
      <c r="G77" s="1132">
        <v>74.2</v>
      </c>
      <c r="H77" s="1118">
        <v>74.2</v>
      </c>
      <c r="I77" s="1119">
        <v>74.2</v>
      </c>
      <c r="J77" s="376" t="s">
        <v>29</v>
      </c>
      <c r="K77" s="432">
        <v>8</v>
      </c>
      <c r="L77" s="439">
        <v>8</v>
      </c>
      <c r="M77" s="143">
        <v>8</v>
      </c>
    </row>
    <row r="78" spans="1:13" ht="15.65" customHeight="1" x14ac:dyDescent="0.25">
      <c r="A78" s="1657"/>
      <c r="B78" s="1658"/>
      <c r="C78" s="1700"/>
      <c r="D78" s="1637"/>
      <c r="E78" s="589"/>
      <c r="F78" s="1120"/>
      <c r="G78" s="1121"/>
      <c r="H78" s="1122"/>
      <c r="I78" s="1123"/>
      <c r="J78" s="1021" t="s">
        <v>263</v>
      </c>
      <c r="K78" s="1550">
        <v>18</v>
      </c>
      <c r="L78" s="486">
        <v>18</v>
      </c>
      <c r="M78" s="88">
        <v>18</v>
      </c>
    </row>
    <row r="79" spans="1:13" ht="15.65" customHeight="1" x14ac:dyDescent="0.25">
      <c r="A79" s="1657"/>
      <c r="B79" s="1658"/>
      <c r="C79" s="1700"/>
      <c r="D79" s="1637"/>
      <c r="E79" s="104"/>
      <c r="F79" s="1133" t="s">
        <v>341</v>
      </c>
      <c r="G79" s="1128">
        <v>27.5</v>
      </c>
      <c r="H79" s="1129">
        <v>14.8</v>
      </c>
      <c r="I79" s="1130"/>
      <c r="J79" s="1030" t="s">
        <v>235</v>
      </c>
      <c r="K79" s="1551">
        <v>3</v>
      </c>
      <c r="L79" s="624"/>
      <c r="M79" s="591"/>
    </row>
    <row r="80" spans="1:13" ht="18" customHeight="1" x14ac:dyDescent="0.25">
      <c r="A80" s="1054"/>
      <c r="B80" s="1058"/>
      <c r="C80" s="1051"/>
      <c r="D80" s="1636" t="s">
        <v>28</v>
      </c>
      <c r="E80" s="254" t="s">
        <v>262</v>
      </c>
      <c r="F80" s="1131" t="s">
        <v>341</v>
      </c>
      <c r="G80" s="1132">
        <v>178.4</v>
      </c>
      <c r="H80" s="1118">
        <v>106.3</v>
      </c>
      <c r="I80" s="1113">
        <v>119.8</v>
      </c>
      <c r="J80" s="379" t="s">
        <v>107</v>
      </c>
      <c r="K80" s="428"/>
      <c r="L80" s="434"/>
      <c r="M80" s="94"/>
    </row>
    <row r="81" spans="1:13" ht="28.4" customHeight="1" x14ac:dyDescent="0.25">
      <c r="A81" s="1054"/>
      <c r="B81" s="1058"/>
      <c r="C81" s="1051"/>
      <c r="D81" s="1686"/>
      <c r="E81" s="103"/>
      <c r="F81" s="1120" t="s">
        <v>343</v>
      </c>
      <c r="G81" s="1121">
        <v>20.2</v>
      </c>
      <c r="H81" s="1122"/>
      <c r="I81" s="1123"/>
      <c r="J81" s="1031" t="s">
        <v>108</v>
      </c>
      <c r="K81" s="430">
        <v>50</v>
      </c>
      <c r="L81" s="436">
        <v>50</v>
      </c>
      <c r="M81" s="95">
        <v>50</v>
      </c>
    </row>
    <row r="82" spans="1:13" ht="25.5" customHeight="1" x14ac:dyDescent="0.25">
      <c r="A82" s="1054"/>
      <c r="B82" s="1058"/>
      <c r="C82" s="1051"/>
      <c r="D82" s="1686"/>
      <c r="E82" s="1731"/>
      <c r="F82" s="1120"/>
      <c r="G82" s="1121"/>
      <c r="H82" s="1122"/>
      <c r="I82" s="1123"/>
      <c r="J82" s="381" t="s">
        <v>92</v>
      </c>
      <c r="K82" s="430">
        <v>30</v>
      </c>
      <c r="L82" s="436">
        <v>30</v>
      </c>
      <c r="M82" s="95">
        <v>30</v>
      </c>
    </row>
    <row r="83" spans="1:13" ht="15" customHeight="1" x14ac:dyDescent="0.25">
      <c r="A83" s="1054"/>
      <c r="B83" s="1058"/>
      <c r="C83" s="1051"/>
      <c r="D83" s="1686"/>
      <c r="E83" s="1731"/>
      <c r="F83" s="1120"/>
      <c r="G83" s="1121"/>
      <c r="H83" s="1122"/>
      <c r="I83" s="1134"/>
      <c r="J83" s="382" t="s">
        <v>109</v>
      </c>
      <c r="K83" s="458"/>
      <c r="L83" s="463"/>
      <c r="M83" s="112"/>
    </row>
    <row r="84" spans="1:13" ht="13.5" customHeight="1" x14ac:dyDescent="0.25">
      <c r="A84" s="1054"/>
      <c r="B84" s="1058"/>
      <c r="C84" s="1051"/>
      <c r="D84" s="47"/>
      <c r="E84" s="1731"/>
      <c r="F84" s="1120"/>
      <c r="G84" s="1121"/>
      <c r="H84" s="1122"/>
      <c r="I84" s="1134"/>
      <c r="J84" s="1031" t="s">
        <v>74</v>
      </c>
      <c r="K84" s="430">
        <v>6</v>
      </c>
      <c r="L84" s="436">
        <v>10</v>
      </c>
      <c r="M84" s="95"/>
    </row>
    <row r="85" spans="1:13" ht="13.5" customHeight="1" x14ac:dyDescent="0.25">
      <c r="A85" s="1054"/>
      <c r="B85" s="1058"/>
      <c r="C85" s="1051"/>
      <c r="D85" s="47"/>
      <c r="E85" s="1731"/>
      <c r="F85" s="1120"/>
      <c r="G85" s="1121"/>
      <c r="H85" s="1122"/>
      <c r="I85" s="1134"/>
      <c r="J85" s="1047" t="s">
        <v>30</v>
      </c>
      <c r="K85" s="646"/>
      <c r="L85" s="649">
        <v>20</v>
      </c>
      <c r="M85" s="647">
        <v>10</v>
      </c>
    </row>
    <row r="86" spans="1:13" ht="13.5" customHeight="1" x14ac:dyDescent="0.25">
      <c r="A86" s="1054"/>
      <c r="B86" s="1058"/>
      <c r="C86" s="1051"/>
      <c r="D86" s="47"/>
      <c r="E86" s="1731"/>
      <c r="F86" s="1120"/>
      <c r="G86" s="1121"/>
      <c r="H86" s="1122"/>
      <c r="I86" s="1134"/>
      <c r="J86" s="1047" t="s">
        <v>61</v>
      </c>
      <c r="K86" s="651">
        <v>35</v>
      </c>
      <c r="L86" s="650">
        <v>25</v>
      </c>
      <c r="M86" s="648"/>
    </row>
    <row r="87" spans="1:13" ht="13.5" customHeight="1" x14ac:dyDescent="0.25">
      <c r="A87" s="1054"/>
      <c r="B87" s="1058"/>
      <c r="C87" s="1051"/>
      <c r="D87" s="47"/>
      <c r="E87" s="1063"/>
      <c r="F87" s="1120"/>
      <c r="G87" s="1121"/>
      <c r="H87" s="1122"/>
      <c r="I87" s="1134"/>
      <c r="J87" s="384" t="s">
        <v>236</v>
      </c>
      <c r="K87" s="651"/>
      <c r="L87" s="649">
        <v>10</v>
      </c>
      <c r="M87" s="647"/>
    </row>
    <row r="88" spans="1:13" ht="13.5" customHeight="1" x14ac:dyDescent="0.25">
      <c r="A88" s="1054"/>
      <c r="B88" s="1058"/>
      <c r="C88" s="1051"/>
      <c r="D88" s="47"/>
      <c r="E88" s="103"/>
      <c r="F88" s="1120"/>
      <c r="G88" s="1121"/>
      <c r="H88" s="1122"/>
      <c r="I88" s="1134"/>
      <c r="J88" s="382" t="s">
        <v>110</v>
      </c>
      <c r="K88" s="458"/>
      <c r="L88" s="107"/>
      <c r="M88" s="1544"/>
    </row>
    <row r="89" spans="1:13" ht="13.5" customHeight="1" x14ac:dyDescent="0.25">
      <c r="A89" s="1054"/>
      <c r="B89" s="1058"/>
      <c r="C89" s="1051"/>
      <c r="D89" s="47"/>
      <c r="E89" s="103"/>
      <c r="F89" s="1120"/>
      <c r="G89" s="1121"/>
      <c r="H89" s="1122"/>
      <c r="I89" s="1134"/>
      <c r="J89" s="1050" t="s">
        <v>94</v>
      </c>
      <c r="K89" s="1033">
        <v>50</v>
      </c>
      <c r="L89" s="1542">
        <v>40</v>
      </c>
      <c r="M89" s="1543">
        <v>30</v>
      </c>
    </row>
    <row r="90" spans="1:13" ht="13.5" customHeight="1" x14ac:dyDescent="0.25">
      <c r="A90" s="1054"/>
      <c r="B90" s="1058"/>
      <c r="C90" s="1051"/>
      <c r="D90" s="47"/>
      <c r="E90" s="247"/>
      <c r="F90" s="1120"/>
      <c r="G90" s="1121"/>
      <c r="H90" s="1122"/>
      <c r="I90" s="1123"/>
      <c r="J90" s="384" t="s">
        <v>93</v>
      </c>
      <c r="K90" s="646">
        <v>160</v>
      </c>
      <c r="L90" s="649">
        <v>50</v>
      </c>
      <c r="M90" s="647">
        <v>70</v>
      </c>
    </row>
    <row r="91" spans="1:13" ht="16.399999999999999" customHeight="1" x14ac:dyDescent="0.25">
      <c r="A91" s="1054"/>
      <c r="B91" s="1058"/>
      <c r="C91" s="1051"/>
      <c r="D91" s="47"/>
      <c r="E91" s="247"/>
      <c r="F91" s="1120"/>
      <c r="G91" s="1121"/>
      <c r="H91" s="1122"/>
      <c r="I91" s="1123"/>
      <c r="J91" s="382" t="s">
        <v>111</v>
      </c>
      <c r="K91" s="461"/>
      <c r="L91" s="467"/>
      <c r="M91" s="114"/>
    </row>
    <row r="92" spans="1:13" ht="28.5" customHeight="1" x14ac:dyDescent="0.25">
      <c r="A92" s="1054"/>
      <c r="B92" s="1058"/>
      <c r="C92" s="1051"/>
      <c r="D92" s="47"/>
      <c r="E92" s="247"/>
      <c r="F92" s="1120"/>
      <c r="G92" s="1121"/>
      <c r="H92" s="1122"/>
      <c r="I92" s="1123"/>
      <c r="J92" s="1050" t="s">
        <v>140</v>
      </c>
      <c r="K92" s="1033">
        <v>120</v>
      </c>
      <c r="L92" s="1035">
        <v>100</v>
      </c>
      <c r="M92" s="158"/>
    </row>
    <row r="93" spans="1:13" ht="27.75" customHeight="1" x14ac:dyDescent="0.25">
      <c r="A93" s="1054"/>
      <c r="B93" s="1058"/>
      <c r="C93" s="1051"/>
      <c r="D93" s="47"/>
      <c r="E93" s="247"/>
      <c r="F93" s="1120"/>
      <c r="G93" s="1121"/>
      <c r="H93" s="1122"/>
      <c r="I93" s="1134"/>
      <c r="J93" s="1541" t="s">
        <v>323</v>
      </c>
      <c r="K93" s="468">
        <v>4.3</v>
      </c>
      <c r="L93" s="730">
        <v>0.6</v>
      </c>
      <c r="M93" s="675"/>
    </row>
    <row r="94" spans="1:13" ht="17.149999999999999" customHeight="1" x14ac:dyDescent="0.25">
      <c r="A94" s="1657"/>
      <c r="B94" s="1704"/>
      <c r="C94" s="1700"/>
      <c r="D94" s="1636" t="s">
        <v>143</v>
      </c>
      <c r="E94" s="1060" t="s">
        <v>262</v>
      </c>
      <c r="F94" s="1131" t="s">
        <v>341</v>
      </c>
      <c r="G94" s="1132">
        <f>221.6-18.6</f>
        <v>203</v>
      </c>
      <c r="H94" s="1118">
        <f>307.1-74.4</f>
        <v>232.7</v>
      </c>
      <c r="I94" s="1119">
        <f>307.1-74.4</f>
        <v>232.7</v>
      </c>
      <c r="J94" s="376" t="s">
        <v>81</v>
      </c>
      <c r="K94" s="660">
        <v>208</v>
      </c>
      <c r="L94" s="439">
        <v>208</v>
      </c>
      <c r="M94" s="143">
        <v>208</v>
      </c>
    </row>
    <row r="95" spans="1:13" ht="29.15" customHeight="1" x14ac:dyDescent="0.25">
      <c r="A95" s="1657"/>
      <c r="B95" s="1704"/>
      <c r="C95" s="1700"/>
      <c r="D95" s="1637"/>
      <c r="E95" s="242" t="s">
        <v>178</v>
      </c>
      <c r="F95" s="1120"/>
      <c r="G95" s="1121"/>
      <c r="H95" s="1122"/>
      <c r="I95" s="1123"/>
      <c r="J95" s="1030" t="s">
        <v>326</v>
      </c>
      <c r="K95" s="661">
        <v>10</v>
      </c>
      <c r="L95" s="440">
        <v>10</v>
      </c>
      <c r="M95" s="99">
        <v>10</v>
      </c>
    </row>
    <row r="96" spans="1:13" ht="27" customHeight="1" x14ac:dyDescent="0.25">
      <c r="A96" s="1657"/>
      <c r="B96" s="1704"/>
      <c r="C96" s="1700"/>
      <c r="D96" s="1637"/>
      <c r="E96" s="247"/>
      <c r="F96" s="1120" t="s">
        <v>341</v>
      </c>
      <c r="G96" s="1121">
        <v>12.7</v>
      </c>
      <c r="H96" s="1122">
        <v>12.7</v>
      </c>
      <c r="I96" s="1123">
        <v>12.7</v>
      </c>
      <c r="J96" s="384" t="s">
        <v>327</v>
      </c>
      <c r="K96" s="475">
        <v>5</v>
      </c>
      <c r="L96" s="440">
        <v>5</v>
      </c>
      <c r="M96" s="662">
        <v>5</v>
      </c>
    </row>
    <row r="97" spans="1:19" ht="17.149999999999999" customHeight="1" x14ac:dyDescent="0.25">
      <c r="A97" s="1657"/>
      <c r="B97" s="1704"/>
      <c r="C97" s="1700"/>
      <c r="D97" s="1637"/>
      <c r="E97" s="247"/>
      <c r="F97" s="1133" t="s">
        <v>341</v>
      </c>
      <c r="G97" s="1128">
        <v>24.2</v>
      </c>
      <c r="H97" s="1129"/>
      <c r="I97" s="1130"/>
      <c r="J97" s="1021" t="s">
        <v>194</v>
      </c>
      <c r="K97" s="1080">
        <v>1</v>
      </c>
      <c r="L97" s="440"/>
      <c r="M97" s="276"/>
      <c r="N97" s="683"/>
      <c r="O97" s="683"/>
      <c r="P97" s="683"/>
      <c r="Q97" s="683"/>
    </row>
    <row r="98" spans="1:19" ht="15" customHeight="1" x14ac:dyDescent="0.25">
      <c r="A98" s="1054"/>
      <c r="B98" s="1064"/>
      <c r="C98" s="1051"/>
      <c r="D98" s="1636" t="s">
        <v>122</v>
      </c>
      <c r="E98" s="1060" t="s">
        <v>136</v>
      </c>
      <c r="F98" s="1131" t="s">
        <v>341</v>
      </c>
      <c r="G98" s="1132">
        <v>84</v>
      </c>
      <c r="H98" s="1235">
        <v>248.1</v>
      </c>
      <c r="I98" s="1119"/>
      <c r="J98" s="1049" t="s">
        <v>290</v>
      </c>
      <c r="K98" s="428">
        <v>5</v>
      </c>
      <c r="L98" s="434">
        <v>100</v>
      </c>
      <c r="M98" s="1076"/>
    </row>
    <row r="99" spans="1:19" ht="15" customHeight="1" x14ac:dyDescent="0.25">
      <c r="A99" s="1054"/>
      <c r="B99" s="1064"/>
      <c r="C99" s="1051"/>
      <c r="D99" s="1637"/>
      <c r="E99" s="1061" t="s">
        <v>308</v>
      </c>
      <c r="F99" s="1120" t="s">
        <v>348</v>
      </c>
      <c r="G99" s="1121">
        <v>24.5</v>
      </c>
      <c r="H99" s="1122"/>
      <c r="I99" s="1123"/>
      <c r="J99" s="2"/>
      <c r="K99" s="1077"/>
      <c r="L99" s="1079"/>
      <c r="M99" s="682"/>
    </row>
    <row r="100" spans="1:19" ht="15" customHeight="1" x14ac:dyDescent="0.25">
      <c r="A100" s="1054"/>
      <c r="B100" s="1064"/>
      <c r="C100" s="1051"/>
      <c r="D100" s="1637"/>
      <c r="E100" s="739" t="s">
        <v>42</v>
      </c>
      <c r="F100" s="1236"/>
      <c r="G100" s="1236"/>
      <c r="H100" s="1237"/>
      <c r="I100" s="1123"/>
      <c r="J100" s="1041"/>
      <c r="K100" s="429"/>
      <c r="L100" s="435"/>
      <c r="M100" s="682"/>
    </row>
    <row r="101" spans="1:19" ht="15" customHeight="1" x14ac:dyDescent="0.25">
      <c r="A101" s="1054"/>
      <c r="B101" s="1064"/>
      <c r="C101" s="1051"/>
      <c r="D101" s="1638"/>
      <c r="E101" s="1072" t="s">
        <v>262</v>
      </c>
      <c r="F101" s="1238"/>
      <c r="G101" s="1239"/>
      <c r="H101" s="1122"/>
      <c r="I101" s="1130"/>
      <c r="J101" s="2"/>
      <c r="K101" s="165"/>
      <c r="L101" s="437"/>
      <c r="M101" s="742"/>
    </row>
    <row r="102" spans="1:19" ht="16.5" customHeight="1" x14ac:dyDescent="0.25">
      <c r="A102" s="1054"/>
      <c r="B102" s="1064"/>
      <c r="C102" s="1051"/>
      <c r="D102" s="1636" t="s">
        <v>328</v>
      </c>
      <c r="E102" s="1060" t="s">
        <v>262</v>
      </c>
      <c r="F102" s="1131" t="s">
        <v>343</v>
      </c>
      <c r="G102" s="1132">
        <v>10</v>
      </c>
      <c r="H102" s="1118"/>
      <c r="I102" s="1113"/>
      <c r="J102" s="1262" t="s">
        <v>71</v>
      </c>
      <c r="K102" s="428">
        <v>1</v>
      </c>
      <c r="L102" s="434"/>
      <c r="M102" s="1076"/>
    </row>
    <row r="103" spans="1:19" ht="16.5" customHeight="1" x14ac:dyDescent="0.25">
      <c r="A103" s="1054"/>
      <c r="B103" s="1064"/>
      <c r="C103" s="1051"/>
      <c r="D103" s="1638"/>
      <c r="E103" s="737"/>
      <c r="F103" s="1133"/>
      <c r="G103" s="1128"/>
      <c r="H103" s="1129"/>
      <c r="I103" s="1130"/>
      <c r="J103" s="367"/>
      <c r="K103" s="431"/>
      <c r="L103" s="437"/>
      <c r="M103" s="742"/>
    </row>
    <row r="104" spans="1:19" ht="17.899999999999999" customHeight="1" x14ac:dyDescent="0.25">
      <c r="A104" s="1657"/>
      <c r="B104" s="1704"/>
      <c r="C104" s="1700"/>
      <c r="D104" s="1636" t="s">
        <v>202</v>
      </c>
      <c r="E104" s="1060" t="s">
        <v>153</v>
      </c>
      <c r="F104" s="1131" t="s">
        <v>341</v>
      </c>
      <c r="G104" s="1132"/>
      <c r="H104" s="1118">
        <f>150</f>
        <v>150</v>
      </c>
      <c r="I104" s="1119">
        <v>150</v>
      </c>
      <c r="J104" s="1050" t="s">
        <v>281</v>
      </c>
      <c r="K104" s="896"/>
      <c r="L104" s="434">
        <v>3</v>
      </c>
      <c r="M104" s="141">
        <v>3</v>
      </c>
    </row>
    <row r="105" spans="1:19" ht="17.899999999999999" customHeight="1" x14ac:dyDescent="0.25">
      <c r="A105" s="1657"/>
      <c r="B105" s="1704"/>
      <c r="C105" s="1700"/>
      <c r="D105" s="1637"/>
      <c r="E105" s="1061" t="s">
        <v>262</v>
      </c>
      <c r="F105" s="1120" t="s">
        <v>341</v>
      </c>
      <c r="G105" s="1240">
        <v>99.1</v>
      </c>
      <c r="H105" s="1122"/>
      <c r="I105" s="1123"/>
      <c r="J105" s="1047" t="s">
        <v>281</v>
      </c>
      <c r="K105" s="433">
        <v>2</v>
      </c>
      <c r="L105" s="486"/>
      <c r="M105" s="582"/>
      <c r="N105" s="856"/>
      <c r="O105" s="856"/>
      <c r="P105" s="856"/>
      <c r="Q105" s="856"/>
      <c r="R105" s="856"/>
      <c r="S105" s="856"/>
    </row>
    <row r="106" spans="1:19" ht="17.899999999999999" customHeight="1" x14ac:dyDescent="0.25">
      <c r="A106" s="1657"/>
      <c r="B106" s="1704"/>
      <c r="C106" s="1700"/>
      <c r="D106" s="1637"/>
      <c r="E106" s="1061" t="s">
        <v>178</v>
      </c>
      <c r="F106" s="1120" t="s">
        <v>341</v>
      </c>
      <c r="G106" s="1121">
        <v>12</v>
      </c>
      <c r="H106" s="1122"/>
      <c r="I106" s="1123"/>
      <c r="J106" s="1047" t="s">
        <v>280</v>
      </c>
      <c r="K106" s="525"/>
      <c r="L106" s="748">
        <v>1</v>
      </c>
      <c r="M106" s="582"/>
    </row>
    <row r="107" spans="1:19" ht="17.899999999999999" customHeight="1" x14ac:dyDescent="0.25">
      <c r="A107" s="1657"/>
      <c r="B107" s="1704"/>
      <c r="C107" s="1700"/>
      <c r="D107" s="1637"/>
      <c r="E107" s="1061"/>
      <c r="F107" s="1133" t="s">
        <v>341</v>
      </c>
      <c r="G107" s="1128"/>
      <c r="H107" s="1125">
        <v>38.9</v>
      </c>
      <c r="I107" s="1134"/>
      <c r="J107" s="1047" t="s">
        <v>281</v>
      </c>
      <c r="K107" s="526"/>
      <c r="L107" s="748">
        <v>1</v>
      </c>
      <c r="M107" s="88"/>
    </row>
    <row r="108" spans="1:19" ht="15" customHeight="1" x14ac:dyDescent="0.25">
      <c r="A108" s="1054"/>
      <c r="B108" s="1064"/>
      <c r="C108" s="1051"/>
      <c r="D108" s="1727"/>
      <c r="E108" s="1727"/>
      <c r="F108" s="85"/>
      <c r="G108" s="85"/>
      <c r="H108" s="85"/>
      <c r="I108" s="387"/>
      <c r="J108" s="386"/>
      <c r="K108" s="469"/>
      <c r="L108" s="470"/>
      <c r="M108" s="97"/>
    </row>
    <row r="109" spans="1:19" ht="20.9" customHeight="1" x14ac:dyDescent="0.25">
      <c r="A109" s="1054"/>
      <c r="B109" s="1064"/>
      <c r="C109" s="1051"/>
      <c r="D109" s="1636" t="s">
        <v>78</v>
      </c>
      <c r="E109" s="242" t="s">
        <v>178</v>
      </c>
      <c r="F109" s="1131" t="s">
        <v>341</v>
      </c>
      <c r="G109" s="1132">
        <v>10</v>
      </c>
      <c r="H109" s="1118">
        <v>10</v>
      </c>
      <c r="I109" s="1119">
        <v>10</v>
      </c>
      <c r="J109" s="1728" t="s">
        <v>181</v>
      </c>
      <c r="K109" s="444">
        <v>1</v>
      </c>
      <c r="L109" s="452">
        <v>1</v>
      </c>
      <c r="M109" s="98">
        <v>1</v>
      </c>
    </row>
    <row r="110" spans="1:19" ht="20.9" customHeight="1" x14ac:dyDescent="0.25">
      <c r="A110" s="1054"/>
      <c r="B110" s="1064"/>
      <c r="C110" s="63"/>
      <c r="D110" s="1638"/>
      <c r="E110" s="1053" t="s">
        <v>262</v>
      </c>
      <c r="F110" s="1241"/>
      <c r="G110" s="1128"/>
      <c r="H110" s="1129"/>
      <c r="I110" s="1137"/>
      <c r="J110" s="1729"/>
      <c r="K110" s="431"/>
      <c r="L110" s="437"/>
      <c r="M110" s="96"/>
    </row>
    <row r="111" spans="1:19" ht="16.5" customHeight="1" x14ac:dyDescent="0.25">
      <c r="A111" s="1054"/>
      <c r="B111" s="1064"/>
      <c r="C111" s="63"/>
      <c r="D111" s="1636" t="s">
        <v>63</v>
      </c>
      <c r="E111" s="847" t="s">
        <v>178</v>
      </c>
      <c r="F111" s="1131" t="s">
        <v>341</v>
      </c>
      <c r="G111" s="1242">
        <v>926.7</v>
      </c>
      <c r="H111" s="1243">
        <v>927</v>
      </c>
      <c r="I111" s="1244">
        <v>927</v>
      </c>
      <c r="J111" s="397" t="s">
        <v>214</v>
      </c>
      <c r="K111" s="471">
        <v>21</v>
      </c>
      <c r="L111" s="482">
        <v>21</v>
      </c>
      <c r="M111" s="277">
        <v>21</v>
      </c>
    </row>
    <row r="112" spans="1:19" ht="15.75" customHeight="1" x14ac:dyDescent="0.25">
      <c r="A112" s="1054"/>
      <c r="B112" s="1064"/>
      <c r="C112" s="84"/>
      <c r="D112" s="1637"/>
      <c r="E112" s="242" t="s">
        <v>136</v>
      </c>
      <c r="F112" s="1120" t="s">
        <v>342</v>
      </c>
      <c r="G112" s="1121">
        <v>7.7</v>
      </c>
      <c r="H112" s="1122">
        <v>7.7</v>
      </c>
      <c r="I112" s="1123">
        <v>7.7</v>
      </c>
      <c r="J112" s="1043" t="s">
        <v>215</v>
      </c>
      <c r="K112" s="472">
        <v>98</v>
      </c>
      <c r="L112" s="483">
        <v>98</v>
      </c>
      <c r="M112" s="117">
        <v>98</v>
      </c>
    </row>
    <row r="113" spans="1:13" ht="15.75" customHeight="1" x14ac:dyDescent="0.25">
      <c r="A113" s="1054"/>
      <c r="B113" s="1058"/>
      <c r="C113" s="84"/>
      <c r="D113" s="1637"/>
      <c r="E113" s="1061" t="s">
        <v>262</v>
      </c>
      <c r="F113" s="1120" t="s">
        <v>353</v>
      </c>
      <c r="G113" s="1121">
        <v>0.6</v>
      </c>
      <c r="H113" s="1122"/>
      <c r="I113" s="1123"/>
      <c r="J113" s="373" t="s">
        <v>80</v>
      </c>
      <c r="K113" s="473">
        <v>6</v>
      </c>
      <c r="L113" s="484">
        <v>6</v>
      </c>
      <c r="M113" s="213">
        <v>6</v>
      </c>
    </row>
    <row r="114" spans="1:13" ht="15.75" customHeight="1" x14ac:dyDescent="0.25">
      <c r="A114" s="1054"/>
      <c r="B114" s="1064"/>
      <c r="C114" s="84"/>
      <c r="D114" s="1637"/>
      <c r="E114" s="173"/>
      <c r="F114" s="1120"/>
      <c r="G114" s="1121"/>
      <c r="H114" s="1122"/>
      <c r="I114" s="1123"/>
      <c r="J114" s="1041" t="s">
        <v>112</v>
      </c>
      <c r="K114" s="473">
        <v>40</v>
      </c>
      <c r="L114" s="484">
        <v>40</v>
      </c>
      <c r="M114" s="213">
        <v>40</v>
      </c>
    </row>
    <row r="115" spans="1:13" ht="15.75" customHeight="1" x14ac:dyDescent="0.25">
      <c r="A115" s="1054"/>
      <c r="B115" s="1064"/>
      <c r="C115" s="84"/>
      <c r="D115" s="1637"/>
      <c r="E115" s="173"/>
      <c r="F115" s="1120"/>
      <c r="G115" s="1121"/>
      <c r="H115" s="1122"/>
      <c r="I115" s="1134"/>
      <c r="J115" s="373" t="s">
        <v>282</v>
      </c>
      <c r="K115" s="474">
        <v>9</v>
      </c>
      <c r="L115" s="485">
        <v>9</v>
      </c>
      <c r="M115" s="118">
        <v>9</v>
      </c>
    </row>
    <row r="116" spans="1:13" ht="15" customHeight="1" x14ac:dyDescent="0.25">
      <c r="A116" s="1054"/>
      <c r="B116" s="1064"/>
      <c r="C116" s="84"/>
      <c r="D116" s="1637"/>
      <c r="E116" s="173"/>
      <c r="F116" s="1120"/>
      <c r="G116" s="1121"/>
      <c r="H116" s="1122"/>
      <c r="I116" s="1134"/>
      <c r="J116" s="1730" t="s">
        <v>182</v>
      </c>
      <c r="K116" s="544">
        <v>1</v>
      </c>
      <c r="L116" s="547">
        <v>1</v>
      </c>
      <c r="M116" s="127">
        <v>1</v>
      </c>
    </row>
    <row r="117" spans="1:13" ht="12.65" customHeight="1" x14ac:dyDescent="0.25">
      <c r="A117" s="1054"/>
      <c r="B117" s="1064"/>
      <c r="C117" s="84"/>
      <c r="D117" s="837"/>
      <c r="E117" s="173"/>
      <c r="F117" s="1120"/>
      <c r="G117" s="1121"/>
      <c r="H117" s="1122"/>
      <c r="I117" s="1134"/>
      <c r="J117" s="1730"/>
      <c r="K117" s="842"/>
      <c r="L117" s="324"/>
      <c r="M117" s="843"/>
    </row>
    <row r="118" spans="1:13" ht="14.9" customHeight="1" x14ac:dyDescent="0.25">
      <c r="A118" s="1054"/>
      <c r="B118" s="1064"/>
      <c r="C118" s="84"/>
      <c r="D118" s="837"/>
      <c r="E118" s="173"/>
      <c r="F118" s="1120" t="s">
        <v>341</v>
      </c>
      <c r="G118" s="1121"/>
      <c r="H118" s="1122">
        <v>15</v>
      </c>
      <c r="I118" s="1123">
        <v>16.399999999999999</v>
      </c>
      <c r="J118" s="381" t="s">
        <v>283</v>
      </c>
      <c r="K118" s="581">
        <v>6</v>
      </c>
      <c r="L118" s="581">
        <v>1</v>
      </c>
      <c r="M118" s="582">
        <v>1</v>
      </c>
    </row>
    <row r="119" spans="1:13" ht="15.65" customHeight="1" x14ac:dyDescent="0.25">
      <c r="A119" s="1054"/>
      <c r="B119" s="1064"/>
      <c r="C119" s="84"/>
      <c r="D119" s="1044"/>
      <c r="E119" s="1552"/>
      <c r="F119" s="1120" t="s">
        <v>341</v>
      </c>
      <c r="G119" s="1121">
        <v>13.3</v>
      </c>
      <c r="H119" s="1122"/>
      <c r="I119" s="1123"/>
      <c r="J119" s="1030" t="s">
        <v>284</v>
      </c>
      <c r="K119" s="457">
        <v>13</v>
      </c>
      <c r="L119" s="462"/>
      <c r="M119" s="925"/>
    </row>
    <row r="120" spans="1:13" ht="15.65" customHeight="1" x14ac:dyDescent="0.25">
      <c r="A120" s="1546"/>
      <c r="B120" s="1549"/>
      <c r="C120" s="84"/>
      <c r="D120" s="1545"/>
      <c r="E120" s="1553"/>
      <c r="F120" s="1120"/>
      <c r="G120" s="1121"/>
      <c r="H120" s="1122"/>
      <c r="I120" s="1123"/>
      <c r="J120" s="1567" t="s">
        <v>364</v>
      </c>
      <c r="K120" s="1556">
        <v>2</v>
      </c>
      <c r="L120" s="650"/>
      <c r="M120" s="925"/>
    </row>
    <row r="121" spans="1:13" ht="25.5" customHeight="1" x14ac:dyDescent="0.25">
      <c r="A121" s="1546"/>
      <c r="B121" s="1549"/>
      <c r="C121" s="84"/>
      <c r="D121" s="1545"/>
      <c r="E121" s="1552"/>
      <c r="F121" s="1120"/>
      <c r="G121" s="1121"/>
      <c r="H121" s="1122"/>
      <c r="I121" s="1123"/>
      <c r="J121" s="1567" t="s">
        <v>370</v>
      </c>
      <c r="K121" s="457">
        <v>2</v>
      </c>
      <c r="L121" s="462"/>
      <c r="M121" s="925"/>
    </row>
    <row r="122" spans="1:13" ht="16.399999999999999" customHeight="1" x14ac:dyDescent="0.25">
      <c r="A122" s="1054"/>
      <c r="B122" s="1064"/>
      <c r="C122" s="84"/>
      <c r="D122" s="1723" t="s">
        <v>185</v>
      </c>
      <c r="E122" s="1554" t="s">
        <v>153</v>
      </c>
      <c r="F122" s="1120"/>
      <c r="G122" s="1121"/>
      <c r="H122" s="1122"/>
      <c r="I122" s="1123"/>
      <c r="J122" s="1555" t="s">
        <v>264</v>
      </c>
      <c r="K122" s="923">
        <v>2</v>
      </c>
      <c r="L122" s="924">
        <v>2</v>
      </c>
      <c r="M122" s="1372">
        <v>2</v>
      </c>
    </row>
    <row r="123" spans="1:13" ht="27.65" customHeight="1" x14ac:dyDescent="0.25">
      <c r="A123" s="1054"/>
      <c r="B123" s="1064"/>
      <c r="C123" s="84"/>
      <c r="D123" s="1637"/>
      <c r="E123" s="242" t="s">
        <v>136</v>
      </c>
      <c r="F123" s="1120"/>
      <c r="G123" s="1121"/>
      <c r="H123" s="1122"/>
      <c r="I123" s="1123"/>
      <c r="J123" s="384" t="s">
        <v>369</v>
      </c>
      <c r="K123" s="512"/>
      <c r="L123" s="518">
        <v>1</v>
      </c>
      <c r="M123" s="604"/>
    </row>
    <row r="124" spans="1:13" ht="16.399999999999999" customHeight="1" x14ac:dyDescent="0.25">
      <c r="A124" s="1054"/>
      <c r="B124" s="1064"/>
      <c r="C124" s="84"/>
      <c r="D124" s="1637"/>
      <c r="E124" s="1061" t="s">
        <v>262</v>
      </c>
      <c r="F124" s="1120"/>
      <c r="G124" s="1121"/>
      <c r="H124" s="1122"/>
      <c r="I124" s="1123"/>
      <c r="J124" s="902" t="s">
        <v>365</v>
      </c>
      <c r="K124" s="476"/>
      <c r="L124" s="907"/>
      <c r="M124" s="926">
        <v>200</v>
      </c>
    </row>
    <row r="125" spans="1:13" ht="16.399999999999999" customHeight="1" x14ac:dyDescent="0.25">
      <c r="A125" s="1054"/>
      <c r="B125" s="1064"/>
      <c r="C125" s="84"/>
      <c r="D125" s="1638"/>
      <c r="E125" s="1053" t="s">
        <v>308</v>
      </c>
      <c r="F125" s="1133"/>
      <c r="G125" s="1128"/>
      <c r="H125" s="1129"/>
      <c r="I125" s="1130"/>
      <c r="J125" s="903"/>
      <c r="K125" s="906"/>
      <c r="L125" s="908"/>
      <c r="M125" s="909"/>
    </row>
    <row r="126" spans="1:13" ht="14.9" customHeight="1" x14ac:dyDescent="0.25">
      <c r="A126" s="1657"/>
      <c r="B126" s="1658"/>
      <c r="C126" s="84"/>
      <c r="D126" s="1636" t="s">
        <v>120</v>
      </c>
      <c r="E126" s="1061" t="s">
        <v>262</v>
      </c>
      <c r="F126" s="1131" t="s">
        <v>341</v>
      </c>
      <c r="G126" s="1132">
        <v>33.6</v>
      </c>
      <c r="H126" s="1118">
        <v>33.6</v>
      </c>
      <c r="I126" s="1113">
        <v>33.6</v>
      </c>
      <c r="J126" s="376" t="s">
        <v>88</v>
      </c>
      <c r="K126" s="432">
        <v>2</v>
      </c>
      <c r="L126" s="439">
        <v>2</v>
      </c>
      <c r="M126" s="143">
        <v>2</v>
      </c>
    </row>
    <row r="127" spans="1:13" ht="14.9" customHeight="1" x14ac:dyDescent="0.25">
      <c r="A127" s="1657"/>
      <c r="B127" s="1658"/>
      <c r="C127" s="84"/>
      <c r="D127" s="1637"/>
      <c r="E127" s="247"/>
      <c r="F127" s="1124" t="s">
        <v>353</v>
      </c>
      <c r="G127" s="1121">
        <v>1.5</v>
      </c>
      <c r="H127" s="1122"/>
      <c r="I127" s="1123"/>
      <c r="J127" s="1030" t="s">
        <v>215</v>
      </c>
      <c r="K127" s="433">
        <v>5</v>
      </c>
      <c r="L127" s="440">
        <v>5</v>
      </c>
      <c r="M127" s="99">
        <v>5</v>
      </c>
    </row>
    <row r="128" spans="1:13" ht="14.9" customHeight="1" x14ac:dyDescent="0.25">
      <c r="A128" s="1657"/>
      <c r="B128" s="1658"/>
      <c r="C128" s="84"/>
      <c r="D128" s="1638"/>
      <c r="E128" s="828"/>
      <c r="F128" s="1133" t="s">
        <v>342</v>
      </c>
      <c r="G128" s="1128">
        <v>5</v>
      </c>
      <c r="H128" s="1129">
        <v>5</v>
      </c>
      <c r="I128" s="1130">
        <v>5</v>
      </c>
      <c r="J128" s="256"/>
      <c r="K128" s="1038"/>
      <c r="L128" s="1024"/>
      <c r="M128" s="1026"/>
    </row>
    <row r="129" spans="1:18" ht="15" customHeight="1" x14ac:dyDescent="0.25">
      <c r="A129" s="1054"/>
      <c r="B129" s="1064"/>
      <c r="C129" s="84"/>
      <c r="D129" s="1637" t="s">
        <v>52</v>
      </c>
      <c r="E129" s="1061" t="s">
        <v>262</v>
      </c>
      <c r="F129" s="1131" t="s">
        <v>342</v>
      </c>
      <c r="G129" s="1132">
        <v>21</v>
      </c>
      <c r="H129" s="1118">
        <v>21</v>
      </c>
      <c r="I129" s="1113">
        <v>21</v>
      </c>
      <c r="J129" s="1020" t="s">
        <v>214</v>
      </c>
      <c r="K129" s="428">
        <v>2</v>
      </c>
      <c r="L129" s="434">
        <v>2</v>
      </c>
      <c r="M129" s="94">
        <v>2</v>
      </c>
    </row>
    <row r="130" spans="1:18" ht="15" customHeight="1" x14ac:dyDescent="0.25">
      <c r="A130" s="1054"/>
      <c r="B130" s="1064"/>
      <c r="C130" s="63"/>
      <c r="D130" s="1638"/>
      <c r="E130" s="820"/>
      <c r="F130" s="1241" t="s">
        <v>353</v>
      </c>
      <c r="G130" s="1128">
        <v>0.8</v>
      </c>
      <c r="H130" s="1129"/>
      <c r="I130" s="1130"/>
      <c r="J130" s="1022"/>
      <c r="K130" s="431"/>
      <c r="L130" s="437"/>
      <c r="M130" s="96"/>
    </row>
    <row r="131" spans="1:18" ht="27" customHeight="1" x14ac:dyDescent="0.25">
      <c r="A131" s="1054"/>
      <c r="B131" s="1064"/>
      <c r="C131" s="63"/>
      <c r="D131" s="1044" t="s">
        <v>148</v>
      </c>
      <c r="E131" s="1060" t="s">
        <v>178</v>
      </c>
      <c r="F131" s="1245" t="s">
        <v>341</v>
      </c>
      <c r="G131" s="1132">
        <v>320</v>
      </c>
      <c r="H131" s="1118">
        <v>150</v>
      </c>
      <c r="I131" s="1113"/>
      <c r="J131" s="1262" t="s">
        <v>192</v>
      </c>
      <c r="K131" s="1578">
        <v>4</v>
      </c>
      <c r="L131" s="1579">
        <f>3+4</f>
        <v>7</v>
      </c>
      <c r="M131" s="1571"/>
    </row>
    <row r="132" spans="1:18" ht="19" customHeight="1" x14ac:dyDescent="0.25">
      <c r="A132" s="1054"/>
      <c r="B132" s="1064"/>
      <c r="C132" s="63"/>
      <c r="D132" s="667"/>
      <c r="E132" s="1061" t="s">
        <v>262</v>
      </c>
      <c r="F132" s="1127" t="s">
        <v>343</v>
      </c>
      <c r="G132" s="1128">
        <v>79.8</v>
      </c>
      <c r="H132" s="1129"/>
      <c r="I132" s="1130"/>
      <c r="J132" s="367"/>
      <c r="K132" s="479"/>
      <c r="L132" s="491"/>
      <c r="M132" s="1266"/>
    </row>
    <row r="133" spans="1:18" ht="42.65" customHeight="1" x14ac:dyDescent="0.25">
      <c r="A133" s="1054"/>
      <c r="B133" s="1064"/>
      <c r="C133" s="63"/>
      <c r="D133" s="1637" t="s">
        <v>265</v>
      </c>
      <c r="E133" s="1060" t="s">
        <v>276</v>
      </c>
      <c r="F133" s="1151" t="s">
        <v>341</v>
      </c>
      <c r="G133" s="1132"/>
      <c r="H133" s="1118"/>
      <c r="I133" s="1246">
        <v>500</v>
      </c>
      <c r="J133" s="1050" t="s">
        <v>266</v>
      </c>
      <c r="K133" s="445"/>
      <c r="L133" s="490"/>
      <c r="M133" s="666">
        <v>50</v>
      </c>
    </row>
    <row r="134" spans="1:18" ht="41.15" customHeight="1" x14ac:dyDescent="0.25">
      <c r="A134" s="1054"/>
      <c r="B134" s="1064"/>
      <c r="C134" s="63"/>
      <c r="D134" s="1638"/>
      <c r="E134" s="1053" t="s">
        <v>178</v>
      </c>
      <c r="F134" s="1127" t="s">
        <v>341</v>
      </c>
      <c r="G134" s="1128"/>
      <c r="H134" s="1129">
        <f>59.4+444.9</f>
        <v>504.3</v>
      </c>
      <c r="I134" s="1130"/>
      <c r="J134" s="396" t="s">
        <v>267</v>
      </c>
      <c r="K134" s="477"/>
      <c r="L134" s="453">
        <v>100</v>
      </c>
      <c r="M134" s="205"/>
    </row>
    <row r="135" spans="1:18" ht="18.649999999999999" customHeight="1" x14ac:dyDescent="0.25">
      <c r="A135" s="1054"/>
      <c r="B135" s="1064"/>
      <c r="C135" s="63"/>
      <c r="D135" s="1028" t="s">
        <v>154</v>
      </c>
      <c r="E135" s="1060" t="s">
        <v>262</v>
      </c>
      <c r="F135" s="1151" t="s">
        <v>341</v>
      </c>
      <c r="G135" s="1132">
        <v>8.4</v>
      </c>
      <c r="H135" s="1118"/>
      <c r="I135" s="1135"/>
      <c r="J135" s="1680" t="s">
        <v>324</v>
      </c>
      <c r="K135" s="1755">
        <v>1</v>
      </c>
      <c r="L135" s="1757"/>
      <c r="M135" s="1759"/>
    </row>
    <row r="136" spans="1:18" ht="18.649999999999999" customHeight="1" x14ac:dyDescent="0.25">
      <c r="A136" s="1054"/>
      <c r="B136" s="1064"/>
      <c r="C136" s="63"/>
      <c r="D136" s="1029"/>
      <c r="E136" s="1053" t="s">
        <v>178</v>
      </c>
      <c r="F136" s="1127" t="s">
        <v>343</v>
      </c>
      <c r="G136" s="1128">
        <v>102</v>
      </c>
      <c r="H136" s="1129"/>
      <c r="I136" s="1130"/>
      <c r="J136" s="1701"/>
      <c r="K136" s="1756"/>
      <c r="L136" s="1758"/>
      <c r="M136" s="1760"/>
    </row>
    <row r="137" spans="1:18" ht="16.5" customHeight="1" thickBot="1" x14ac:dyDescent="0.3">
      <c r="A137" s="19"/>
      <c r="B137" s="91"/>
      <c r="C137" s="62"/>
      <c r="D137" s="224"/>
      <c r="E137" s="228"/>
      <c r="F137" s="16" t="s">
        <v>4</v>
      </c>
      <c r="G137" s="1198">
        <f>+G16+G17+G18+G19+G20+G21+G22+G23+G24+G25+G26</f>
        <v>7887.6</v>
      </c>
      <c r="H137" s="341">
        <f>+H16+H17+H18+H19+H20+H21+H22+H23+H24+H25+H26</f>
        <v>9626.7999999999993</v>
      </c>
      <c r="I137" s="1199">
        <f>+I16+I17+I18+I19+I20+I21+I22+I23+I24+I25+I26</f>
        <v>11462</v>
      </c>
      <c r="J137" s="1021"/>
      <c r="K137" s="480"/>
      <c r="L137" s="345"/>
      <c r="M137" s="226"/>
    </row>
    <row r="138" spans="1:18" ht="14.9" customHeight="1" x14ac:dyDescent="0.25">
      <c r="A138" s="1054" t="s">
        <v>3</v>
      </c>
      <c r="B138" s="1064" t="s">
        <v>3</v>
      </c>
      <c r="C138" s="1051" t="s">
        <v>5</v>
      </c>
      <c r="D138" s="1724" t="s">
        <v>44</v>
      </c>
      <c r="E138" s="1088"/>
      <c r="F138" s="768" t="s">
        <v>22</v>
      </c>
      <c r="G138" s="338">
        <f>4247.2+100-399.8</f>
        <v>3947.4</v>
      </c>
      <c r="H138" s="340">
        <f>3900.8+575.2</f>
        <v>4476</v>
      </c>
      <c r="I138" s="132">
        <v>3900.8</v>
      </c>
      <c r="J138" s="1090"/>
      <c r="K138" s="1091"/>
      <c r="L138" s="1092"/>
      <c r="M138" s="1093"/>
      <c r="O138" s="1248" t="s">
        <v>22</v>
      </c>
      <c r="P138" s="1249">
        <f>+G141+G143+G149+G152+G153+G155+G158+G159</f>
        <v>4247.2</v>
      </c>
      <c r="Q138" s="1249">
        <f t="shared" ref="Q138:R138" si="7">+H141+H143+H149+H152+H153+H155+H158+H159</f>
        <v>3900.8</v>
      </c>
      <c r="R138" s="1249">
        <f t="shared" si="7"/>
        <v>3900.8</v>
      </c>
    </row>
    <row r="139" spans="1:18" ht="14.9" customHeight="1" x14ac:dyDescent="0.25">
      <c r="A139" s="1054"/>
      <c r="B139" s="1064"/>
      <c r="C139" s="1051"/>
      <c r="D139" s="1725"/>
      <c r="E139" s="1089"/>
      <c r="F139" s="196" t="s">
        <v>37</v>
      </c>
      <c r="G139" s="941">
        <v>2</v>
      </c>
      <c r="H139" s="321">
        <v>2</v>
      </c>
      <c r="I139" s="310">
        <v>2</v>
      </c>
      <c r="J139" s="1094"/>
      <c r="K139" s="318"/>
      <c r="L139" s="324"/>
      <c r="M139" s="119"/>
      <c r="O139" s="1248" t="s">
        <v>37</v>
      </c>
      <c r="P139" s="1249">
        <f>+G144</f>
        <v>2</v>
      </c>
      <c r="Q139" s="1249">
        <f t="shared" ref="Q139:R139" si="8">+H144</f>
        <v>2</v>
      </c>
      <c r="R139" s="1249">
        <f t="shared" si="8"/>
        <v>2</v>
      </c>
    </row>
    <row r="140" spans="1:18" ht="14.9" customHeight="1" x14ac:dyDescent="0.25">
      <c r="A140" s="1054"/>
      <c r="B140" s="1064"/>
      <c r="C140" s="1051"/>
      <c r="D140" s="1726"/>
      <c r="E140" s="1063"/>
      <c r="F140" s="196" t="s">
        <v>48</v>
      </c>
      <c r="G140" s="941">
        <f>340.9-250.4</f>
        <v>90.5</v>
      </c>
      <c r="H140" s="322"/>
      <c r="I140" s="39"/>
      <c r="J140" s="1094"/>
      <c r="K140" s="318"/>
      <c r="L140" s="324"/>
      <c r="M140" s="119"/>
      <c r="O140" s="1248" t="s">
        <v>48</v>
      </c>
      <c r="P140" s="1249">
        <f>+G146+G148+G156+G157+G160</f>
        <v>340.9</v>
      </c>
      <c r="Q140" s="1249">
        <f t="shared" ref="Q140:R140" si="9">+H146+H148+H156+H157+H160</f>
        <v>0</v>
      </c>
      <c r="R140" s="1249">
        <f t="shared" si="9"/>
        <v>0</v>
      </c>
    </row>
    <row r="141" spans="1:18" ht="27" customHeight="1" x14ac:dyDescent="0.25">
      <c r="A141" s="1657"/>
      <c r="B141" s="1704"/>
      <c r="C141" s="1700"/>
      <c r="D141" s="1636" t="s">
        <v>55</v>
      </c>
      <c r="E141" s="1087" t="s">
        <v>262</v>
      </c>
      <c r="F141" s="1110" t="s">
        <v>341</v>
      </c>
      <c r="G141" s="1111">
        <v>3522.2</v>
      </c>
      <c r="H141" s="1112">
        <v>3522.2</v>
      </c>
      <c r="I141" s="1113">
        <v>3522.2</v>
      </c>
      <c r="J141" s="1049" t="s">
        <v>117</v>
      </c>
      <c r="K141" s="882">
        <v>8.9</v>
      </c>
      <c r="L141" s="883">
        <v>8.9</v>
      </c>
      <c r="M141" s="121">
        <v>8.9</v>
      </c>
      <c r="O141" s="1248"/>
      <c r="P141" s="1249">
        <f>+P138+P139+P140</f>
        <v>4590.1000000000004</v>
      </c>
      <c r="Q141" s="1249">
        <f t="shared" ref="Q141:R141" si="10">+Q138+Q139+Q140</f>
        <v>3902.8</v>
      </c>
      <c r="R141" s="1249">
        <f t="shared" si="10"/>
        <v>3902.8</v>
      </c>
    </row>
    <row r="142" spans="1:18" ht="16.5" customHeight="1" x14ac:dyDescent="0.25">
      <c r="A142" s="1657"/>
      <c r="B142" s="1704"/>
      <c r="C142" s="1700"/>
      <c r="D142" s="1722"/>
      <c r="E142" s="828"/>
      <c r="F142" s="1114"/>
      <c r="G142" s="1115"/>
      <c r="H142" s="1116"/>
      <c r="I142" s="1117"/>
      <c r="J142" s="396" t="s">
        <v>103</v>
      </c>
      <c r="K142" s="493">
        <v>425</v>
      </c>
      <c r="L142" s="496">
        <v>425</v>
      </c>
      <c r="M142" s="111">
        <v>425</v>
      </c>
      <c r="O142" s="1248"/>
      <c r="P142" s="1249">
        <f>+P141-G162</f>
        <v>550.20000000000005</v>
      </c>
      <c r="Q142" s="1249">
        <f t="shared" ref="Q142:R142" si="11">+Q141-H162</f>
        <v>-575.20000000000005</v>
      </c>
      <c r="R142" s="1249">
        <f t="shared" si="11"/>
        <v>0</v>
      </c>
    </row>
    <row r="143" spans="1:18" ht="14.9" customHeight="1" x14ac:dyDescent="0.25">
      <c r="A143" s="1657"/>
      <c r="B143" s="1704"/>
      <c r="C143" s="1700"/>
      <c r="D143" s="1711" t="s">
        <v>34</v>
      </c>
      <c r="E143" s="1061" t="s">
        <v>262</v>
      </c>
      <c r="F143" s="1110" t="s">
        <v>341</v>
      </c>
      <c r="G143" s="1111">
        <v>175.4</v>
      </c>
      <c r="H143" s="1118">
        <v>175.4</v>
      </c>
      <c r="I143" s="1119">
        <v>175.4</v>
      </c>
      <c r="J143" s="1021" t="s">
        <v>36</v>
      </c>
      <c r="K143" s="429">
        <v>60</v>
      </c>
      <c r="L143" s="435">
        <v>60</v>
      </c>
      <c r="M143" s="88">
        <v>60</v>
      </c>
    </row>
    <row r="144" spans="1:18" ht="26.5" customHeight="1" x14ac:dyDescent="0.25">
      <c r="A144" s="1657"/>
      <c r="B144" s="1704"/>
      <c r="C144" s="1700"/>
      <c r="D144" s="1721"/>
      <c r="E144" s="1063"/>
      <c r="F144" s="1120" t="s">
        <v>342</v>
      </c>
      <c r="G144" s="1121">
        <v>2</v>
      </c>
      <c r="H144" s="1122">
        <v>2</v>
      </c>
      <c r="I144" s="1123">
        <v>2</v>
      </c>
      <c r="J144" s="1030" t="s">
        <v>56</v>
      </c>
      <c r="K144" s="1032">
        <v>1500</v>
      </c>
      <c r="L144" s="1034">
        <v>1500</v>
      </c>
      <c r="M144" s="122">
        <v>1500</v>
      </c>
    </row>
    <row r="145" spans="1:17" ht="15" customHeight="1" x14ac:dyDescent="0.25">
      <c r="A145" s="1054"/>
      <c r="B145" s="1064"/>
      <c r="C145" s="1051"/>
      <c r="D145" s="1066"/>
      <c r="E145" s="1063"/>
      <c r="F145" s="1124"/>
      <c r="G145" s="1121"/>
      <c r="H145" s="1122"/>
      <c r="I145" s="1125"/>
      <c r="J145" s="1662" t="s">
        <v>184</v>
      </c>
      <c r="K145" s="1715">
        <v>1</v>
      </c>
      <c r="L145" s="1717"/>
      <c r="M145" s="1719"/>
    </row>
    <row r="146" spans="1:17" ht="15" customHeight="1" x14ac:dyDescent="0.25">
      <c r="A146" s="1054"/>
      <c r="B146" s="1064"/>
      <c r="C146" s="1051"/>
      <c r="D146" s="1066"/>
      <c r="E146" s="1063"/>
      <c r="F146" s="1120" t="s">
        <v>343</v>
      </c>
      <c r="G146" s="1121">
        <v>30</v>
      </c>
      <c r="H146" s="1122"/>
      <c r="I146" s="1123"/>
      <c r="J146" s="1663"/>
      <c r="K146" s="1716"/>
      <c r="L146" s="1718"/>
      <c r="M146" s="1720"/>
    </row>
    <row r="147" spans="1:17" ht="15" customHeight="1" x14ac:dyDescent="0.25">
      <c r="A147" s="1054"/>
      <c r="B147" s="1064"/>
      <c r="C147" s="1051"/>
      <c r="D147" s="1066"/>
      <c r="E147" s="1063"/>
      <c r="F147" s="1120"/>
      <c r="G147" s="1121"/>
      <c r="H147" s="1122"/>
      <c r="I147" s="1123"/>
      <c r="J147" s="1662" t="s">
        <v>191</v>
      </c>
      <c r="K147" s="1715"/>
      <c r="L147" s="1717">
        <v>1</v>
      </c>
      <c r="M147" s="1719"/>
    </row>
    <row r="148" spans="1:17" ht="15" customHeight="1" x14ac:dyDescent="0.25">
      <c r="A148" s="1054"/>
      <c r="B148" s="1064"/>
      <c r="C148" s="1051"/>
      <c r="D148" s="1066"/>
      <c r="E148" s="1063"/>
      <c r="F148" s="1120" t="s">
        <v>343</v>
      </c>
      <c r="G148" s="1121">
        <v>150</v>
      </c>
      <c r="H148" s="1122"/>
      <c r="I148" s="1123"/>
      <c r="J148" s="1663"/>
      <c r="K148" s="1716"/>
      <c r="L148" s="1718"/>
      <c r="M148" s="1720"/>
    </row>
    <row r="149" spans="1:17" ht="31" customHeight="1" x14ac:dyDescent="0.25">
      <c r="A149" s="1054"/>
      <c r="B149" s="1064"/>
      <c r="C149" s="1051"/>
      <c r="D149" s="1066"/>
      <c r="E149" s="1063"/>
      <c r="F149" s="1126" t="s">
        <v>341</v>
      </c>
      <c r="G149" s="1121">
        <v>51</v>
      </c>
      <c r="H149" s="1122"/>
      <c r="I149" s="1123"/>
      <c r="J149" s="381" t="s">
        <v>363</v>
      </c>
      <c r="K149" s="599"/>
      <c r="L149" s="498">
        <v>1</v>
      </c>
      <c r="M149" s="100"/>
    </row>
    <row r="150" spans="1:17" ht="18" customHeight="1" x14ac:dyDescent="0.25">
      <c r="A150" s="1573"/>
      <c r="B150" s="1576"/>
      <c r="C150" s="1574"/>
      <c r="D150" s="1577"/>
      <c r="E150" s="1575"/>
      <c r="F150" s="1126"/>
      <c r="G150" s="1121"/>
      <c r="H150" s="1122"/>
      <c r="I150" s="1123"/>
      <c r="J150" s="1572" t="s">
        <v>372</v>
      </c>
      <c r="K150" s="599"/>
      <c r="L150" s="498">
        <v>1</v>
      </c>
      <c r="M150" s="100"/>
    </row>
    <row r="151" spans="1:17" ht="18" customHeight="1" x14ac:dyDescent="0.25">
      <c r="A151" s="1580"/>
      <c r="B151" s="1583"/>
      <c r="C151" s="1582"/>
      <c r="D151" s="1584"/>
      <c r="E151" s="1585"/>
      <c r="F151" s="1126"/>
      <c r="G151" s="1121"/>
      <c r="H151" s="1122"/>
      <c r="I151" s="1123"/>
      <c r="J151" s="1581" t="s">
        <v>374</v>
      </c>
      <c r="K151" s="599"/>
      <c r="L151" s="498">
        <v>1</v>
      </c>
      <c r="M151" s="100"/>
    </row>
    <row r="152" spans="1:17" ht="42.65" customHeight="1" x14ac:dyDescent="0.25">
      <c r="A152" s="1054"/>
      <c r="B152" s="1064"/>
      <c r="C152" s="1051"/>
      <c r="D152" s="1066"/>
      <c r="E152" s="820"/>
      <c r="F152" s="1127" t="s">
        <v>341</v>
      </c>
      <c r="G152" s="1128">
        <v>119</v>
      </c>
      <c r="H152" s="1129"/>
      <c r="I152" s="1130"/>
      <c r="J152" s="1031" t="s">
        <v>325</v>
      </c>
      <c r="K152" s="599">
        <v>71</v>
      </c>
      <c r="L152" s="498"/>
      <c r="M152" s="100"/>
    </row>
    <row r="153" spans="1:17" ht="24.75" customHeight="1" x14ac:dyDescent="0.25">
      <c r="A153" s="1054"/>
      <c r="B153" s="1064"/>
      <c r="C153" s="1051"/>
      <c r="D153" s="1711" t="s">
        <v>79</v>
      </c>
      <c r="E153" s="1061" t="s">
        <v>262</v>
      </c>
      <c r="F153" s="1131" t="s">
        <v>341</v>
      </c>
      <c r="G153" s="1132">
        <v>80.2</v>
      </c>
      <c r="H153" s="1118">
        <v>80.2</v>
      </c>
      <c r="I153" s="1119">
        <v>80.2</v>
      </c>
      <c r="J153" s="400" t="s">
        <v>90</v>
      </c>
      <c r="K153" s="669">
        <v>1100</v>
      </c>
      <c r="L153" s="670">
        <v>1000</v>
      </c>
      <c r="M153" s="671">
        <v>1000</v>
      </c>
    </row>
    <row r="154" spans="1:17" ht="29.9" customHeight="1" x14ac:dyDescent="0.25">
      <c r="A154" s="1054"/>
      <c r="B154" s="1064"/>
      <c r="C154" s="1051"/>
      <c r="D154" s="1712"/>
      <c r="E154" s="820"/>
      <c r="F154" s="1133"/>
      <c r="G154" s="1121"/>
      <c r="H154" s="1122"/>
      <c r="I154" s="1134"/>
      <c r="J154" s="1050" t="s">
        <v>91</v>
      </c>
      <c r="K154" s="543">
        <v>342</v>
      </c>
      <c r="L154" s="546">
        <v>400</v>
      </c>
      <c r="M154" s="423">
        <v>400</v>
      </c>
    </row>
    <row r="155" spans="1:17" ht="15.65" customHeight="1" x14ac:dyDescent="0.25">
      <c r="A155" s="1054"/>
      <c r="B155" s="1064"/>
      <c r="C155" s="1051"/>
      <c r="D155" s="1636" t="s">
        <v>47</v>
      </c>
      <c r="E155" s="1061" t="s">
        <v>262</v>
      </c>
      <c r="F155" s="1131" t="s">
        <v>341</v>
      </c>
      <c r="G155" s="1132">
        <v>56</v>
      </c>
      <c r="H155" s="1118">
        <v>81</v>
      </c>
      <c r="I155" s="1135">
        <v>81</v>
      </c>
      <c r="J155" s="1049" t="s">
        <v>35</v>
      </c>
      <c r="K155" s="428">
        <v>13</v>
      </c>
      <c r="L155" s="434">
        <v>8</v>
      </c>
      <c r="M155" s="94">
        <v>8</v>
      </c>
      <c r="N155" s="684"/>
      <c r="O155" s="684"/>
      <c r="P155" s="684"/>
      <c r="Q155" s="684"/>
    </row>
    <row r="156" spans="1:17" ht="15.65" customHeight="1" x14ac:dyDescent="0.25">
      <c r="A156" s="1054"/>
      <c r="B156" s="1064"/>
      <c r="C156" s="63"/>
      <c r="D156" s="1638"/>
      <c r="E156" s="820"/>
      <c r="F156" s="1133" t="s">
        <v>343</v>
      </c>
      <c r="G156" s="1128">
        <v>36.5</v>
      </c>
      <c r="H156" s="1129"/>
      <c r="I156" s="1130"/>
      <c r="J156" s="367"/>
      <c r="K156" s="431"/>
      <c r="L156" s="437"/>
      <c r="M156" s="96"/>
    </row>
    <row r="157" spans="1:17" ht="15.65" customHeight="1" x14ac:dyDescent="0.25">
      <c r="A157" s="1054"/>
      <c r="B157" s="1064"/>
      <c r="C157" s="1051"/>
      <c r="D157" s="1713" t="s">
        <v>134</v>
      </c>
      <c r="E157" s="1061" t="s">
        <v>262</v>
      </c>
      <c r="F157" s="1131" t="s">
        <v>343</v>
      </c>
      <c r="G157" s="1132">
        <v>100.4</v>
      </c>
      <c r="H157" s="1118"/>
      <c r="I157" s="1113"/>
      <c r="J157" s="1714" t="s">
        <v>187</v>
      </c>
      <c r="K157" s="433"/>
      <c r="L157" s="434">
        <v>100</v>
      </c>
      <c r="M157" s="94"/>
    </row>
    <row r="158" spans="1:17" ht="15.65" customHeight="1" x14ac:dyDescent="0.25">
      <c r="A158" s="18"/>
      <c r="B158" s="1064"/>
      <c r="C158" s="1051"/>
      <c r="D158" s="1649"/>
      <c r="E158" s="820"/>
      <c r="F158" s="1133" t="s">
        <v>341</v>
      </c>
      <c r="G158" s="1128">
        <v>225.4</v>
      </c>
      <c r="H158" s="1129"/>
      <c r="I158" s="1130"/>
      <c r="J158" s="1648"/>
      <c r="K158" s="1070"/>
      <c r="L158" s="437"/>
      <c r="M158" s="742"/>
    </row>
    <row r="159" spans="1:17" ht="15.65" customHeight="1" x14ac:dyDescent="0.25">
      <c r="A159" s="18"/>
      <c r="B159" s="1064"/>
      <c r="C159" s="63"/>
      <c r="D159" s="1636" t="s">
        <v>219</v>
      </c>
      <c r="E159" s="1061" t="s">
        <v>262</v>
      </c>
      <c r="F159" s="1131" t="s">
        <v>341</v>
      </c>
      <c r="G159" s="1132">
        <v>18</v>
      </c>
      <c r="H159" s="1118">
        <v>42</v>
      </c>
      <c r="I159" s="1113">
        <f>+H159</f>
        <v>42</v>
      </c>
      <c r="J159" s="1680" t="s">
        <v>292</v>
      </c>
      <c r="K159" s="428">
        <v>15</v>
      </c>
      <c r="L159" s="435">
        <v>15</v>
      </c>
      <c r="M159" s="88">
        <v>15</v>
      </c>
    </row>
    <row r="160" spans="1:17" ht="26.15" customHeight="1" x14ac:dyDescent="0.25">
      <c r="A160" s="18"/>
      <c r="B160" s="1064"/>
      <c r="C160" s="63"/>
      <c r="D160" s="1638"/>
      <c r="E160" s="1061"/>
      <c r="F160" s="1133" t="s">
        <v>343</v>
      </c>
      <c r="G160" s="1128">
        <v>24</v>
      </c>
      <c r="H160" s="1129"/>
      <c r="I160" s="1130"/>
      <c r="J160" s="1701"/>
      <c r="K160" s="429"/>
      <c r="L160" s="435"/>
      <c r="M160" s="742"/>
    </row>
    <row r="161" spans="1:18" ht="26.15" customHeight="1" x14ac:dyDescent="0.25">
      <c r="A161" s="18"/>
      <c r="B161" s="1549"/>
      <c r="C161" s="1547"/>
      <c r="D161" s="1570" t="s">
        <v>366</v>
      </c>
      <c r="E161" s="1557" t="s">
        <v>276</v>
      </c>
      <c r="F161" s="1120"/>
      <c r="G161" s="1121"/>
      <c r="H161" s="1144"/>
      <c r="I161" s="1145"/>
      <c r="J161" s="1568" t="s">
        <v>371</v>
      </c>
      <c r="K161" s="1558">
        <v>5</v>
      </c>
      <c r="L161" s="1559"/>
      <c r="M161" s="88"/>
    </row>
    <row r="162" spans="1:18" ht="15.65" customHeight="1" thickBot="1" x14ac:dyDescent="0.3">
      <c r="A162" s="19"/>
      <c r="B162" s="91"/>
      <c r="C162" s="221"/>
      <c r="D162" s="239"/>
      <c r="E162" s="228"/>
      <c r="F162" s="168" t="s">
        <v>4</v>
      </c>
      <c r="G162" s="334">
        <f>+G138+G139+G140</f>
        <v>4039.9</v>
      </c>
      <c r="H162" s="131">
        <f>+H138+H139+H140</f>
        <v>4478</v>
      </c>
      <c r="I162" s="867">
        <f>+I138+I139+I140</f>
        <v>3902.8</v>
      </c>
      <c r="J162" s="401"/>
      <c r="K162" s="480"/>
      <c r="L162" s="345"/>
      <c r="M162" s="226"/>
    </row>
    <row r="163" spans="1:18" ht="16.399999999999999" customHeight="1" x14ac:dyDescent="0.25">
      <c r="A163" s="1702" t="s">
        <v>3</v>
      </c>
      <c r="B163" s="1703" t="s">
        <v>3</v>
      </c>
      <c r="C163" s="1705" t="s">
        <v>24</v>
      </c>
      <c r="D163" s="1706" t="s">
        <v>45</v>
      </c>
      <c r="E163" s="1708"/>
      <c r="F163" s="75" t="s">
        <v>22</v>
      </c>
      <c r="G163" s="338">
        <f>3335.9+8</f>
        <v>3343.9</v>
      </c>
      <c r="H163" s="340">
        <f>3435.3+64+28</f>
        <v>3527.3</v>
      </c>
      <c r="I163" s="132">
        <v>3601.8</v>
      </c>
      <c r="J163" s="1710"/>
      <c r="K163" s="1694"/>
      <c r="L163" s="1696"/>
      <c r="M163" s="1698"/>
      <c r="O163" s="1248" t="s">
        <v>22</v>
      </c>
      <c r="P163" s="1249">
        <f>+G165+G167+G168+G171+G172+G179+G180+G186</f>
        <v>3335.9</v>
      </c>
      <c r="Q163" s="1249">
        <f t="shared" ref="Q163:R163" si="12">+H165+H167+H168+H171+H172+H179+H180+H186</f>
        <v>3435.3</v>
      </c>
      <c r="R163" s="1249">
        <f t="shared" si="12"/>
        <v>3601.8</v>
      </c>
    </row>
    <row r="164" spans="1:18" ht="16.399999999999999" customHeight="1" x14ac:dyDescent="0.25">
      <c r="A164" s="1657"/>
      <c r="B164" s="1704"/>
      <c r="C164" s="1700"/>
      <c r="D164" s="1707"/>
      <c r="E164" s="1709"/>
      <c r="F164" s="869" t="s">
        <v>48</v>
      </c>
      <c r="G164" s="316">
        <v>160.9</v>
      </c>
      <c r="H164" s="322"/>
      <c r="I164" s="38"/>
      <c r="J164" s="1701"/>
      <c r="K164" s="1695"/>
      <c r="L164" s="1697"/>
      <c r="M164" s="1699"/>
      <c r="O164" s="1248" t="s">
        <v>48</v>
      </c>
      <c r="P164" s="1249">
        <f>+G166+G173</f>
        <v>160.9</v>
      </c>
      <c r="Q164" s="1249">
        <f t="shared" ref="Q164:R164" si="13">+H166+H173</f>
        <v>0</v>
      </c>
      <c r="R164" s="1249">
        <f t="shared" si="13"/>
        <v>0</v>
      </c>
    </row>
    <row r="165" spans="1:18" ht="15.75" customHeight="1" x14ac:dyDescent="0.25">
      <c r="A165" s="1657"/>
      <c r="B165" s="1658"/>
      <c r="C165" s="1700"/>
      <c r="D165" s="1637" t="s">
        <v>72</v>
      </c>
      <c r="E165" s="254" t="s">
        <v>178</v>
      </c>
      <c r="F165" s="1131" t="s">
        <v>341</v>
      </c>
      <c r="G165" s="1132">
        <v>2875.8</v>
      </c>
      <c r="H165" s="1118">
        <v>3131.1</v>
      </c>
      <c r="I165" s="1113">
        <v>3263.4</v>
      </c>
      <c r="J165" s="1021" t="s">
        <v>57</v>
      </c>
      <c r="K165" s="499">
        <v>18.899999999999999</v>
      </c>
      <c r="L165" s="504">
        <v>19.600000000000001</v>
      </c>
      <c r="M165" s="402">
        <v>20.3</v>
      </c>
      <c r="O165" s="1248"/>
      <c r="P165" s="1249">
        <f>+P163+P164</f>
        <v>3496.8</v>
      </c>
      <c r="Q165" s="1249">
        <f t="shared" ref="Q165:R165" si="14">+Q163+Q164</f>
        <v>3435.3</v>
      </c>
      <c r="R165" s="1249">
        <f t="shared" si="14"/>
        <v>3601.8</v>
      </c>
    </row>
    <row r="166" spans="1:18" ht="15.75" customHeight="1" x14ac:dyDescent="0.25">
      <c r="A166" s="1657"/>
      <c r="B166" s="1658"/>
      <c r="C166" s="1700"/>
      <c r="D166" s="1638"/>
      <c r="E166" s="1053" t="s">
        <v>262</v>
      </c>
      <c r="F166" s="1133" t="s">
        <v>343</v>
      </c>
      <c r="G166" s="1128">
        <v>129.30000000000001</v>
      </c>
      <c r="H166" s="1129"/>
      <c r="I166" s="1137"/>
      <c r="J166" s="396" t="s">
        <v>291</v>
      </c>
      <c r="K166" s="500">
        <v>8.6999999999999993</v>
      </c>
      <c r="L166" s="505">
        <v>9.3000000000000007</v>
      </c>
      <c r="M166" s="403">
        <v>9.5</v>
      </c>
      <c r="O166" s="1248"/>
      <c r="P166" s="1249">
        <f>+P165-G192</f>
        <v>-8</v>
      </c>
      <c r="Q166" s="1249">
        <f t="shared" ref="Q166:R166" si="15">+Q165-H192</f>
        <v>-92</v>
      </c>
      <c r="R166" s="1249">
        <f t="shared" si="15"/>
        <v>0</v>
      </c>
    </row>
    <row r="167" spans="1:18" ht="16.5" customHeight="1" x14ac:dyDescent="0.25">
      <c r="A167" s="1054"/>
      <c r="B167" s="1064"/>
      <c r="C167" s="1051"/>
      <c r="D167" s="1636" t="s">
        <v>104</v>
      </c>
      <c r="E167" s="254" t="s">
        <v>178</v>
      </c>
      <c r="F167" s="1120" t="s">
        <v>341</v>
      </c>
      <c r="G167" s="1132">
        <v>59.6</v>
      </c>
      <c r="H167" s="1118">
        <v>62.5</v>
      </c>
      <c r="I167" s="1113">
        <v>65.7</v>
      </c>
      <c r="J167" s="1020" t="s">
        <v>291</v>
      </c>
      <c r="K167" s="501">
        <v>0.8</v>
      </c>
      <c r="L167" s="506">
        <v>0.3</v>
      </c>
      <c r="M167" s="404">
        <v>0.3</v>
      </c>
    </row>
    <row r="168" spans="1:18" ht="26.25" customHeight="1" x14ac:dyDescent="0.25">
      <c r="A168" s="1054"/>
      <c r="B168" s="1064"/>
      <c r="C168" s="1051"/>
      <c r="D168" s="1637"/>
      <c r="E168" s="1061" t="s">
        <v>262</v>
      </c>
      <c r="F168" s="1120" t="s">
        <v>341</v>
      </c>
      <c r="G168" s="1121">
        <v>150.69999999999999</v>
      </c>
      <c r="H168" s="1122">
        <v>150.69999999999999</v>
      </c>
      <c r="I168" s="1123">
        <v>150.69999999999999</v>
      </c>
      <c r="J168" s="384" t="s">
        <v>141</v>
      </c>
      <c r="K168" s="495">
        <v>1461</v>
      </c>
      <c r="L168" s="507">
        <v>1461</v>
      </c>
      <c r="M168" s="100">
        <v>1461</v>
      </c>
    </row>
    <row r="169" spans="1:18" ht="41.5" customHeight="1" x14ac:dyDescent="0.25">
      <c r="A169" s="1054"/>
      <c r="B169" s="1058"/>
      <c r="C169" s="1051"/>
      <c r="D169" s="1637"/>
      <c r="E169" s="47"/>
      <c r="F169" s="1120"/>
      <c r="G169" s="1121"/>
      <c r="H169" s="1122"/>
      <c r="I169" s="1134"/>
      <c r="J169" s="1047" t="s">
        <v>142</v>
      </c>
      <c r="K169" s="500">
        <v>24</v>
      </c>
      <c r="L169" s="674">
        <v>24</v>
      </c>
      <c r="M169" s="1081">
        <v>24</v>
      </c>
    </row>
    <row r="170" spans="1:18" ht="28.4" customHeight="1" x14ac:dyDescent="0.25">
      <c r="A170" s="18"/>
      <c r="B170" s="1064"/>
      <c r="C170" s="63"/>
      <c r="D170" s="1048" t="s">
        <v>258</v>
      </c>
      <c r="E170" s="1060" t="s">
        <v>262</v>
      </c>
      <c r="F170" s="1131"/>
      <c r="G170" s="1132"/>
      <c r="H170" s="1118"/>
      <c r="I170" s="1113"/>
      <c r="J170" s="1049"/>
      <c r="K170" s="429"/>
      <c r="L170" s="434"/>
      <c r="M170" s="88"/>
    </row>
    <row r="171" spans="1:18" ht="15" customHeight="1" x14ac:dyDescent="0.25">
      <c r="A171" s="18"/>
      <c r="B171" s="1064"/>
      <c r="C171" s="63"/>
      <c r="D171" s="603" t="s">
        <v>270</v>
      </c>
      <c r="E171" s="1540" t="s">
        <v>178</v>
      </c>
      <c r="F171" s="1120" t="s">
        <v>341</v>
      </c>
      <c r="G171" s="1121">
        <v>176.5</v>
      </c>
      <c r="H171" s="1122"/>
      <c r="I171" s="1123"/>
      <c r="J171" s="384" t="s">
        <v>124</v>
      </c>
      <c r="K171" s="475">
        <v>100</v>
      </c>
      <c r="L171" s="518"/>
      <c r="M171" s="1083"/>
    </row>
    <row r="172" spans="1:18" ht="27" customHeight="1" x14ac:dyDescent="0.3">
      <c r="A172" s="18"/>
      <c r="B172" s="1064"/>
      <c r="C172" s="63"/>
      <c r="D172" s="603" t="s">
        <v>248</v>
      </c>
      <c r="E172" s="1089"/>
      <c r="F172" s="1120" t="s">
        <v>341</v>
      </c>
      <c r="G172" s="1121">
        <v>10.3</v>
      </c>
      <c r="H172" s="1122"/>
      <c r="I172" s="1123"/>
      <c r="J172" s="607" t="s">
        <v>128</v>
      </c>
      <c r="K172" s="433">
        <v>9</v>
      </c>
      <c r="L172" s="166"/>
      <c r="M172" s="260"/>
    </row>
    <row r="173" spans="1:18" ht="15.65" customHeight="1" x14ac:dyDescent="0.25">
      <c r="A173" s="18"/>
      <c r="B173" s="1064"/>
      <c r="C173" s="63"/>
      <c r="D173" s="603" t="s">
        <v>239</v>
      </c>
      <c r="E173" s="592"/>
      <c r="F173" s="1120" t="s">
        <v>343</v>
      </c>
      <c r="G173" s="1121">
        <v>31.6</v>
      </c>
      <c r="H173" s="1122"/>
      <c r="I173" s="1123"/>
      <c r="J173" s="1050"/>
      <c r="K173" s="317"/>
      <c r="L173" s="166"/>
      <c r="M173" s="604"/>
    </row>
    <row r="174" spans="1:18" ht="15" customHeight="1" x14ac:dyDescent="0.25">
      <c r="A174" s="18"/>
      <c r="B174" s="1064"/>
      <c r="C174" s="63"/>
      <c r="D174" s="603" t="s">
        <v>271</v>
      </c>
      <c r="E174" s="592"/>
      <c r="F174" s="1120"/>
      <c r="G174" s="1121"/>
      <c r="H174" s="1134"/>
      <c r="I174" s="1123"/>
      <c r="J174" s="1050"/>
      <c r="K174" s="317"/>
      <c r="L174" s="166"/>
      <c r="M174" s="604"/>
    </row>
    <row r="175" spans="1:18" ht="15" customHeight="1" x14ac:dyDescent="0.25">
      <c r="A175" s="18"/>
      <c r="B175" s="1064"/>
      <c r="C175" s="63"/>
      <c r="D175" s="603" t="s">
        <v>240</v>
      </c>
      <c r="E175" s="592"/>
      <c r="F175" s="1120"/>
      <c r="G175" s="1121"/>
      <c r="H175" s="1134"/>
      <c r="I175" s="1123"/>
      <c r="J175" s="1050"/>
      <c r="K175" s="317"/>
      <c r="L175" s="166"/>
      <c r="M175" s="604"/>
    </row>
    <row r="176" spans="1:18" ht="15" customHeight="1" x14ac:dyDescent="0.25">
      <c r="A176" s="18"/>
      <c r="B176" s="1064"/>
      <c r="C176" s="63"/>
      <c r="D176" s="603" t="s">
        <v>241</v>
      </c>
      <c r="E176" s="592"/>
      <c r="F176" s="1120"/>
      <c r="G176" s="1121"/>
      <c r="H176" s="1134"/>
      <c r="I176" s="1123"/>
      <c r="J176" s="1050"/>
      <c r="K176" s="317"/>
      <c r="L176" s="166"/>
      <c r="M176" s="604"/>
    </row>
    <row r="177" spans="1:13" ht="15" customHeight="1" x14ac:dyDescent="0.25">
      <c r="A177" s="18"/>
      <c r="B177" s="1064"/>
      <c r="C177" s="63"/>
      <c r="D177" s="995" t="s">
        <v>242</v>
      </c>
      <c r="E177" s="592"/>
      <c r="F177" s="1120"/>
      <c r="G177" s="1121"/>
      <c r="H177" s="1122"/>
      <c r="I177" s="1123"/>
      <c r="J177" s="1050"/>
      <c r="K177" s="317"/>
      <c r="L177" s="323"/>
      <c r="M177" s="604"/>
    </row>
    <row r="178" spans="1:13" ht="27.65" customHeight="1" x14ac:dyDescent="0.25">
      <c r="A178" s="18"/>
      <c r="B178" s="1064"/>
      <c r="C178" s="1051"/>
      <c r="D178" s="992" t="s">
        <v>329</v>
      </c>
      <c r="E178" s="592"/>
      <c r="F178" s="1140"/>
      <c r="G178" s="1141"/>
      <c r="H178" s="1129"/>
      <c r="I178" s="1123"/>
      <c r="J178" s="367"/>
      <c r="K178" s="446"/>
      <c r="L178" s="319"/>
      <c r="M178" s="604"/>
    </row>
    <row r="179" spans="1:13" ht="31.4" customHeight="1" x14ac:dyDescent="0.25">
      <c r="A179" s="18"/>
      <c r="B179" s="1064"/>
      <c r="C179" s="63"/>
      <c r="D179" s="60" t="s">
        <v>330</v>
      </c>
      <c r="E179" s="1254" t="s">
        <v>355</v>
      </c>
      <c r="F179" s="1142" t="s">
        <v>341</v>
      </c>
      <c r="G179" s="1143">
        <v>63</v>
      </c>
      <c r="H179" s="1144"/>
      <c r="I179" s="1145"/>
      <c r="J179" s="400" t="s">
        <v>124</v>
      </c>
      <c r="K179" s="432">
        <v>30</v>
      </c>
      <c r="L179" s="993">
        <v>100</v>
      </c>
      <c r="M179" s="994"/>
    </row>
    <row r="180" spans="1:13" ht="26.9" customHeight="1" x14ac:dyDescent="0.25">
      <c r="A180" s="18"/>
      <c r="B180" s="1064"/>
      <c r="C180" s="63"/>
      <c r="D180" s="601" t="s">
        <v>273</v>
      </c>
      <c r="E180" s="1539" t="s">
        <v>262</v>
      </c>
      <c r="F180" s="1120" t="s">
        <v>341</v>
      </c>
      <c r="G180" s="1132"/>
      <c r="H180" s="1134">
        <v>91</v>
      </c>
      <c r="I180" s="1113"/>
      <c r="J180" s="1049" t="s">
        <v>124</v>
      </c>
      <c r="K180" s="428"/>
      <c r="L180" s="609">
        <v>100</v>
      </c>
      <c r="M180" s="259"/>
    </row>
    <row r="181" spans="1:13" ht="15.65" customHeight="1" x14ac:dyDescent="0.25">
      <c r="A181" s="18"/>
      <c r="B181" s="1064"/>
      <c r="C181" s="63"/>
      <c r="D181" s="603" t="s">
        <v>249</v>
      </c>
      <c r="E181" s="1540" t="s">
        <v>178</v>
      </c>
      <c r="F181" s="1120"/>
      <c r="G181" s="1121"/>
      <c r="H181" s="1134"/>
      <c r="I181" s="1123"/>
      <c r="J181" s="1050"/>
      <c r="K181" s="317"/>
      <c r="L181" s="166"/>
      <c r="M181" s="604"/>
    </row>
    <row r="182" spans="1:13" ht="27" customHeight="1" x14ac:dyDescent="0.25">
      <c r="A182" s="18"/>
      <c r="B182" s="1064"/>
      <c r="C182" s="63"/>
      <c r="D182" s="603" t="s">
        <v>331</v>
      </c>
      <c r="E182" s="592"/>
      <c r="F182" s="1120"/>
      <c r="G182" s="1121"/>
      <c r="H182" s="1134"/>
      <c r="I182" s="1123"/>
      <c r="J182" s="1050"/>
      <c r="K182" s="317"/>
      <c r="L182" s="166"/>
      <c r="M182" s="604"/>
    </row>
    <row r="183" spans="1:13" ht="14.15" customHeight="1" x14ac:dyDescent="0.25">
      <c r="A183" s="18"/>
      <c r="B183" s="1064"/>
      <c r="C183" s="63"/>
      <c r="D183" s="603" t="s">
        <v>238</v>
      </c>
      <c r="E183" s="592"/>
      <c r="F183" s="1120"/>
      <c r="G183" s="1121"/>
      <c r="H183" s="1134"/>
      <c r="I183" s="1123"/>
      <c r="J183" s="1050"/>
      <c r="K183" s="317"/>
      <c r="L183" s="166"/>
      <c r="M183" s="604"/>
    </row>
    <row r="184" spans="1:13" ht="26.9" customHeight="1" x14ac:dyDescent="0.25">
      <c r="A184" s="18"/>
      <c r="B184" s="1064"/>
      <c r="C184" s="63"/>
      <c r="D184" s="603" t="s">
        <v>332</v>
      </c>
      <c r="E184" s="592"/>
      <c r="F184" s="1120"/>
      <c r="G184" s="1121"/>
      <c r="H184" s="1134"/>
      <c r="I184" s="1123"/>
      <c r="J184" s="1050"/>
      <c r="K184" s="317"/>
      <c r="L184" s="166"/>
      <c r="M184" s="604"/>
    </row>
    <row r="185" spans="1:13" ht="15.65" customHeight="1" x14ac:dyDescent="0.25">
      <c r="A185" s="18"/>
      <c r="B185" s="1064"/>
      <c r="C185" s="63"/>
      <c r="D185" s="603" t="s">
        <v>247</v>
      </c>
      <c r="E185" s="592"/>
      <c r="F185" s="1120"/>
      <c r="G185" s="1121"/>
      <c r="H185" s="1129"/>
      <c r="I185" s="1123"/>
      <c r="J185" s="1050"/>
      <c r="K185" s="317"/>
      <c r="L185" s="166"/>
      <c r="M185" s="604"/>
    </row>
    <row r="186" spans="1:13" ht="27.65" customHeight="1" x14ac:dyDescent="0.25">
      <c r="A186" s="18"/>
      <c r="B186" s="1064"/>
      <c r="C186" s="63"/>
      <c r="D186" s="601" t="s">
        <v>244</v>
      </c>
      <c r="E186" s="1063"/>
      <c r="F186" s="1131" t="s">
        <v>341</v>
      </c>
      <c r="G186" s="1132"/>
      <c r="H186" s="1134"/>
      <c r="I186" s="1113">
        <v>122</v>
      </c>
      <c r="J186" s="1049"/>
      <c r="K186" s="513"/>
      <c r="L186" s="520"/>
      <c r="M186" s="259">
        <v>100</v>
      </c>
    </row>
    <row r="187" spans="1:13" ht="31.4" customHeight="1" x14ac:dyDescent="0.25">
      <c r="A187" s="18"/>
      <c r="B187" s="1064"/>
      <c r="C187" s="63"/>
      <c r="D187" s="1044" t="s">
        <v>245</v>
      </c>
      <c r="E187" s="592"/>
      <c r="F187" s="1120"/>
      <c r="G187" s="1121"/>
      <c r="H187" s="1134"/>
      <c r="I187" s="1123"/>
      <c r="J187" s="1050"/>
      <c r="K187" s="317"/>
      <c r="L187" s="166"/>
      <c r="M187" s="604"/>
    </row>
    <row r="188" spans="1:13" ht="28.5" customHeight="1" x14ac:dyDescent="0.25">
      <c r="A188" s="18"/>
      <c r="B188" s="1064"/>
      <c r="C188" s="63"/>
      <c r="D188" s="603" t="s">
        <v>246</v>
      </c>
      <c r="E188" s="592"/>
      <c r="F188" s="1120"/>
      <c r="G188" s="1121"/>
      <c r="H188" s="1134"/>
      <c r="I188" s="1123"/>
      <c r="J188" s="1050"/>
      <c r="K188" s="317"/>
      <c r="L188" s="166"/>
      <c r="M188" s="604"/>
    </row>
    <row r="189" spans="1:13" ht="27.65" customHeight="1" x14ac:dyDescent="0.25">
      <c r="A189" s="18"/>
      <c r="B189" s="1064"/>
      <c r="C189" s="63"/>
      <c r="D189" s="603" t="s">
        <v>333</v>
      </c>
      <c r="E189" s="592"/>
      <c r="F189" s="1120"/>
      <c r="G189" s="1121"/>
      <c r="H189" s="1134"/>
      <c r="I189" s="1123"/>
      <c r="J189" s="1050"/>
      <c r="K189" s="317"/>
      <c r="L189" s="166"/>
      <c r="M189" s="604"/>
    </row>
    <row r="190" spans="1:13" ht="27" customHeight="1" x14ac:dyDescent="0.25">
      <c r="A190" s="18"/>
      <c r="B190" s="1064"/>
      <c r="C190" s="63"/>
      <c r="D190" s="603" t="s">
        <v>334</v>
      </c>
      <c r="E190" s="592"/>
      <c r="F190" s="1120"/>
      <c r="G190" s="1121"/>
      <c r="H190" s="1134"/>
      <c r="I190" s="1123"/>
      <c r="J190" s="1050"/>
      <c r="K190" s="317"/>
      <c r="L190" s="323"/>
      <c r="M190" s="604"/>
    </row>
    <row r="191" spans="1:13" ht="15" customHeight="1" x14ac:dyDescent="0.25">
      <c r="A191" s="18"/>
      <c r="B191" s="1064"/>
      <c r="C191" s="63"/>
      <c r="D191" s="1029" t="s">
        <v>272</v>
      </c>
      <c r="E191" s="820"/>
      <c r="F191" s="1146"/>
      <c r="G191" s="1128"/>
      <c r="H191" s="1134"/>
      <c r="I191" s="1130"/>
      <c r="J191" s="367"/>
      <c r="K191" s="446"/>
      <c r="L191" s="454"/>
      <c r="M191" s="605"/>
    </row>
    <row r="192" spans="1:13" ht="15" customHeight="1" thickBot="1" x14ac:dyDescent="0.3">
      <c r="A192" s="19"/>
      <c r="B192" s="91"/>
      <c r="C192" s="62"/>
      <c r="D192" s="224"/>
      <c r="E192" s="228"/>
      <c r="F192" s="139" t="s">
        <v>4</v>
      </c>
      <c r="G192" s="334">
        <f>+G163+G164</f>
        <v>3504.8</v>
      </c>
      <c r="H192" s="341">
        <f t="shared" ref="H192:I192" si="16">+H163+H164</f>
        <v>3527.3</v>
      </c>
      <c r="I192" s="1136">
        <f t="shared" si="16"/>
        <v>3601.8</v>
      </c>
      <c r="J192" s="401"/>
      <c r="K192" s="480"/>
      <c r="L192" s="510"/>
      <c r="M192" s="226"/>
    </row>
    <row r="193" spans="1:18" ht="15" customHeight="1" thickBot="1" x14ac:dyDescent="0.3">
      <c r="A193" s="20" t="s">
        <v>3</v>
      </c>
      <c r="B193" s="30" t="s">
        <v>3</v>
      </c>
      <c r="C193" s="1672" t="s">
        <v>6</v>
      </c>
      <c r="D193" s="1673"/>
      <c r="E193" s="1673"/>
      <c r="F193" s="1673"/>
      <c r="G193" s="339">
        <f>G192+G162+G137</f>
        <v>15432.3</v>
      </c>
      <c r="H193" s="300">
        <f>H192+H162+H137</f>
        <v>17632.099999999999</v>
      </c>
      <c r="I193" s="346">
        <f>I192+I162+I137</f>
        <v>18966.599999999999</v>
      </c>
      <c r="J193" s="1675"/>
      <c r="K193" s="1676"/>
      <c r="L193" s="1676"/>
      <c r="M193" s="1677"/>
    </row>
    <row r="194" spans="1:18" ht="15" customHeight="1" thickBot="1" x14ac:dyDescent="0.3">
      <c r="A194" s="20" t="s">
        <v>3</v>
      </c>
      <c r="B194" s="30" t="s">
        <v>5</v>
      </c>
      <c r="C194" s="1691" t="s">
        <v>39</v>
      </c>
      <c r="D194" s="1692"/>
      <c r="E194" s="1692"/>
      <c r="F194" s="1692"/>
      <c r="G194" s="1692"/>
      <c r="H194" s="1692"/>
      <c r="I194" s="1692"/>
      <c r="J194" s="1692"/>
      <c r="K194" s="1692"/>
      <c r="L194" s="1692"/>
      <c r="M194" s="1693"/>
    </row>
    <row r="195" spans="1:18" ht="16.5" customHeight="1" x14ac:dyDescent="0.25">
      <c r="A195" s="32" t="s">
        <v>3</v>
      </c>
      <c r="B195" s="41" t="s">
        <v>5</v>
      </c>
      <c r="C195" s="66" t="s">
        <v>3</v>
      </c>
      <c r="D195" s="1591" t="s">
        <v>60</v>
      </c>
      <c r="E195" s="1088"/>
      <c r="F195" s="29" t="s">
        <v>22</v>
      </c>
      <c r="G195" s="1147">
        <f>389.9+17</f>
        <v>406.9</v>
      </c>
      <c r="H195" s="1148">
        <f>445.7+80</f>
        <v>525.70000000000005</v>
      </c>
      <c r="I195" s="1149">
        <v>434.5</v>
      </c>
      <c r="J195" s="1097"/>
      <c r="K195" s="1098"/>
      <c r="L195" s="1099"/>
      <c r="M195" s="1100"/>
      <c r="O195" s="1248" t="s">
        <v>22</v>
      </c>
      <c r="P195" s="1249">
        <f>+G197+G198+G199+G200+G203+G205+G209+G212</f>
        <v>389.9</v>
      </c>
      <c r="Q195" s="1249">
        <f t="shared" ref="Q195:R195" si="17">+H197+H198+H199+H200+H203+H205+H209+H212</f>
        <v>445.7</v>
      </c>
      <c r="R195" s="1249">
        <f t="shared" si="17"/>
        <v>434.5</v>
      </c>
    </row>
    <row r="196" spans="1:18" ht="18.649999999999999" customHeight="1" x14ac:dyDescent="0.25">
      <c r="A196" s="33"/>
      <c r="B196" s="52"/>
      <c r="C196" s="63"/>
      <c r="D196" s="1593"/>
      <c r="E196" s="1096"/>
      <c r="F196" s="17" t="s">
        <v>48</v>
      </c>
      <c r="G196" s="763">
        <f>397.2-80</f>
        <v>317.2</v>
      </c>
      <c r="H196" s="764"/>
      <c r="I196" s="1150"/>
      <c r="J196" s="1101"/>
      <c r="K196" s="1102"/>
      <c r="L196" s="1103"/>
      <c r="M196" s="1104"/>
      <c r="O196" s="1248" t="s">
        <v>48</v>
      </c>
      <c r="P196" s="1249">
        <f>+G201+G202+G204+G206+G207+G210+G211</f>
        <v>397.2</v>
      </c>
      <c r="Q196" s="1249">
        <f t="shared" ref="Q196:R196" si="18">+H201+H202+H204+H206+H207+H210+H211</f>
        <v>0</v>
      </c>
      <c r="R196" s="1249">
        <f t="shared" si="18"/>
        <v>0</v>
      </c>
    </row>
    <row r="197" spans="1:18" ht="26.25" customHeight="1" x14ac:dyDescent="0.25">
      <c r="A197" s="33"/>
      <c r="B197" s="52"/>
      <c r="C197" s="63"/>
      <c r="D197" s="1586" t="s">
        <v>43</v>
      </c>
      <c r="E197" s="1095" t="s">
        <v>262</v>
      </c>
      <c r="F197" s="1151" t="s">
        <v>341</v>
      </c>
      <c r="G197" s="1132">
        <v>10.199999999999999</v>
      </c>
      <c r="H197" s="1118">
        <v>45.5</v>
      </c>
      <c r="I197" s="1113">
        <v>45.5</v>
      </c>
      <c r="J197" s="1049" t="s">
        <v>82</v>
      </c>
      <c r="K197" s="502">
        <v>310</v>
      </c>
      <c r="L197" s="517">
        <v>310</v>
      </c>
      <c r="M197" s="405">
        <v>310</v>
      </c>
      <c r="N197" s="811"/>
      <c r="O197" s="1250"/>
      <c r="P197" s="1251">
        <f>+P195+P196</f>
        <v>787.1</v>
      </c>
      <c r="Q197" s="1251">
        <f t="shared" ref="Q197:R197" si="19">+Q195+Q196</f>
        <v>445.7</v>
      </c>
      <c r="R197" s="1251">
        <f t="shared" si="19"/>
        <v>434.5</v>
      </c>
    </row>
    <row r="198" spans="1:18" ht="26.25" customHeight="1" x14ac:dyDescent="0.25">
      <c r="A198" s="33"/>
      <c r="B198" s="52"/>
      <c r="C198" s="63"/>
      <c r="D198" s="1586"/>
      <c r="E198" s="1063"/>
      <c r="F198" s="1126" t="s">
        <v>341</v>
      </c>
      <c r="G198" s="1121">
        <v>7.4</v>
      </c>
      <c r="H198" s="1122">
        <v>29.3</v>
      </c>
      <c r="I198" s="1123">
        <v>29.3</v>
      </c>
      <c r="J198" s="1047" t="s">
        <v>83</v>
      </c>
      <c r="K198" s="512">
        <v>290</v>
      </c>
      <c r="L198" s="518">
        <v>290</v>
      </c>
      <c r="M198" s="407">
        <v>290</v>
      </c>
      <c r="O198" s="1248"/>
      <c r="P198" s="1249">
        <f>+P197-G216</f>
        <v>63</v>
      </c>
      <c r="Q198" s="1249">
        <f t="shared" ref="Q198:R198" si="20">+Q197-H216</f>
        <v>-80</v>
      </c>
      <c r="R198" s="1249">
        <f t="shared" si="20"/>
        <v>0</v>
      </c>
    </row>
    <row r="199" spans="1:18" ht="31.4" customHeight="1" x14ac:dyDescent="0.25">
      <c r="A199" s="33"/>
      <c r="B199" s="52"/>
      <c r="C199" s="1051"/>
      <c r="D199" s="1656"/>
      <c r="E199" s="820"/>
      <c r="F199" s="1127" t="s">
        <v>341</v>
      </c>
      <c r="G199" s="1128">
        <v>13.2</v>
      </c>
      <c r="H199" s="1129">
        <v>26.1</v>
      </c>
      <c r="I199" s="1130">
        <v>26.1</v>
      </c>
      <c r="J199" s="396" t="s">
        <v>62</v>
      </c>
      <c r="K199" s="503">
        <v>27</v>
      </c>
      <c r="L199" s="519">
        <v>27</v>
      </c>
      <c r="M199" s="406">
        <v>27</v>
      </c>
    </row>
    <row r="200" spans="1:18" ht="14.25" customHeight="1" x14ac:dyDescent="0.25">
      <c r="A200" s="33"/>
      <c r="B200" s="52"/>
      <c r="C200" s="63"/>
      <c r="D200" s="1655" t="s">
        <v>180</v>
      </c>
      <c r="E200" s="242" t="s">
        <v>178</v>
      </c>
      <c r="F200" s="1151" t="s">
        <v>341</v>
      </c>
      <c r="G200" s="1132">
        <v>223.1</v>
      </c>
      <c r="H200" s="1118">
        <v>224.6</v>
      </c>
      <c r="I200" s="1113">
        <v>224.6</v>
      </c>
      <c r="J200" s="1689" t="s">
        <v>75</v>
      </c>
      <c r="K200" s="513">
        <v>18</v>
      </c>
      <c r="L200" s="520">
        <v>18</v>
      </c>
      <c r="M200" s="410">
        <v>18</v>
      </c>
    </row>
    <row r="201" spans="1:18" ht="14.9" customHeight="1" x14ac:dyDescent="0.25">
      <c r="A201" s="33"/>
      <c r="B201" s="52"/>
      <c r="C201" s="63"/>
      <c r="D201" s="1686"/>
      <c r="E201" s="242" t="s">
        <v>262</v>
      </c>
      <c r="F201" s="1126" t="s">
        <v>343</v>
      </c>
      <c r="G201" s="1121">
        <v>2</v>
      </c>
      <c r="H201" s="1122"/>
      <c r="I201" s="1123"/>
      <c r="J201" s="1690"/>
      <c r="K201" s="514"/>
      <c r="L201" s="521"/>
      <c r="M201" s="409"/>
    </row>
    <row r="202" spans="1:18" ht="15" customHeight="1" x14ac:dyDescent="0.25">
      <c r="A202" s="33"/>
      <c r="B202" s="52"/>
      <c r="C202" s="63"/>
      <c r="D202" s="1686"/>
      <c r="E202" s="1063"/>
      <c r="F202" s="1126" t="s">
        <v>343</v>
      </c>
      <c r="G202" s="1121">
        <v>175.6</v>
      </c>
      <c r="H202" s="1122"/>
      <c r="I202" s="1123"/>
      <c r="J202" s="1662" t="s">
        <v>126</v>
      </c>
      <c r="K202" s="515">
        <v>95</v>
      </c>
      <c r="L202" s="522">
        <v>100</v>
      </c>
      <c r="M202" s="408"/>
    </row>
    <row r="203" spans="1:18" ht="15" customHeight="1" x14ac:dyDescent="0.25">
      <c r="A203" s="33"/>
      <c r="B203" s="52"/>
      <c r="C203" s="63"/>
      <c r="D203" s="1686"/>
      <c r="E203" s="1063"/>
      <c r="F203" s="1126" t="s">
        <v>341</v>
      </c>
      <c r="G203" s="1121"/>
      <c r="H203" s="1122">
        <v>11.2</v>
      </c>
      <c r="I203" s="1123"/>
      <c r="J203" s="1663"/>
      <c r="K203" s="514"/>
      <c r="L203" s="521"/>
      <c r="M203" s="409"/>
    </row>
    <row r="204" spans="1:18" ht="17.5" customHeight="1" x14ac:dyDescent="0.25">
      <c r="A204" s="33"/>
      <c r="B204" s="52"/>
      <c r="C204" s="63"/>
      <c r="D204" s="1686"/>
      <c r="E204" s="1063"/>
      <c r="F204" s="1126" t="s">
        <v>343</v>
      </c>
      <c r="G204" s="1121">
        <v>18.600000000000001</v>
      </c>
      <c r="H204" s="1122"/>
      <c r="I204" s="1123"/>
      <c r="J204" s="1047" t="s">
        <v>373</v>
      </c>
      <c r="K204" s="512">
        <v>41</v>
      </c>
      <c r="L204" s="518"/>
      <c r="M204" s="407"/>
    </row>
    <row r="205" spans="1:18" ht="15.65" customHeight="1" x14ac:dyDescent="0.25">
      <c r="A205" s="33"/>
      <c r="B205" s="52"/>
      <c r="C205" s="63"/>
      <c r="D205" s="1046"/>
      <c r="E205" s="1063"/>
      <c r="F205" s="1126" t="s">
        <v>341</v>
      </c>
      <c r="G205" s="1121">
        <v>109</v>
      </c>
      <c r="H205" s="1122">
        <v>109</v>
      </c>
      <c r="I205" s="1123">
        <v>109</v>
      </c>
      <c r="J205" s="1662" t="s">
        <v>125</v>
      </c>
      <c r="K205" s="515">
        <v>9.1999999999999993</v>
      </c>
      <c r="L205" s="522">
        <v>6.2</v>
      </c>
      <c r="M205" s="408">
        <v>6.2</v>
      </c>
    </row>
    <row r="206" spans="1:18" ht="15.65" customHeight="1" x14ac:dyDescent="0.25">
      <c r="A206" s="33"/>
      <c r="B206" s="52"/>
      <c r="C206" s="63"/>
      <c r="D206" s="1046"/>
      <c r="E206" s="1063"/>
      <c r="F206" s="1126" t="s">
        <v>343</v>
      </c>
      <c r="G206" s="1121">
        <v>50</v>
      </c>
      <c r="H206" s="1122"/>
      <c r="I206" s="1123"/>
      <c r="J206" s="1663"/>
      <c r="K206" s="514"/>
      <c r="L206" s="521"/>
      <c r="M206" s="996"/>
    </row>
    <row r="207" spans="1:18" ht="29.15" customHeight="1" x14ac:dyDescent="0.25">
      <c r="A207" s="33"/>
      <c r="B207" s="52"/>
      <c r="C207" s="63"/>
      <c r="D207" s="1046"/>
      <c r="E207" s="1063"/>
      <c r="F207" s="1126" t="s">
        <v>343</v>
      </c>
      <c r="G207" s="1121">
        <v>109.1</v>
      </c>
      <c r="H207" s="1122"/>
      <c r="I207" s="1123"/>
      <c r="J207" s="384" t="s">
        <v>301</v>
      </c>
      <c r="K207" s="512">
        <v>1</v>
      </c>
      <c r="L207" s="518"/>
      <c r="M207" s="407"/>
    </row>
    <row r="208" spans="1:18" ht="27.65" customHeight="1" x14ac:dyDescent="0.25">
      <c r="A208" s="33"/>
      <c r="B208" s="52"/>
      <c r="C208" s="63"/>
      <c r="D208" s="1046"/>
      <c r="E208" s="1063"/>
      <c r="F208" s="1126"/>
      <c r="G208" s="1121"/>
      <c r="H208" s="1122"/>
      <c r="I208" s="1123"/>
      <c r="J208" s="384" t="s">
        <v>302</v>
      </c>
      <c r="K208" s="512"/>
      <c r="L208" s="518">
        <v>100</v>
      </c>
      <c r="M208" s="407"/>
    </row>
    <row r="209" spans="1:18" ht="29.9" customHeight="1" x14ac:dyDescent="0.25">
      <c r="A209" s="33"/>
      <c r="B209" s="52"/>
      <c r="C209" s="63"/>
      <c r="D209" s="1046"/>
      <c r="E209" s="1063"/>
      <c r="F209" s="1126" t="s">
        <v>341</v>
      </c>
      <c r="G209" s="1121">
        <v>18</v>
      </c>
      <c r="H209" s="1122"/>
      <c r="I209" s="1123"/>
      <c r="J209" s="384" t="s">
        <v>274</v>
      </c>
      <c r="K209" s="512">
        <v>1</v>
      </c>
      <c r="L209" s="518"/>
      <c r="M209" s="407"/>
    </row>
    <row r="210" spans="1:18" ht="27.65" customHeight="1" x14ac:dyDescent="0.25">
      <c r="A210" s="33"/>
      <c r="B210" s="52"/>
      <c r="C210" s="63"/>
      <c r="D210" s="1046"/>
      <c r="E210" s="1063"/>
      <c r="F210" s="1126" t="s">
        <v>343</v>
      </c>
      <c r="G210" s="1121">
        <v>38.6</v>
      </c>
      <c r="H210" s="1122"/>
      <c r="I210" s="1123"/>
      <c r="J210" s="1047" t="s">
        <v>190</v>
      </c>
      <c r="K210" s="512">
        <v>105</v>
      </c>
      <c r="L210" s="522"/>
      <c r="M210" s="408"/>
    </row>
    <row r="211" spans="1:18" ht="26.9" customHeight="1" x14ac:dyDescent="0.25">
      <c r="A211" s="33"/>
      <c r="B211" s="52"/>
      <c r="C211" s="63"/>
      <c r="D211" s="1046"/>
      <c r="E211" s="1063"/>
      <c r="F211" s="1126" t="s">
        <v>343</v>
      </c>
      <c r="G211" s="1121">
        <v>3.3</v>
      </c>
      <c r="H211" s="1122"/>
      <c r="I211" s="1123"/>
      <c r="J211" s="620" t="s">
        <v>260</v>
      </c>
      <c r="K211" s="512">
        <v>100</v>
      </c>
      <c r="L211" s="522"/>
      <c r="M211" s="408"/>
    </row>
    <row r="212" spans="1:18" ht="30" customHeight="1" x14ac:dyDescent="0.25">
      <c r="A212" s="33"/>
      <c r="B212" s="52"/>
      <c r="C212" s="63"/>
      <c r="D212" s="1046"/>
      <c r="E212" s="820"/>
      <c r="F212" s="1127" t="s">
        <v>341</v>
      </c>
      <c r="G212" s="1128">
        <v>9</v>
      </c>
      <c r="H212" s="1129"/>
      <c r="I212" s="1152"/>
      <c r="J212" s="610" t="s">
        <v>252</v>
      </c>
      <c r="K212" s="317">
        <v>100</v>
      </c>
      <c r="L212" s="519"/>
      <c r="M212" s="258"/>
    </row>
    <row r="213" spans="1:18" ht="15" customHeight="1" x14ac:dyDescent="0.25">
      <c r="A213" s="33"/>
      <c r="B213" s="52"/>
      <c r="C213" s="63"/>
      <c r="D213" s="939" t="s">
        <v>253</v>
      </c>
      <c r="E213" s="242" t="s">
        <v>178</v>
      </c>
      <c r="F213" s="1153"/>
      <c r="G213" s="1154"/>
      <c r="H213" s="1118"/>
      <c r="I213" s="1113"/>
      <c r="J213" s="1049" t="s">
        <v>254</v>
      </c>
      <c r="K213" s="943"/>
      <c r="L213" s="517">
        <v>1</v>
      </c>
      <c r="M213" s="236"/>
    </row>
    <row r="214" spans="1:18" ht="15" customHeight="1" x14ac:dyDescent="0.25">
      <c r="A214" s="33"/>
      <c r="B214" s="52"/>
      <c r="C214" s="63"/>
      <c r="D214" s="944"/>
      <c r="E214" s="242" t="s">
        <v>262</v>
      </c>
      <c r="F214" s="1155"/>
      <c r="G214" s="1154"/>
      <c r="H214" s="1122"/>
      <c r="I214" s="1152"/>
      <c r="J214" s="1047" t="s">
        <v>297</v>
      </c>
      <c r="K214" s="946"/>
      <c r="L214" s="522"/>
      <c r="M214" s="600">
        <v>1</v>
      </c>
    </row>
    <row r="215" spans="1:18" ht="15" customHeight="1" x14ac:dyDescent="0.25">
      <c r="A215" s="33"/>
      <c r="B215" s="52"/>
      <c r="C215" s="63"/>
      <c r="D215" s="947"/>
      <c r="E215" s="242" t="s">
        <v>42</v>
      </c>
      <c r="F215" s="1155"/>
      <c r="G215" s="1154"/>
      <c r="H215" s="1122"/>
      <c r="I215" s="1152"/>
      <c r="J215" s="719"/>
      <c r="K215" s="446"/>
      <c r="L215" s="454"/>
      <c r="M215" s="605"/>
    </row>
    <row r="216" spans="1:18" ht="16.399999999999999" customHeight="1" thickBot="1" x14ac:dyDescent="0.3">
      <c r="A216" s="19"/>
      <c r="B216" s="91"/>
      <c r="C216" s="62"/>
      <c r="D216" s="224"/>
      <c r="E216" s="228"/>
      <c r="F216" s="168" t="s">
        <v>4</v>
      </c>
      <c r="G216" s="299">
        <f>+G195+G196</f>
        <v>724.1</v>
      </c>
      <c r="H216" s="341">
        <f>+H195+H196</f>
        <v>525.70000000000005</v>
      </c>
      <c r="I216" s="336">
        <f>+I195+I196</f>
        <v>434.5</v>
      </c>
      <c r="J216" s="401"/>
      <c r="K216" s="510"/>
      <c r="L216" s="345"/>
      <c r="M216" s="226"/>
    </row>
    <row r="217" spans="1:18" ht="15" customHeight="1" thickBot="1" x14ac:dyDescent="0.3">
      <c r="A217" s="21" t="s">
        <v>3</v>
      </c>
      <c r="B217" s="4" t="s">
        <v>5</v>
      </c>
      <c r="C217" s="1673" t="s">
        <v>6</v>
      </c>
      <c r="D217" s="1673"/>
      <c r="E217" s="1673"/>
      <c r="F217" s="1673"/>
      <c r="G217" s="261">
        <f t="shared" ref="G217:I217" si="21">G216</f>
        <v>724.1</v>
      </c>
      <c r="H217" s="350">
        <f t="shared" si="21"/>
        <v>525.70000000000005</v>
      </c>
      <c r="I217" s="346">
        <f t="shared" si="21"/>
        <v>434.5</v>
      </c>
      <c r="J217" s="1675"/>
      <c r="K217" s="1676"/>
      <c r="L217" s="1676"/>
      <c r="M217" s="1677"/>
    </row>
    <row r="218" spans="1:18" ht="15" customHeight="1" thickBot="1" x14ac:dyDescent="0.3">
      <c r="A218" s="20" t="s">
        <v>3</v>
      </c>
      <c r="B218" s="4" t="s">
        <v>24</v>
      </c>
      <c r="C218" s="1587" t="s">
        <v>87</v>
      </c>
      <c r="D218" s="1684"/>
      <c r="E218" s="1684"/>
      <c r="F218" s="1684"/>
      <c r="G218" s="1684"/>
      <c r="H218" s="1684"/>
      <c r="I218" s="1684"/>
      <c r="J218" s="1684"/>
      <c r="K218" s="1684"/>
      <c r="L218" s="1684"/>
      <c r="M218" s="1685"/>
    </row>
    <row r="219" spans="1:18" ht="15.65" customHeight="1" x14ac:dyDescent="0.25">
      <c r="A219" s="55" t="s">
        <v>3</v>
      </c>
      <c r="B219" s="53" t="s">
        <v>24</v>
      </c>
      <c r="C219" s="1059" t="s">
        <v>3</v>
      </c>
      <c r="D219" s="1687" t="s">
        <v>165</v>
      </c>
      <c r="E219" s="1107"/>
      <c r="F219" s="75" t="s">
        <v>22</v>
      </c>
      <c r="G219" s="1156">
        <f>1430+66-100</f>
        <v>1396</v>
      </c>
      <c r="H219" s="1157">
        <f>1635+94+100</f>
        <v>1829</v>
      </c>
      <c r="I219" s="1158">
        <f>1640+98</f>
        <v>1738</v>
      </c>
      <c r="J219" s="1108"/>
      <c r="K219" s="338"/>
      <c r="L219" s="340"/>
      <c r="M219" s="1109"/>
      <c r="O219" s="1248" t="s">
        <v>22</v>
      </c>
      <c r="P219" s="1249">
        <f>+G226+G236+G239+G240+G241+G242+G243+G244</f>
        <v>1430</v>
      </c>
      <c r="Q219" s="1249">
        <f>+H226+H236+H239+H240+H241+H242+H243+H244</f>
        <v>1635</v>
      </c>
      <c r="R219" s="1249">
        <f>+I226+I236+I239+I240+I241+I242+I243+I244</f>
        <v>1640</v>
      </c>
    </row>
    <row r="220" spans="1:18" ht="15.65" customHeight="1" x14ac:dyDescent="0.25">
      <c r="A220" s="55"/>
      <c r="B220" s="53"/>
      <c r="C220" s="1059"/>
      <c r="D220" s="1688"/>
      <c r="E220" s="1107"/>
      <c r="F220" s="196" t="s">
        <v>317</v>
      </c>
      <c r="G220" s="1159">
        <f>200-100</f>
        <v>100</v>
      </c>
      <c r="H220" s="1160"/>
      <c r="I220" s="1158"/>
      <c r="J220" s="1050"/>
      <c r="K220" s="871"/>
      <c r="L220" s="321"/>
      <c r="M220" s="310"/>
      <c r="O220" s="1248" t="s">
        <v>317</v>
      </c>
      <c r="P220" s="1249">
        <f>+G228</f>
        <v>200</v>
      </c>
      <c r="Q220" s="1249">
        <f t="shared" ref="Q220:R220" si="22">+H228</f>
        <v>0</v>
      </c>
      <c r="R220" s="1249">
        <f t="shared" si="22"/>
        <v>0</v>
      </c>
    </row>
    <row r="221" spans="1:18" ht="15.65" customHeight="1" x14ac:dyDescent="0.25">
      <c r="A221" s="55"/>
      <c r="B221" s="53"/>
      <c r="C221" s="1059"/>
      <c r="D221" s="1688"/>
      <c r="E221" s="1107"/>
      <c r="F221" s="46" t="s">
        <v>133</v>
      </c>
      <c r="G221" s="1159">
        <v>1004.3</v>
      </c>
      <c r="H221" s="1160"/>
      <c r="I221" s="1158"/>
      <c r="J221" s="1050"/>
      <c r="K221" s="871"/>
      <c r="L221" s="321"/>
      <c r="M221" s="310"/>
      <c r="O221" s="1248" t="s">
        <v>133</v>
      </c>
      <c r="P221" s="1249">
        <f>+G233</f>
        <v>1004.3</v>
      </c>
      <c r="Q221" s="1249">
        <f t="shared" ref="Q221:R221" si="23">+H233</f>
        <v>0</v>
      </c>
      <c r="R221" s="1249">
        <f t="shared" si="23"/>
        <v>0</v>
      </c>
    </row>
    <row r="222" spans="1:18" ht="15.65" customHeight="1" x14ac:dyDescent="0.25">
      <c r="A222" s="55"/>
      <c r="B222" s="53"/>
      <c r="C222" s="1059"/>
      <c r="D222" s="1106"/>
      <c r="E222" s="1107"/>
      <c r="F222" s="46" t="s">
        <v>132</v>
      </c>
      <c r="G222" s="1159">
        <v>88.6</v>
      </c>
      <c r="H222" s="1160"/>
      <c r="I222" s="1158"/>
      <c r="J222" s="1050"/>
      <c r="K222" s="871"/>
      <c r="L222" s="321"/>
      <c r="M222" s="310"/>
      <c r="O222" s="1248" t="s">
        <v>132</v>
      </c>
      <c r="P222" s="1249">
        <f>+G232</f>
        <v>88.6</v>
      </c>
      <c r="Q222" s="1249">
        <f t="shared" ref="Q222:R222" si="24">+H232</f>
        <v>0</v>
      </c>
      <c r="R222" s="1249">
        <f t="shared" si="24"/>
        <v>0</v>
      </c>
    </row>
    <row r="223" spans="1:18" ht="15.65" customHeight="1" x14ac:dyDescent="0.25">
      <c r="A223" s="55"/>
      <c r="B223" s="53"/>
      <c r="C223" s="1059"/>
      <c r="D223" s="1106"/>
      <c r="E223" s="1107"/>
      <c r="F223" s="46" t="s">
        <v>48</v>
      </c>
      <c r="G223" s="1159">
        <f>1204.7+120.2</f>
        <v>1324.9</v>
      </c>
      <c r="H223" s="1160"/>
      <c r="I223" s="1158"/>
      <c r="J223" s="1050"/>
      <c r="K223" s="871"/>
      <c r="L223" s="321"/>
      <c r="M223" s="310"/>
      <c r="O223" s="1248" t="s">
        <v>48</v>
      </c>
      <c r="P223" s="1249">
        <f>+G227+G231+G238</f>
        <v>1204.7</v>
      </c>
      <c r="Q223" s="1249">
        <f>+H227+H231+H238</f>
        <v>0</v>
      </c>
      <c r="R223" s="1249">
        <f>+I227+I231+I238</f>
        <v>0</v>
      </c>
    </row>
    <row r="224" spans="1:18" ht="15.65" customHeight="1" x14ac:dyDescent="0.25">
      <c r="A224" s="55"/>
      <c r="B224" s="53"/>
      <c r="C224" s="1059"/>
      <c r="D224" s="1106"/>
      <c r="E224" s="1107"/>
      <c r="F224" s="46" t="s">
        <v>198</v>
      </c>
      <c r="G224" s="1159">
        <v>398.8</v>
      </c>
      <c r="H224" s="1160"/>
      <c r="I224" s="1158"/>
      <c r="J224" s="1050"/>
      <c r="K224" s="871"/>
      <c r="L224" s="321"/>
      <c r="M224" s="310"/>
      <c r="O224" s="1248" t="s">
        <v>198</v>
      </c>
      <c r="P224" s="1249">
        <f>+G235</f>
        <v>398.8</v>
      </c>
      <c r="Q224" s="1249">
        <f t="shared" ref="Q224:R224" si="25">+H235</f>
        <v>0</v>
      </c>
      <c r="R224" s="1249">
        <f t="shared" si="25"/>
        <v>0</v>
      </c>
    </row>
    <row r="225" spans="1:18" ht="15.65" customHeight="1" x14ac:dyDescent="0.25">
      <c r="A225" s="55"/>
      <c r="B225" s="53"/>
      <c r="C225" s="1059"/>
      <c r="D225" s="1106"/>
      <c r="E225" s="1107"/>
      <c r="F225" s="46" t="s">
        <v>197</v>
      </c>
      <c r="G225" s="1161">
        <v>35.299999999999997</v>
      </c>
      <c r="H225" s="1162"/>
      <c r="I225" s="1163"/>
      <c r="J225" s="367"/>
      <c r="K225" s="871"/>
      <c r="L225" s="321"/>
      <c r="M225" s="741"/>
      <c r="O225" s="1248" t="s">
        <v>197</v>
      </c>
      <c r="P225" s="1249">
        <f>+G234</f>
        <v>35.299999999999997</v>
      </c>
      <c r="Q225" s="1249">
        <f t="shared" ref="Q225:R225" si="26">+H234</f>
        <v>0</v>
      </c>
      <c r="R225" s="1249">
        <f t="shared" si="26"/>
        <v>0</v>
      </c>
    </row>
    <row r="226" spans="1:18" ht="14.25" customHeight="1" x14ac:dyDescent="0.25">
      <c r="A226" s="55"/>
      <c r="B226" s="53"/>
      <c r="C226" s="1059"/>
      <c r="D226" s="1636" t="s">
        <v>131</v>
      </c>
      <c r="E226" s="1060"/>
      <c r="F226" s="1131" t="s">
        <v>341</v>
      </c>
      <c r="G226" s="1121">
        <v>1000</v>
      </c>
      <c r="H226" s="1122">
        <v>1200</v>
      </c>
      <c r="I226" s="1134">
        <v>1200</v>
      </c>
      <c r="J226" s="1259"/>
      <c r="K226" s="513"/>
      <c r="L226" s="1260"/>
      <c r="M226" s="259"/>
      <c r="O226" s="1248"/>
      <c r="P226" s="1249">
        <f>+P219+P220+P221+P222+P223+P224+P225</f>
        <v>4361.7</v>
      </c>
      <c r="Q226" s="1249">
        <f t="shared" ref="Q226:R226" si="27">+Q219+Q220+Q221+Q222+Q223+Q224+Q225</f>
        <v>1635</v>
      </c>
      <c r="R226" s="1249">
        <f t="shared" si="27"/>
        <v>1640</v>
      </c>
    </row>
    <row r="227" spans="1:18" ht="15" customHeight="1" x14ac:dyDescent="0.25">
      <c r="A227" s="55"/>
      <c r="B227" s="53"/>
      <c r="C227" s="1059"/>
      <c r="D227" s="1686"/>
      <c r="E227" s="1061" t="s">
        <v>178</v>
      </c>
      <c r="F227" s="1120" t="s">
        <v>343</v>
      </c>
      <c r="G227" s="1121">
        <v>698.6</v>
      </c>
      <c r="H227" s="1122"/>
      <c r="I227" s="1123"/>
      <c r="J227" s="714"/>
      <c r="K227" s="166"/>
      <c r="L227" s="323"/>
      <c r="M227" s="996"/>
      <c r="N227" s="1077"/>
      <c r="O227" s="1248"/>
      <c r="P227" s="1249">
        <f>+P226-G245</f>
        <v>13.8</v>
      </c>
      <c r="Q227" s="1249">
        <f>+Q226-H245</f>
        <v>-194</v>
      </c>
      <c r="R227" s="1249">
        <f>+R226-I245</f>
        <v>-98</v>
      </c>
    </row>
    <row r="228" spans="1:18" ht="15" customHeight="1" x14ac:dyDescent="0.25">
      <c r="A228" s="55"/>
      <c r="B228" s="53"/>
      <c r="C228" s="1059"/>
      <c r="D228" s="59" t="s">
        <v>275</v>
      </c>
      <c r="E228" s="1061" t="s">
        <v>153</v>
      </c>
      <c r="F228" s="1120" t="s">
        <v>354</v>
      </c>
      <c r="G228" s="1121">
        <v>200</v>
      </c>
      <c r="H228" s="1122"/>
      <c r="I228" s="1123"/>
      <c r="J228" s="384" t="s">
        <v>127</v>
      </c>
      <c r="K228" s="525">
        <v>10</v>
      </c>
      <c r="L228" s="532">
        <v>10</v>
      </c>
      <c r="M228" s="1258">
        <v>10</v>
      </c>
      <c r="N228" s="1077"/>
    </row>
    <row r="229" spans="1:18" ht="28.4" customHeight="1" x14ac:dyDescent="0.25">
      <c r="A229" s="55"/>
      <c r="B229" s="53"/>
      <c r="C229" s="1059"/>
      <c r="D229" s="1255" t="s">
        <v>137</v>
      </c>
      <c r="E229" s="1061" t="s">
        <v>262</v>
      </c>
      <c r="F229" s="1120"/>
      <c r="G229" s="1121"/>
      <c r="H229" s="1122"/>
      <c r="I229" s="1123"/>
      <c r="J229" s="1256" t="s">
        <v>121</v>
      </c>
      <c r="K229" s="526">
        <v>446</v>
      </c>
      <c r="L229" s="533">
        <v>506</v>
      </c>
      <c r="M229" s="102">
        <v>350</v>
      </c>
    </row>
    <row r="230" spans="1:18" ht="30.65" customHeight="1" x14ac:dyDescent="0.25">
      <c r="A230" s="55"/>
      <c r="B230" s="53"/>
      <c r="C230" s="1059"/>
      <c r="D230" s="1257" t="s">
        <v>130</v>
      </c>
      <c r="E230" s="1053"/>
      <c r="F230" s="1127"/>
      <c r="G230" s="1128"/>
      <c r="H230" s="1129"/>
      <c r="I230" s="1247"/>
      <c r="J230" s="1047" t="s">
        <v>98</v>
      </c>
      <c r="K230" s="529">
        <v>9.1</v>
      </c>
      <c r="L230" s="537">
        <v>7.2</v>
      </c>
      <c r="M230" s="233">
        <v>8.5</v>
      </c>
    </row>
    <row r="231" spans="1:18" ht="13.5" customHeight="1" x14ac:dyDescent="0.25">
      <c r="A231" s="1054"/>
      <c r="B231" s="1064"/>
      <c r="C231" s="1051"/>
      <c r="D231" s="1659" t="s">
        <v>101</v>
      </c>
      <c r="E231" s="1060" t="s">
        <v>42</v>
      </c>
      <c r="F231" s="1213" t="s">
        <v>343</v>
      </c>
      <c r="G231" s="1138">
        <v>501.1</v>
      </c>
      <c r="H231" s="1122"/>
      <c r="I231" s="1113"/>
      <c r="J231" s="1548" t="s">
        <v>287</v>
      </c>
      <c r="K231" s="428">
        <v>100</v>
      </c>
      <c r="L231" s="439"/>
      <c r="M231" s="94"/>
    </row>
    <row r="232" spans="1:18" ht="15.75" customHeight="1" x14ac:dyDescent="0.25">
      <c r="A232" s="1054"/>
      <c r="B232" s="1064"/>
      <c r="C232" s="1051"/>
      <c r="D232" s="1660"/>
      <c r="E232" s="1061" t="s">
        <v>178</v>
      </c>
      <c r="F232" s="1204" t="s">
        <v>348</v>
      </c>
      <c r="G232" s="1121">
        <v>88.6</v>
      </c>
      <c r="H232" s="1122"/>
      <c r="I232" s="1123"/>
      <c r="J232" s="373" t="s">
        <v>287</v>
      </c>
      <c r="K232" s="1560">
        <v>100</v>
      </c>
      <c r="L232" s="531"/>
      <c r="M232" s="1561"/>
    </row>
    <row r="233" spans="1:18" ht="15" customHeight="1" x14ac:dyDescent="0.25">
      <c r="A233" s="1054"/>
      <c r="B233" s="1064"/>
      <c r="C233" s="1051"/>
      <c r="D233" s="1661"/>
      <c r="E233" s="1061" t="s">
        <v>153</v>
      </c>
      <c r="F233" s="1204" t="s">
        <v>350</v>
      </c>
      <c r="G233" s="1121">
        <v>1004.3</v>
      </c>
      <c r="H233" s="1122"/>
      <c r="I233" s="1123"/>
      <c r="J233" s="1662" t="s">
        <v>121</v>
      </c>
      <c r="K233" s="825">
        <v>246</v>
      </c>
      <c r="L233" s="535"/>
      <c r="M233" s="417"/>
    </row>
    <row r="234" spans="1:18" ht="15" customHeight="1" x14ac:dyDescent="0.25">
      <c r="A234" s="1054"/>
      <c r="B234" s="1064"/>
      <c r="C234" s="1051"/>
      <c r="D234" s="1045"/>
      <c r="E234" s="1061" t="s">
        <v>262</v>
      </c>
      <c r="F234" s="1204" t="s">
        <v>349</v>
      </c>
      <c r="G234" s="1121">
        <v>35.299999999999997</v>
      </c>
      <c r="H234" s="1122"/>
      <c r="I234" s="1123"/>
      <c r="J234" s="1663"/>
      <c r="K234" s="430"/>
      <c r="L234" s="436"/>
      <c r="M234" s="95"/>
    </row>
    <row r="235" spans="1:18" ht="15" customHeight="1" x14ac:dyDescent="0.25">
      <c r="A235" s="1054"/>
      <c r="B235" s="1064"/>
      <c r="C235" s="1051"/>
      <c r="D235" s="1045"/>
      <c r="E235" s="1061"/>
      <c r="F235" s="1214" t="s">
        <v>351</v>
      </c>
      <c r="G235" s="1128">
        <v>398.8</v>
      </c>
      <c r="H235" s="1129"/>
      <c r="I235" s="1134"/>
      <c r="J235" s="1050" t="s">
        <v>179</v>
      </c>
      <c r="K235" s="826">
        <v>159</v>
      </c>
      <c r="L235" s="106"/>
      <c r="M235" s="232"/>
    </row>
    <row r="236" spans="1:18" ht="24.75" customHeight="1" x14ac:dyDescent="0.25">
      <c r="A236" s="1657"/>
      <c r="B236" s="1658"/>
      <c r="C236" s="1681"/>
      <c r="D236" s="1682" t="s">
        <v>89</v>
      </c>
      <c r="E236" s="1678" t="s">
        <v>262</v>
      </c>
      <c r="F236" s="1131" t="s">
        <v>341</v>
      </c>
      <c r="G236" s="1132">
        <v>2</v>
      </c>
      <c r="H236" s="1118">
        <v>2</v>
      </c>
      <c r="I236" s="1246">
        <v>2</v>
      </c>
      <c r="J236" s="1020" t="s">
        <v>97</v>
      </c>
      <c r="K236" s="441">
        <v>1</v>
      </c>
      <c r="L236" s="449">
        <v>1</v>
      </c>
      <c r="M236" s="89">
        <v>1</v>
      </c>
    </row>
    <row r="237" spans="1:18" ht="16.5" customHeight="1" x14ac:dyDescent="0.25">
      <c r="A237" s="1657"/>
      <c r="B237" s="1658"/>
      <c r="C237" s="1681"/>
      <c r="D237" s="1683"/>
      <c r="E237" s="1679"/>
      <c r="F237" s="1133"/>
      <c r="G237" s="1121"/>
      <c r="H237" s="1122"/>
      <c r="I237" s="1134"/>
      <c r="J237" s="1021"/>
      <c r="K237" s="442"/>
      <c r="L237" s="450"/>
      <c r="M237" s="93"/>
    </row>
    <row r="238" spans="1:18" ht="14.9" customHeight="1" x14ac:dyDescent="0.25">
      <c r="A238" s="1054"/>
      <c r="B238" s="1058"/>
      <c r="C238" s="63"/>
      <c r="D238" s="1636" t="s">
        <v>139</v>
      </c>
      <c r="E238" s="1060" t="s">
        <v>262</v>
      </c>
      <c r="F238" s="1120" t="s">
        <v>343</v>
      </c>
      <c r="G238" s="1132">
        <v>5</v>
      </c>
      <c r="H238" s="1118"/>
      <c r="I238" s="1113"/>
      <c r="J238" s="1680" t="s">
        <v>278</v>
      </c>
      <c r="K238" s="523">
        <v>37</v>
      </c>
      <c r="L238" s="530">
        <v>48</v>
      </c>
      <c r="M238" s="415">
        <v>51</v>
      </c>
    </row>
    <row r="239" spans="1:18" ht="12.65" customHeight="1" x14ac:dyDescent="0.25">
      <c r="A239" s="1054"/>
      <c r="B239" s="1058"/>
      <c r="C239" s="63"/>
      <c r="D239" s="1637"/>
      <c r="E239" s="242" t="s">
        <v>178</v>
      </c>
      <c r="F239" s="1120" t="s">
        <v>341</v>
      </c>
      <c r="G239" s="1121">
        <v>45</v>
      </c>
      <c r="H239" s="1122">
        <v>50</v>
      </c>
      <c r="I239" s="1123">
        <v>55</v>
      </c>
      <c r="J239" s="1663"/>
      <c r="K239" s="524"/>
      <c r="L239" s="531"/>
      <c r="M239" s="416"/>
    </row>
    <row r="240" spans="1:18" ht="17.899999999999999" customHeight="1" x14ac:dyDescent="0.25">
      <c r="A240" s="1054"/>
      <c r="B240" s="1058"/>
      <c r="C240" s="63"/>
      <c r="D240" s="1637"/>
      <c r="E240" s="1063"/>
      <c r="F240" s="1217" t="s">
        <v>341</v>
      </c>
      <c r="G240" s="1230">
        <v>7</v>
      </c>
      <c r="H240" s="1231">
        <v>7</v>
      </c>
      <c r="I240" s="1232">
        <v>7</v>
      </c>
      <c r="J240" s="381" t="s">
        <v>293</v>
      </c>
      <c r="K240" s="525">
        <v>100</v>
      </c>
      <c r="L240" s="532">
        <v>100</v>
      </c>
      <c r="M240" s="101">
        <v>100</v>
      </c>
    </row>
    <row r="241" spans="1:18" ht="28.4" customHeight="1" x14ac:dyDescent="0.25">
      <c r="A241" s="18"/>
      <c r="B241" s="1064"/>
      <c r="C241" s="63"/>
      <c r="D241" s="1637"/>
      <c r="E241" s="184"/>
      <c r="F241" s="1120" t="s">
        <v>341</v>
      </c>
      <c r="G241" s="1121">
        <f>210-80</f>
        <v>130</v>
      </c>
      <c r="H241" s="1122">
        <v>130</v>
      </c>
      <c r="I241" s="1123">
        <v>130</v>
      </c>
      <c r="J241" s="1047" t="s">
        <v>294</v>
      </c>
      <c r="K241" s="495">
        <v>4</v>
      </c>
      <c r="L241" s="498">
        <v>3</v>
      </c>
      <c r="M241" s="100">
        <v>3</v>
      </c>
    </row>
    <row r="242" spans="1:18" ht="42.65" customHeight="1" x14ac:dyDescent="0.25">
      <c r="A242" s="18"/>
      <c r="B242" s="1064"/>
      <c r="C242" s="63"/>
      <c r="D242" s="1637"/>
      <c r="E242" s="184"/>
      <c r="F242" s="1120" t="s">
        <v>341</v>
      </c>
      <c r="G242" s="1121">
        <f>56-20</f>
        <v>36</v>
      </c>
      <c r="H242" s="1122">
        <v>36</v>
      </c>
      <c r="I242" s="1123">
        <v>36</v>
      </c>
      <c r="J242" s="1047" t="s">
        <v>295</v>
      </c>
      <c r="K242" s="526">
        <v>5</v>
      </c>
      <c r="L242" s="533">
        <v>5</v>
      </c>
      <c r="M242" s="102">
        <v>5</v>
      </c>
    </row>
    <row r="243" spans="1:18" ht="18" customHeight="1" x14ac:dyDescent="0.25">
      <c r="A243" s="18"/>
      <c r="B243" s="1064"/>
      <c r="C243" s="63"/>
      <c r="D243" s="1637"/>
      <c r="E243" s="1063"/>
      <c r="F243" s="1120" t="s">
        <v>341</v>
      </c>
      <c r="G243" s="1121">
        <v>8</v>
      </c>
      <c r="H243" s="1122">
        <v>8</v>
      </c>
      <c r="I243" s="1123">
        <v>8</v>
      </c>
      <c r="J243" s="1047" t="s">
        <v>71</v>
      </c>
      <c r="K243" s="525">
        <v>2</v>
      </c>
      <c r="L243" s="532">
        <v>1</v>
      </c>
      <c r="M243" s="102">
        <v>1</v>
      </c>
    </row>
    <row r="244" spans="1:18" ht="30.65" customHeight="1" x14ac:dyDescent="0.25">
      <c r="A244" s="18"/>
      <c r="B244" s="1064"/>
      <c r="C244" s="63"/>
      <c r="D244" s="1044"/>
      <c r="E244" s="1063"/>
      <c r="F244" s="1133" t="s">
        <v>341</v>
      </c>
      <c r="G244" s="1128">
        <v>202</v>
      </c>
      <c r="H244" s="1129">
        <v>202</v>
      </c>
      <c r="I244" s="1130">
        <v>202</v>
      </c>
      <c r="J244" s="1047" t="s">
        <v>296</v>
      </c>
      <c r="K244" s="526"/>
      <c r="L244" s="749">
        <v>2</v>
      </c>
      <c r="M244" s="974">
        <v>1</v>
      </c>
    </row>
    <row r="245" spans="1:18" ht="15.75" customHeight="1" thickBot="1" x14ac:dyDescent="0.3">
      <c r="A245" s="19"/>
      <c r="B245" s="91"/>
      <c r="C245" s="62"/>
      <c r="D245" s="967"/>
      <c r="E245" s="968"/>
      <c r="F245" s="16" t="s">
        <v>4</v>
      </c>
      <c r="G245" s="299">
        <f>+G219+G220+G221+G222+G223+G224+G225</f>
        <v>4347.8999999999996</v>
      </c>
      <c r="H245" s="1164">
        <f>+H219+H220+H221+H222+H223+H224+H225</f>
        <v>1829</v>
      </c>
      <c r="I245" s="335">
        <f>+I219+I220+I221+I222+I223+I224+I225</f>
        <v>1738</v>
      </c>
      <c r="J245" s="419"/>
      <c r="K245" s="971"/>
      <c r="L245" s="972"/>
      <c r="M245" s="970"/>
    </row>
    <row r="246" spans="1:18" ht="15.65" customHeight="1" x14ac:dyDescent="0.25">
      <c r="A246" s="22" t="s">
        <v>3</v>
      </c>
      <c r="B246" s="50" t="s">
        <v>24</v>
      </c>
      <c r="C246" s="65" t="s">
        <v>5</v>
      </c>
      <c r="D246" s="1591" t="s">
        <v>102</v>
      </c>
      <c r="E246" s="1052" t="s">
        <v>178</v>
      </c>
      <c r="F246" s="209" t="s">
        <v>22</v>
      </c>
      <c r="G246" s="338">
        <v>58.3</v>
      </c>
      <c r="H246" s="340">
        <v>37</v>
      </c>
      <c r="I246" s="132">
        <v>67</v>
      </c>
      <c r="J246" s="1055"/>
      <c r="K246" s="542"/>
      <c r="L246" s="545"/>
      <c r="M246" s="126"/>
      <c r="O246" s="1248" t="s">
        <v>22</v>
      </c>
      <c r="P246" s="1249">
        <f>+G248+G249+G250+G251+G253+G254+G255+G256+G257+G258</f>
        <v>58.3</v>
      </c>
      <c r="Q246" s="1249">
        <f t="shared" ref="Q246:R246" si="28">+H248+H249+H250+H251+H253+H254+H255+H256+H257+H258</f>
        <v>37</v>
      </c>
      <c r="R246" s="1249">
        <f t="shared" si="28"/>
        <v>67</v>
      </c>
    </row>
    <row r="247" spans="1:18" ht="15.65" customHeight="1" x14ac:dyDescent="0.25">
      <c r="A247" s="55"/>
      <c r="B247" s="53"/>
      <c r="C247" s="1059"/>
      <c r="D247" s="1593"/>
      <c r="E247" s="1061"/>
      <c r="F247" s="869" t="s">
        <v>48</v>
      </c>
      <c r="G247" s="871">
        <v>36.299999999999997</v>
      </c>
      <c r="H247" s="321"/>
      <c r="I247" s="39"/>
      <c r="J247" s="1021"/>
      <c r="K247" s="442"/>
      <c r="L247" s="450"/>
      <c r="M247" s="750"/>
      <c r="O247" s="1248" t="s">
        <v>48</v>
      </c>
      <c r="P247" s="1249">
        <f>+G252</f>
        <v>36.299999999999997</v>
      </c>
      <c r="Q247" s="1249">
        <f t="shared" ref="Q247:R247" si="29">+H252</f>
        <v>0</v>
      </c>
      <c r="R247" s="1249">
        <f t="shared" si="29"/>
        <v>0</v>
      </c>
    </row>
    <row r="248" spans="1:18" ht="53.25" customHeight="1" x14ac:dyDescent="0.25">
      <c r="A248" s="55"/>
      <c r="B248" s="53"/>
      <c r="C248" s="1059"/>
      <c r="D248" s="60" t="s">
        <v>144</v>
      </c>
      <c r="E248" s="850" t="s">
        <v>262</v>
      </c>
      <c r="F248" s="1142" t="s">
        <v>341</v>
      </c>
      <c r="G248" s="1165">
        <v>4</v>
      </c>
      <c r="H248" s="1166">
        <v>4</v>
      </c>
      <c r="I248" s="1167">
        <v>4</v>
      </c>
      <c r="J248" s="422" t="s">
        <v>95</v>
      </c>
      <c r="K248" s="539"/>
      <c r="L248" s="541"/>
      <c r="M248" s="125">
        <v>1</v>
      </c>
      <c r="O248" s="1248"/>
      <c r="P248" s="1249">
        <f>+P246+P247</f>
        <v>94.6</v>
      </c>
      <c r="Q248" s="1249">
        <f t="shared" ref="Q248:R248" si="30">+Q246+Q247</f>
        <v>37</v>
      </c>
      <c r="R248" s="1249">
        <f t="shared" si="30"/>
        <v>67</v>
      </c>
    </row>
    <row r="249" spans="1:18" ht="53.25" customHeight="1" x14ac:dyDescent="0.25">
      <c r="A249" s="55"/>
      <c r="B249" s="53"/>
      <c r="C249" s="1059"/>
      <c r="D249" s="1056" t="s">
        <v>145</v>
      </c>
      <c r="E249" s="1061" t="s">
        <v>262</v>
      </c>
      <c r="F249" s="1120" t="s">
        <v>341</v>
      </c>
      <c r="G249" s="1168">
        <v>4</v>
      </c>
      <c r="H249" s="1169"/>
      <c r="I249" s="1170"/>
      <c r="J249" s="1021" t="s">
        <v>95</v>
      </c>
      <c r="K249" s="443">
        <v>1</v>
      </c>
      <c r="L249" s="451"/>
      <c r="M249" s="87"/>
      <c r="O249" s="1248"/>
      <c r="P249" s="1249">
        <f>+P248-G259</f>
        <v>0</v>
      </c>
      <c r="Q249" s="1249">
        <f t="shared" ref="Q249:R249" si="31">+Q248-H259</f>
        <v>0</v>
      </c>
      <c r="R249" s="1249">
        <f t="shared" si="31"/>
        <v>0</v>
      </c>
    </row>
    <row r="250" spans="1:18" ht="52.5" customHeight="1" x14ac:dyDescent="0.25">
      <c r="A250" s="55"/>
      <c r="B250" s="53"/>
      <c r="C250" s="1059"/>
      <c r="D250" s="60" t="s">
        <v>113</v>
      </c>
      <c r="E250" s="850" t="s">
        <v>262</v>
      </c>
      <c r="F250" s="1142" t="s">
        <v>341</v>
      </c>
      <c r="G250" s="1165">
        <v>4</v>
      </c>
      <c r="H250" s="1166">
        <v>4</v>
      </c>
      <c r="I250" s="1167">
        <v>4</v>
      </c>
      <c r="J250" s="422" t="s">
        <v>95</v>
      </c>
      <c r="K250" s="539"/>
      <c r="L250" s="541"/>
      <c r="M250" s="125">
        <v>1</v>
      </c>
    </row>
    <row r="251" spans="1:18" ht="26.9" customHeight="1" x14ac:dyDescent="0.25">
      <c r="A251" s="55"/>
      <c r="B251" s="53"/>
      <c r="C251" s="1059"/>
      <c r="D251" s="1636" t="s">
        <v>146</v>
      </c>
      <c r="E251" s="1061" t="s">
        <v>262</v>
      </c>
      <c r="F251" s="1131" t="s">
        <v>341</v>
      </c>
      <c r="G251" s="1121">
        <v>25</v>
      </c>
      <c r="H251" s="1118">
        <v>25</v>
      </c>
      <c r="I251" s="1113">
        <v>25</v>
      </c>
      <c r="J251" s="1020" t="s">
        <v>95</v>
      </c>
      <c r="K251" s="1666">
        <v>1</v>
      </c>
      <c r="L251" s="1668"/>
      <c r="M251" s="1670">
        <v>1</v>
      </c>
    </row>
    <row r="252" spans="1:18" ht="26.9" customHeight="1" x14ac:dyDescent="0.25">
      <c r="A252" s="55"/>
      <c r="B252" s="53"/>
      <c r="C252" s="1059"/>
      <c r="D252" s="1638"/>
      <c r="E252" s="1053"/>
      <c r="F252" s="1133" t="s">
        <v>343</v>
      </c>
      <c r="G252" s="1128">
        <v>36.299999999999997</v>
      </c>
      <c r="H252" s="1129"/>
      <c r="I252" s="1130"/>
      <c r="J252" s="1022"/>
      <c r="K252" s="1667"/>
      <c r="L252" s="1669"/>
      <c r="M252" s="1671"/>
    </row>
    <row r="253" spans="1:18" ht="66.650000000000006" customHeight="1" x14ac:dyDescent="0.25">
      <c r="A253" s="55"/>
      <c r="B253" s="53"/>
      <c r="C253" s="1059"/>
      <c r="D253" s="1057" t="s">
        <v>151</v>
      </c>
      <c r="E253" s="1073" t="s">
        <v>262</v>
      </c>
      <c r="F253" s="1171" t="s">
        <v>341</v>
      </c>
      <c r="G253" s="1172">
        <v>4</v>
      </c>
      <c r="H253" s="1173"/>
      <c r="I253" s="1174"/>
      <c r="J253" s="422" t="s">
        <v>95</v>
      </c>
      <c r="K253" s="539">
        <v>1</v>
      </c>
      <c r="L253" s="541"/>
      <c r="M253" s="125"/>
    </row>
    <row r="254" spans="1:18" ht="67.400000000000006" customHeight="1" x14ac:dyDescent="0.25">
      <c r="A254" s="55"/>
      <c r="B254" s="53"/>
      <c r="C254" s="1059"/>
      <c r="D254" s="1057" t="s">
        <v>277</v>
      </c>
      <c r="E254" s="1053" t="s">
        <v>276</v>
      </c>
      <c r="F254" s="1133" t="s">
        <v>341</v>
      </c>
      <c r="G254" s="1128">
        <v>4</v>
      </c>
      <c r="H254" s="1129">
        <v>4</v>
      </c>
      <c r="I254" s="1137">
        <v>4</v>
      </c>
      <c r="J254" s="422" t="s">
        <v>95</v>
      </c>
      <c r="K254" s="442"/>
      <c r="L254" s="450"/>
      <c r="M254" s="93">
        <v>1</v>
      </c>
    </row>
    <row r="255" spans="1:18" ht="52.5" customHeight="1" x14ac:dyDescent="0.25">
      <c r="A255" s="55"/>
      <c r="B255" s="53"/>
      <c r="C255" s="1059"/>
      <c r="D255" s="1057" t="s">
        <v>255</v>
      </c>
      <c r="E255" s="1074" t="s">
        <v>276</v>
      </c>
      <c r="F255" s="1171" t="s">
        <v>341</v>
      </c>
      <c r="G255" s="1172">
        <v>7.5</v>
      </c>
      <c r="H255" s="1173"/>
      <c r="I255" s="1174"/>
      <c r="J255" s="422" t="s">
        <v>95</v>
      </c>
      <c r="K255" s="539">
        <v>1</v>
      </c>
      <c r="L255" s="541"/>
      <c r="M255" s="125"/>
    </row>
    <row r="256" spans="1:18" ht="52.5" customHeight="1" x14ac:dyDescent="0.25">
      <c r="A256" s="55"/>
      <c r="B256" s="53"/>
      <c r="C256" s="1059"/>
      <c r="D256" s="1057" t="s">
        <v>256</v>
      </c>
      <c r="E256" s="1053" t="s">
        <v>276</v>
      </c>
      <c r="F256" s="1133" t="s">
        <v>341</v>
      </c>
      <c r="G256" s="1128">
        <v>2.8</v>
      </c>
      <c r="H256" s="1129"/>
      <c r="I256" s="1137"/>
      <c r="J256" s="422" t="s">
        <v>95</v>
      </c>
      <c r="K256" s="442">
        <v>1</v>
      </c>
      <c r="L256" s="450"/>
      <c r="M256" s="93"/>
    </row>
    <row r="257" spans="1:18" ht="52.5" customHeight="1" x14ac:dyDescent="0.25">
      <c r="A257" s="55"/>
      <c r="B257" s="53"/>
      <c r="C257" s="1059"/>
      <c r="D257" s="1057" t="s">
        <v>257</v>
      </c>
      <c r="E257" s="1074" t="s">
        <v>276</v>
      </c>
      <c r="F257" s="1171" t="s">
        <v>341</v>
      </c>
      <c r="G257" s="1172">
        <v>3</v>
      </c>
      <c r="H257" s="1173"/>
      <c r="I257" s="1174"/>
      <c r="J257" s="422" t="s">
        <v>95</v>
      </c>
      <c r="K257" s="539">
        <v>1</v>
      </c>
      <c r="L257" s="541"/>
      <c r="M257" s="125"/>
    </row>
    <row r="258" spans="1:18" ht="52.5" customHeight="1" x14ac:dyDescent="0.25">
      <c r="A258" s="55"/>
      <c r="B258" s="53"/>
      <c r="C258" s="1059"/>
      <c r="D258" s="1057" t="s">
        <v>335</v>
      </c>
      <c r="E258" s="1074" t="s">
        <v>276</v>
      </c>
      <c r="F258" s="1171" t="s">
        <v>341</v>
      </c>
      <c r="G258" s="1175"/>
      <c r="H258" s="1176"/>
      <c r="I258" s="1177">
        <v>30</v>
      </c>
      <c r="J258" s="422" t="s">
        <v>95</v>
      </c>
      <c r="K258" s="441"/>
      <c r="L258" s="881"/>
      <c r="M258" s="898">
        <v>1</v>
      </c>
    </row>
    <row r="259" spans="1:18" ht="16.5" customHeight="1" thickBot="1" x14ac:dyDescent="0.3">
      <c r="A259" s="90"/>
      <c r="B259" s="54"/>
      <c r="C259" s="221"/>
      <c r="D259" s="224"/>
      <c r="E259" s="862"/>
      <c r="F259" s="16" t="s">
        <v>4</v>
      </c>
      <c r="G259" s="299">
        <f>+G246+G247</f>
        <v>94.6</v>
      </c>
      <c r="H259" s="341">
        <f>+H246+H247</f>
        <v>37</v>
      </c>
      <c r="I259" s="336">
        <f>+I246+I247</f>
        <v>67</v>
      </c>
      <c r="J259" s="401"/>
      <c r="K259" s="480"/>
      <c r="L259" s="345"/>
      <c r="M259" s="226"/>
    </row>
    <row r="260" spans="1:18" ht="15.65" customHeight="1" thickBot="1" x14ac:dyDescent="0.3">
      <c r="A260" s="20" t="s">
        <v>3</v>
      </c>
      <c r="B260" s="4" t="s">
        <v>24</v>
      </c>
      <c r="C260" s="1672" t="s">
        <v>6</v>
      </c>
      <c r="D260" s="1673"/>
      <c r="E260" s="1673"/>
      <c r="F260" s="1674"/>
      <c r="G260" s="339">
        <f>G259+G245</f>
        <v>4442.5</v>
      </c>
      <c r="H260" s="342">
        <f>H259+H245</f>
        <v>1866</v>
      </c>
      <c r="I260" s="337">
        <f>I259+I245</f>
        <v>1805</v>
      </c>
      <c r="J260" s="1675"/>
      <c r="K260" s="1676"/>
      <c r="L260" s="1676"/>
      <c r="M260" s="1677"/>
    </row>
    <row r="261" spans="1:18" ht="15.65" customHeight="1" thickBot="1" x14ac:dyDescent="0.3">
      <c r="A261" s="20" t="s">
        <v>3</v>
      </c>
      <c r="B261" s="4" t="s">
        <v>31</v>
      </c>
      <c r="C261" s="1587" t="s">
        <v>40</v>
      </c>
      <c r="D261" s="1588"/>
      <c r="E261" s="1588"/>
      <c r="F261" s="1588"/>
      <c r="G261" s="1027"/>
      <c r="H261" s="1027"/>
      <c r="I261" s="1027"/>
      <c r="J261" s="1589"/>
      <c r="K261" s="1589"/>
      <c r="L261" s="1589"/>
      <c r="M261" s="1590"/>
    </row>
    <row r="262" spans="1:18" ht="15.65" customHeight="1" x14ac:dyDescent="0.25">
      <c r="A262" s="22" t="s">
        <v>3</v>
      </c>
      <c r="B262" s="50" t="s">
        <v>31</v>
      </c>
      <c r="C262" s="65" t="s">
        <v>3</v>
      </c>
      <c r="D262" s="1591" t="s">
        <v>164</v>
      </c>
      <c r="E262" s="1052"/>
      <c r="F262" s="795" t="s">
        <v>22</v>
      </c>
      <c r="G262" s="338">
        <f>300-4.3</f>
        <v>295.7</v>
      </c>
      <c r="H262" s="340">
        <f>300+195.9+51</f>
        <v>546.9</v>
      </c>
      <c r="I262" s="132">
        <f>260+195.9+25.9</f>
        <v>481.8</v>
      </c>
      <c r="J262" s="1055"/>
      <c r="K262" s="542"/>
      <c r="L262" s="545"/>
      <c r="M262" s="126"/>
      <c r="O262" s="1248" t="s">
        <v>22</v>
      </c>
      <c r="P262" s="1249">
        <f>+G266+G268+G272</f>
        <v>300</v>
      </c>
      <c r="Q262" s="1249">
        <f t="shared" ref="Q262:R262" si="32">+H266+H268+H272</f>
        <v>300</v>
      </c>
      <c r="R262" s="1249">
        <f t="shared" si="32"/>
        <v>260</v>
      </c>
    </row>
    <row r="263" spans="1:18" ht="15.65" customHeight="1" x14ac:dyDescent="0.25">
      <c r="A263" s="81"/>
      <c r="B263" s="53"/>
      <c r="C263" s="82"/>
      <c r="D263" s="1592"/>
      <c r="E263" s="1061"/>
      <c r="F263" s="196" t="s">
        <v>203</v>
      </c>
      <c r="G263" s="871">
        <v>400</v>
      </c>
      <c r="H263" s="321">
        <v>400</v>
      </c>
      <c r="I263" s="39">
        <v>400</v>
      </c>
      <c r="J263" s="1021"/>
      <c r="K263" s="443"/>
      <c r="L263" s="451"/>
      <c r="M263" s="87"/>
      <c r="O263" s="1248" t="s">
        <v>203</v>
      </c>
      <c r="P263" s="1249">
        <f>+G273</f>
        <v>400</v>
      </c>
      <c r="Q263" s="1249">
        <f t="shared" ref="Q263:R263" si="33">+H273</f>
        <v>400</v>
      </c>
      <c r="R263" s="1249">
        <f t="shared" si="33"/>
        <v>400</v>
      </c>
    </row>
    <row r="264" spans="1:18" ht="15.65" customHeight="1" x14ac:dyDescent="0.25">
      <c r="A264" s="81"/>
      <c r="B264" s="53"/>
      <c r="C264" s="82"/>
      <c r="D264" s="1592"/>
      <c r="E264" s="1061"/>
      <c r="F264" s="1105" t="s">
        <v>48</v>
      </c>
      <c r="G264" s="871">
        <f>65.8+195.9-25.9</f>
        <v>235.8</v>
      </c>
      <c r="H264" s="321"/>
      <c r="I264" s="39"/>
      <c r="J264" s="1021"/>
      <c r="K264" s="443"/>
      <c r="L264" s="451"/>
      <c r="M264" s="87"/>
      <c r="O264" s="1248" t="s">
        <v>48</v>
      </c>
      <c r="P264" s="1252">
        <f>+G267+G269+G270</f>
        <v>65.8</v>
      </c>
      <c r="Q264" s="1252">
        <f t="shared" ref="Q264:R264" si="34">+H267+H269+H270</f>
        <v>0</v>
      </c>
      <c r="R264" s="1252">
        <f t="shared" si="34"/>
        <v>0</v>
      </c>
    </row>
    <row r="265" spans="1:18" ht="15.65" customHeight="1" x14ac:dyDescent="0.25">
      <c r="A265" s="81"/>
      <c r="B265" s="53"/>
      <c r="C265" s="82"/>
      <c r="D265" s="1593"/>
      <c r="E265" s="1053"/>
      <c r="F265" s="869" t="s">
        <v>314</v>
      </c>
      <c r="G265" s="316">
        <v>594.79999999999995</v>
      </c>
      <c r="H265" s="322"/>
      <c r="I265" s="164"/>
      <c r="J265" s="1022"/>
      <c r="K265" s="442"/>
      <c r="L265" s="450"/>
      <c r="M265" s="93"/>
      <c r="O265" s="1248" t="s">
        <v>314</v>
      </c>
      <c r="P265" s="1249">
        <f>+G274</f>
        <v>594.79999999999995</v>
      </c>
      <c r="Q265" s="1249">
        <f t="shared" ref="Q265:R265" si="35">+H274</f>
        <v>0</v>
      </c>
      <c r="R265" s="1249">
        <f t="shared" si="35"/>
        <v>0</v>
      </c>
    </row>
    <row r="266" spans="1:18" s="27" customFormat="1" ht="20.9" customHeight="1" x14ac:dyDescent="0.25">
      <c r="A266" s="1621"/>
      <c r="B266" s="1623"/>
      <c r="C266" s="1625"/>
      <c r="D266" s="1627" t="s">
        <v>116</v>
      </c>
      <c r="E266" s="289" t="s">
        <v>262</v>
      </c>
      <c r="F266" s="1178" t="s">
        <v>341</v>
      </c>
      <c r="G266" s="1179">
        <v>290</v>
      </c>
      <c r="H266" s="1180">
        <v>290</v>
      </c>
      <c r="I266" s="1181">
        <v>50</v>
      </c>
      <c r="J266" s="897" t="s">
        <v>115</v>
      </c>
      <c r="K266" s="863">
        <f>285+230</f>
        <v>515</v>
      </c>
      <c r="L266" s="900">
        <v>285</v>
      </c>
      <c r="M266" s="163">
        <v>250</v>
      </c>
      <c r="N266" s="686"/>
      <c r="O266" s="1253"/>
      <c r="P266" s="1249">
        <f>+P262+P263+P264+P265</f>
        <v>1360.6</v>
      </c>
      <c r="Q266" s="1249">
        <f t="shared" ref="Q266:R266" si="36">+Q262+Q263+Q264+Q265</f>
        <v>700</v>
      </c>
      <c r="R266" s="1249">
        <f t="shared" si="36"/>
        <v>660</v>
      </c>
    </row>
    <row r="267" spans="1:18" s="27" customFormat="1" ht="19.399999999999999" customHeight="1" x14ac:dyDescent="0.25">
      <c r="A267" s="1622"/>
      <c r="B267" s="1624"/>
      <c r="C267" s="1626"/>
      <c r="D267" s="1628"/>
      <c r="E267" s="1053" t="s">
        <v>178</v>
      </c>
      <c r="F267" s="1182" t="s">
        <v>343</v>
      </c>
      <c r="G267" s="1183">
        <v>39.299999999999997</v>
      </c>
      <c r="H267" s="1184"/>
      <c r="I267" s="1185"/>
      <c r="J267" s="894"/>
      <c r="K267" s="543"/>
      <c r="L267" s="546"/>
      <c r="M267" s="423"/>
      <c r="O267" s="1253"/>
      <c r="P267" s="1249">
        <f>+P266-G275</f>
        <v>-165.7</v>
      </c>
      <c r="Q267" s="1249">
        <f t="shared" ref="Q267:R267" si="37">+Q266-H275</f>
        <v>-246.9</v>
      </c>
      <c r="R267" s="1249">
        <f t="shared" si="37"/>
        <v>-221.8</v>
      </c>
    </row>
    <row r="268" spans="1:18" ht="17.25" customHeight="1" x14ac:dyDescent="0.25">
      <c r="A268" s="1054"/>
      <c r="B268" s="1058"/>
      <c r="C268" s="63"/>
      <c r="D268" s="1655" t="s">
        <v>336</v>
      </c>
      <c r="E268" s="1060" t="s">
        <v>262</v>
      </c>
      <c r="F268" s="1186" t="s">
        <v>341</v>
      </c>
      <c r="G268" s="1179">
        <v>10</v>
      </c>
      <c r="H268" s="1180">
        <v>10</v>
      </c>
      <c r="I268" s="1187">
        <v>10</v>
      </c>
      <c r="J268" s="1664" t="s">
        <v>150</v>
      </c>
      <c r="K268" s="544">
        <v>9</v>
      </c>
      <c r="L268" s="547">
        <v>10</v>
      </c>
      <c r="M268" s="127">
        <v>10</v>
      </c>
    </row>
    <row r="269" spans="1:18" ht="37.5" customHeight="1" x14ac:dyDescent="0.25">
      <c r="A269" s="18"/>
      <c r="B269" s="1058"/>
      <c r="C269" s="64"/>
      <c r="D269" s="1656"/>
      <c r="E269" s="1053" t="s">
        <v>178</v>
      </c>
      <c r="F269" s="1182" t="s">
        <v>343</v>
      </c>
      <c r="G269" s="1188">
        <v>0.6</v>
      </c>
      <c r="H269" s="1189"/>
      <c r="I269" s="1190"/>
      <c r="J269" s="1665"/>
      <c r="K269" s="544"/>
      <c r="L269" s="547"/>
      <c r="M269" s="127"/>
    </row>
    <row r="270" spans="1:18" ht="15.65" customHeight="1" x14ac:dyDescent="0.25">
      <c r="A270" s="1054"/>
      <c r="B270" s="1058"/>
      <c r="C270" s="63"/>
      <c r="D270" s="1586" t="s">
        <v>84</v>
      </c>
      <c r="E270" s="1061" t="s">
        <v>178</v>
      </c>
      <c r="F270" s="1186" t="s">
        <v>343</v>
      </c>
      <c r="G270" s="1191">
        <v>25.9</v>
      </c>
      <c r="H270" s="1192"/>
      <c r="I270" s="1193"/>
      <c r="J270" s="1049" t="s">
        <v>71</v>
      </c>
      <c r="K270" s="441"/>
      <c r="L270" s="449"/>
      <c r="M270" s="89">
        <v>1</v>
      </c>
    </row>
    <row r="271" spans="1:18" ht="15.65" customHeight="1" x14ac:dyDescent="0.25">
      <c r="A271" s="18"/>
      <c r="B271" s="1058"/>
      <c r="C271" s="64"/>
      <c r="D271" s="1586"/>
      <c r="E271" s="1061" t="s">
        <v>42</v>
      </c>
      <c r="F271" s="1194"/>
      <c r="G271" s="1191"/>
      <c r="H271" s="1192"/>
      <c r="I271" s="1193"/>
      <c r="J271" s="1050"/>
      <c r="K271" s="443"/>
      <c r="L271" s="451"/>
      <c r="M271" s="87"/>
    </row>
    <row r="272" spans="1:18" ht="15.65" customHeight="1" x14ac:dyDescent="0.25">
      <c r="A272" s="18"/>
      <c r="B272" s="1058"/>
      <c r="C272" s="64"/>
      <c r="D272" s="1586"/>
      <c r="E272" s="1061" t="s">
        <v>262</v>
      </c>
      <c r="F272" s="1195" t="s">
        <v>341</v>
      </c>
      <c r="G272" s="1183"/>
      <c r="H272" s="1184"/>
      <c r="I272" s="1185">
        <v>200</v>
      </c>
      <c r="J272" s="396" t="s">
        <v>289</v>
      </c>
      <c r="K272" s="527"/>
      <c r="L272" s="534"/>
      <c r="M272" s="204">
        <v>15</v>
      </c>
    </row>
    <row r="273" spans="1:38" ht="55" customHeight="1" x14ac:dyDescent="0.25">
      <c r="A273" s="1054"/>
      <c r="B273" s="1058"/>
      <c r="C273" s="63"/>
      <c r="D273" s="60" t="s">
        <v>204</v>
      </c>
      <c r="E273" s="1060" t="s">
        <v>262</v>
      </c>
      <c r="F273" s="1186" t="s">
        <v>344</v>
      </c>
      <c r="G273" s="1179">
        <v>400</v>
      </c>
      <c r="H273" s="1564">
        <v>400</v>
      </c>
      <c r="I273" s="1565">
        <v>400</v>
      </c>
      <c r="J273" s="1050" t="s">
        <v>205</v>
      </c>
      <c r="K273" s="443">
        <v>100</v>
      </c>
      <c r="L273" s="541">
        <v>100</v>
      </c>
      <c r="M273" s="898">
        <v>100</v>
      </c>
    </row>
    <row r="274" spans="1:38" ht="43.5" customHeight="1" x14ac:dyDescent="0.25">
      <c r="A274" s="18"/>
      <c r="B274" s="1058"/>
      <c r="C274" s="1051"/>
      <c r="D274" s="1566" t="s">
        <v>367</v>
      </c>
      <c r="E274" s="1557" t="s">
        <v>276</v>
      </c>
      <c r="F274" s="1562" t="s">
        <v>345</v>
      </c>
      <c r="G274" s="1563">
        <v>594.79999999999995</v>
      </c>
      <c r="H274" s="1184"/>
      <c r="I274" s="1197"/>
      <c r="J274" s="1569" t="s">
        <v>368</v>
      </c>
      <c r="K274" s="539">
        <v>610</v>
      </c>
      <c r="L274" s="450">
        <v>610</v>
      </c>
      <c r="M274" s="93">
        <v>610</v>
      </c>
    </row>
    <row r="275" spans="1:38" ht="15" customHeight="1" thickBot="1" x14ac:dyDescent="0.3">
      <c r="A275" s="90" t="s">
        <v>3</v>
      </c>
      <c r="B275" s="54" t="s">
        <v>31</v>
      </c>
      <c r="C275" s="1603" t="s">
        <v>6</v>
      </c>
      <c r="D275" s="1604"/>
      <c r="E275" s="1604"/>
      <c r="F275" s="1605"/>
      <c r="G275" s="351">
        <f>+G262+G263+G264+G265</f>
        <v>1526.3</v>
      </c>
      <c r="H275" s="354">
        <f>+H262+H263+H264+H265</f>
        <v>946.9</v>
      </c>
      <c r="I275" s="357">
        <f>+I262+I263+I264+I265</f>
        <v>881.8</v>
      </c>
      <c r="J275" s="1606"/>
      <c r="K275" s="1607"/>
      <c r="L275" s="1607"/>
      <c r="M275" s="1608"/>
    </row>
    <row r="276" spans="1:38" ht="15" customHeight="1" thickBot="1" x14ac:dyDescent="0.3">
      <c r="A276" s="21" t="s">
        <v>3</v>
      </c>
      <c r="B276" s="1609" t="s">
        <v>7</v>
      </c>
      <c r="C276" s="1610"/>
      <c r="D276" s="1610"/>
      <c r="E276" s="1610"/>
      <c r="F276" s="1611"/>
      <c r="G276" s="352">
        <f>G275+G260+G217+G193</f>
        <v>22125.200000000001</v>
      </c>
      <c r="H276" s="355">
        <f>H275+H260+H217+H193</f>
        <v>20970.7</v>
      </c>
      <c r="I276" s="128">
        <f>I275+I260+I217+I193</f>
        <v>22087.9</v>
      </c>
      <c r="J276" s="1612"/>
      <c r="K276" s="1613"/>
      <c r="L276" s="1613"/>
      <c r="M276" s="1614"/>
    </row>
    <row r="277" spans="1:38" ht="15" customHeight="1" thickBot="1" x14ac:dyDescent="0.3">
      <c r="A277" s="15" t="s">
        <v>33</v>
      </c>
      <c r="B277" s="1615" t="s">
        <v>46</v>
      </c>
      <c r="C277" s="1616"/>
      <c r="D277" s="1616"/>
      <c r="E277" s="1616"/>
      <c r="F277" s="1617"/>
      <c r="G277" s="353">
        <f t="shared" ref="G277:I277" si="38">SUM(G276)</f>
        <v>22125.200000000001</v>
      </c>
      <c r="H277" s="356">
        <f t="shared" si="38"/>
        <v>20970.7</v>
      </c>
      <c r="I277" s="129">
        <f t="shared" si="38"/>
        <v>22087.9</v>
      </c>
      <c r="J277" s="1618"/>
      <c r="K277" s="1619"/>
      <c r="L277" s="1619"/>
      <c r="M277" s="1620"/>
    </row>
    <row r="278" spans="1:38" s="6" customFormat="1" ht="14.9" customHeight="1" x14ac:dyDescent="0.25">
      <c r="A278" s="1651" t="s">
        <v>356</v>
      </c>
      <c r="B278" s="1651"/>
      <c r="C278" s="1651"/>
      <c r="D278" s="1651"/>
      <c r="E278" s="1651"/>
      <c r="F278" s="1651"/>
      <c r="G278" s="1651"/>
      <c r="H278" s="1651"/>
      <c r="I278" s="1651"/>
      <c r="J278" s="1651"/>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row>
    <row r="279" spans="1:38" s="5" customFormat="1" ht="14.9" customHeight="1" x14ac:dyDescent="0.25">
      <c r="A279" s="73"/>
      <c r="B279" s="80"/>
      <c r="C279" s="80"/>
      <c r="D279" s="80"/>
      <c r="E279" s="80"/>
      <c r="F279" s="80"/>
      <c r="G279" s="159"/>
      <c r="H279" s="159"/>
      <c r="I279" s="159"/>
      <c r="J279" s="80"/>
      <c r="K279" s="123"/>
      <c r="L279" s="123"/>
      <c r="M279" s="123"/>
      <c r="N279" s="2"/>
      <c r="O279" s="2"/>
      <c r="P279" s="2"/>
      <c r="Q279" s="2"/>
      <c r="R279" s="2"/>
      <c r="S279" s="2"/>
      <c r="T279" s="2"/>
      <c r="U279" s="2"/>
    </row>
    <row r="280" spans="1:38" s="6" customFormat="1" ht="16.399999999999999" customHeight="1" thickBot="1" x14ac:dyDescent="0.3">
      <c r="A280" s="1629" t="s">
        <v>11</v>
      </c>
      <c r="B280" s="1629"/>
      <c r="C280" s="1629"/>
      <c r="D280" s="1629"/>
      <c r="E280" s="1629"/>
      <c r="F280" s="1629"/>
      <c r="G280" s="1629"/>
      <c r="H280" s="1629"/>
      <c r="I280" s="1629"/>
      <c r="J280" s="12"/>
      <c r="K280" s="135"/>
      <c r="L280" s="135"/>
      <c r="M280" s="135"/>
      <c r="N280" s="2"/>
      <c r="O280" s="2"/>
      <c r="P280" s="2"/>
      <c r="Q280" s="2"/>
      <c r="R280" s="2"/>
      <c r="S280" s="2"/>
      <c r="T280" s="2"/>
      <c r="U280" s="2"/>
    </row>
    <row r="281" spans="1:38" ht="82.4" customHeight="1" thickBot="1" x14ac:dyDescent="0.3">
      <c r="A281" s="1652" t="s">
        <v>8</v>
      </c>
      <c r="B281" s="1653"/>
      <c r="C281" s="1653"/>
      <c r="D281" s="1653"/>
      <c r="E281" s="1653"/>
      <c r="F281" s="1654"/>
      <c r="G281" s="554" t="s">
        <v>224</v>
      </c>
      <c r="H281" s="555" t="s">
        <v>318</v>
      </c>
      <c r="I281" s="556" t="s">
        <v>225</v>
      </c>
      <c r="J281" s="1"/>
      <c r="K281" s="1"/>
      <c r="L281" s="1"/>
      <c r="M281" s="1"/>
    </row>
    <row r="282" spans="1:38" ht="14.25" customHeight="1" x14ac:dyDescent="0.25">
      <c r="A282" s="1597" t="s">
        <v>357</v>
      </c>
      <c r="B282" s="1598"/>
      <c r="C282" s="1598"/>
      <c r="D282" s="1598"/>
      <c r="E282" s="1598"/>
      <c r="F282" s="1599"/>
      <c r="G282" s="572">
        <f>G283+G292+G293+G294+G295+G291</f>
        <v>22102.3</v>
      </c>
      <c r="H282" s="573">
        <f>H283+H292+H293+H294+H295+H291</f>
        <v>20494.7</v>
      </c>
      <c r="I282" s="571">
        <f>I283+I292+I293+I294+I295+I291</f>
        <v>19242.900000000001</v>
      </c>
    </row>
    <row r="283" spans="1:38" ht="14.25" customHeight="1" x14ac:dyDescent="0.25">
      <c r="A283" s="1600" t="s">
        <v>65</v>
      </c>
      <c r="B283" s="1601"/>
      <c r="C283" s="1601"/>
      <c r="D283" s="1601"/>
      <c r="E283" s="1601"/>
      <c r="F283" s="1602"/>
      <c r="G283" s="564">
        <f>SUM(G284:G290)</f>
        <v>14759.7</v>
      </c>
      <c r="H283" s="574">
        <f>SUM(H284:H290)</f>
        <v>20494.7</v>
      </c>
      <c r="I283" s="557">
        <f>SUM(I284:I290)</f>
        <v>19242.900000000001</v>
      </c>
      <c r="J283" s="61"/>
    </row>
    <row r="284" spans="1:38" ht="14.25" customHeight="1" x14ac:dyDescent="0.25">
      <c r="A284" s="1648" t="s">
        <v>16</v>
      </c>
      <c r="B284" s="1649"/>
      <c r="C284" s="1649"/>
      <c r="D284" s="1649"/>
      <c r="E284" s="1649"/>
      <c r="F284" s="1650"/>
      <c r="G284" s="316">
        <f>SUMIF(F16:F277,"SB",G16:G277)</f>
        <v>13048.6</v>
      </c>
      <c r="H284" s="322">
        <f>SUMIF(F16:F277,"SB",H16:H277)</f>
        <v>17094.099999999999</v>
      </c>
      <c r="I284" s="868">
        <f>SUMIF(F16:F277,"SB",I16:I277)</f>
        <v>18807.2</v>
      </c>
      <c r="J284" s="9"/>
      <c r="K284" s="160"/>
      <c r="L284" s="160"/>
      <c r="M284" s="160"/>
    </row>
    <row r="285" spans="1:38" ht="27.65" customHeight="1" x14ac:dyDescent="0.25">
      <c r="A285" s="1630" t="s">
        <v>17</v>
      </c>
      <c r="B285" s="1631"/>
      <c r="C285" s="1631"/>
      <c r="D285" s="1631"/>
      <c r="E285" s="1631"/>
      <c r="F285" s="1632"/>
      <c r="G285" s="565">
        <f>SUMIF(F16:F277,"SB(SP)",G16:G277)</f>
        <v>35.700000000000003</v>
      </c>
      <c r="H285" s="575">
        <f>SUMIF(F16:F277,"SB(SP)",H16:H277)</f>
        <v>35.700000000000003</v>
      </c>
      <c r="I285" s="558">
        <f>SUMIF(F16:F277,"SB(SP)",I16:I277)</f>
        <v>35.700000000000003</v>
      </c>
      <c r="J285" s="13"/>
    </row>
    <row r="286" spans="1:38" ht="14.25" customHeight="1" x14ac:dyDescent="0.25">
      <c r="A286" s="1645" t="s">
        <v>206</v>
      </c>
      <c r="B286" s="1646"/>
      <c r="C286" s="1646"/>
      <c r="D286" s="1646"/>
      <c r="E286" s="1646"/>
      <c r="F286" s="1647"/>
      <c r="G286" s="316">
        <f>SUMIF(F16:F277,"SB(SPI)",G16:G277)</f>
        <v>400</v>
      </c>
      <c r="H286" s="322">
        <f>SUMIF(F16:F277,"SB(SPI)",H16:H277)</f>
        <v>400</v>
      </c>
      <c r="I286" s="868">
        <f>SUMIF(F16:F277,"SB(SPI)",I16:I277)</f>
        <v>400</v>
      </c>
      <c r="J286" s="13"/>
    </row>
    <row r="287" spans="1:38" x14ac:dyDescent="0.25">
      <c r="A287" s="1630" t="s">
        <v>18</v>
      </c>
      <c r="B287" s="1631"/>
      <c r="C287" s="1631"/>
      <c r="D287" s="1631"/>
      <c r="E287" s="1631"/>
      <c r="F287" s="1632"/>
      <c r="G287" s="565">
        <f>SUMIF(F16:F277,"SB(P)",G16:G277)</f>
        <v>0</v>
      </c>
      <c r="H287" s="575">
        <f>SUMIF(F16:F277,"SB(P)",H16:H277)</f>
        <v>2964.9</v>
      </c>
      <c r="I287" s="558">
        <f>SUMIF(F16:F277,"SB(P)",I16:I277)</f>
        <v>0</v>
      </c>
      <c r="J287" s="11"/>
    </row>
    <row r="288" spans="1:38" x14ac:dyDescent="0.25">
      <c r="A288" s="1630" t="s">
        <v>68</v>
      </c>
      <c r="B288" s="1631"/>
      <c r="C288" s="1631"/>
      <c r="D288" s="1631"/>
      <c r="E288" s="1631"/>
      <c r="F288" s="1632"/>
      <c r="G288" s="565">
        <f>SUMIF(F16:F277,"SB(VB)",G16:G277)</f>
        <v>118.8</v>
      </c>
      <c r="H288" s="575">
        <f>SUMIF(F16:F277,"SB(VB)",H16:H277)</f>
        <v>0</v>
      </c>
      <c r="I288" s="558">
        <f>SUMIF(F16:F277,"SB(VB)",I16:I277)</f>
        <v>0</v>
      </c>
    </row>
    <row r="289" spans="1:45" x14ac:dyDescent="0.25">
      <c r="A289" s="1645" t="s">
        <v>106</v>
      </c>
      <c r="B289" s="1646"/>
      <c r="C289" s="1646"/>
      <c r="D289" s="1646"/>
      <c r="E289" s="1646"/>
      <c r="F289" s="1647"/>
      <c r="G289" s="565">
        <f>SUMIF(F16:F277,"SB(KPP)",G16:G277)</f>
        <v>100</v>
      </c>
      <c r="H289" s="575">
        <f>SUMIF(F16:F277,"SB(KPP)",H16:H277)</f>
        <v>0</v>
      </c>
      <c r="I289" s="558">
        <f>SUMIF(F16:F277,"SB(KPP)",I16:I277)</f>
        <v>0</v>
      </c>
      <c r="J289" s="25"/>
      <c r="K289" s="136"/>
      <c r="L289" s="136"/>
      <c r="M289" s="136"/>
    </row>
    <row r="290" spans="1:45" ht="27" customHeight="1" x14ac:dyDescent="0.25">
      <c r="A290" s="1594" t="s">
        <v>201</v>
      </c>
      <c r="B290" s="1595"/>
      <c r="C290" s="1595"/>
      <c r="D290" s="1595"/>
      <c r="E290" s="1595"/>
      <c r="F290" s="1596"/>
      <c r="G290" s="565">
        <f>SUMIF(F16:F277,"SB(ES)",G16:G277)</f>
        <v>1056.5999999999999</v>
      </c>
      <c r="H290" s="575">
        <f>SUMIF(F16:F277,"SB(ES)",H16:H277)</f>
        <v>0</v>
      </c>
      <c r="I290" s="558">
        <f>SUMIF(F16:F277,"SB(ES)",I16:I277)</f>
        <v>0</v>
      </c>
    </row>
    <row r="291" spans="1:45" ht="14.25" customHeight="1" x14ac:dyDescent="0.25">
      <c r="A291" s="1639" t="s">
        <v>49</v>
      </c>
      <c r="B291" s="1640"/>
      <c r="C291" s="1640"/>
      <c r="D291" s="1640"/>
      <c r="E291" s="1640"/>
      <c r="F291" s="1641"/>
      <c r="G291" s="566">
        <f>SUMIF(F16:F277,"SB(L)",G16:G277)</f>
        <v>5653.1</v>
      </c>
      <c r="H291" s="576">
        <f>SUMIF(F16:F277,"SB(L)",H16:H277)</f>
        <v>0</v>
      </c>
      <c r="I291" s="559">
        <f>SUMIF(F16:F277,"SB(L)",I16:I277)</f>
        <v>0</v>
      </c>
    </row>
    <row r="292" spans="1:45" x14ac:dyDescent="0.25">
      <c r="A292" s="1639" t="s">
        <v>66</v>
      </c>
      <c r="B292" s="1640"/>
      <c r="C292" s="1640"/>
      <c r="D292" s="1640"/>
      <c r="E292" s="1640"/>
      <c r="F292" s="1641"/>
      <c r="G292" s="567">
        <f>SUMIF(F16:F277,"SB(SPL)",G16:G277)</f>
        <v>2.9</v>
      </c>
      <c r="H292" s="577">
        <f>SUMIF(F16:F277,"SB(SPL)",H16:H277)</f>
        <v>0</v>
      </c>
      <c r="I292" s="560">
        <f>SUMIF(F16:F277,"SB(SPL)",I16:I277)</f>
        <v>0</v>
      </c>
    </row>
    <row r="293" spans="1:45" ht="27.65" customHeight="1" x14ac:dyDescent="0.25">
      <c r="A293" s="1639" t="s">
        <v>200</v>
      </c>
      <c r="B293" s="1640"/>
      <c r="C293" s="1640"/>
      <c r="D293" s="1640"/>
      <c r="E293" s="1640"/>
      <c r="F293" s="1641"/>
      <c r="G293" s="567">
        <f>SUMIF(F16:F277,"SB(VBL)",G16:G277)</f>
        <v>88.7</v>
      </c>
      <c r="H293" s="577">
        <f>SUMIF(F16:F277,"SB(VBL)",H16:H277)</f>
        <v>0</v>
      </c>
      <c r="I293" s="560">
        <f>SUMIF(F16:F277,"SB(VBL)",I16:I277)</f>
        <v>0</v>
      </c>
    </row>
    <row r="294" spans="1:45" ht="26.9" customHeight="1" x14ac:dyDescent="0.25">
      <c r="A294" s="1639" t="s">
        <v>199</v>
      </c>
      <c r="B294" s="1640"/>
      <c r="C294" s="1640"/>
      <c r="D294" s="1640"/>
      <c r="E294" s="1640"/>
      <c r="F294" s="1641"/>
      <c r="G294" s="567">
        <f>SUMIF(F16:F277,"SB(ESL)",G16:G277)</f>
        <v>1003.1</v>
      </c>
      <c r="H294" s="577">
        <f>SUMIF(F16:F277,"SB(ESL)",H16:H277)</f>
        <v>0</v>
      </c>
      <c r="I294" s="560">
        <f>SUMIF(F16:F277,"SB(ESL)",I16:I277)</f>
        <v>0</v>
      </c>
    </row>
    <row r="295" spans="1:45" ht="13.4" customHeight="1" x14ac:dyDescent="0.25">
      <c r="A295" s="1639" t="s">
        <v>315</v>
      </c>
      <c r="B295" s="1640"/>
      <c r="C295" s="1640"/>
      <c r="D295" s="1640"/>
      <c r="E295" s="1640"/>
      <c r="F295" s="1641"/>
      <c r="G295" s="1005">
        <f>SUMIF(F16:F277,"SB(SPIL)",G16:G277)</f>
        <v>594.79999999999995</v>
      </c>
      <c r="H295" s="1007">
        <f>SUMIF(F16:F277,"SB(SPIL)",H16:H277)</f>
        <v>0</v>
      </c>
      <c r="I295" s="1006">
        <f>SUMIF(F16:F277,"SB(SPIL)",I16:I277)</f>
        <v>0</v>
      </c>
    </row>
    <row r="296" spans="1:45" x14ac:dyDescent="0.25">
      <c r="A296" s="1642" t="s">
        <v>13</v>
      </c>
      <c r="B296" s="1643"/>
      <c r="C296" s="1643"/>
      <c r="D296" s="1643"/>
      <c r="E296" s="1643"/>
      <c r="F296" s="1644"/>
      <c r="G296" s="568">
        <f>SUM(G297:G298)</f>
        <v>22.9</v>
      </c>
      <c r="H296" s="578">
        <f>SUM(H297:H298)</f>
        <v>476</v>
      </c>
      <c r="I296" s="561">
        <f>SUM(I297:I298)</f>
        <v>2845</v>
      </c>
    </row>
    <row r="297" spans="1:45" ht="14.25" customHeight="1" x14ac:dyDescent="0.25">
      <c r="A297" s="1594" t="s">
        <v>19</v>
      </c>
      <c r="B297" s="1595"/>
      <c r="C297" s="1595"/>
      <c r="D297" s="1595"/>
      <c r="E297" s="1595"/>
      <c r="F297" s="1596"/>
      <c r="G297" s="569">
        <f>SUMIF(F16:F277,"ES",G16:G277)</f>
        <v>0</v>
      </c>
      <c r="H297" s="579">
        <f>SUMIF(F16:F277,"ES",H16:H277)</f>
        <v>426</v>
      </c>
      <c r="I297" s="562">
        <f>SUMIF(F16:F277,"ES",I16:I277)</f>
        <v>2795</v>
      </c>
    </row>
    <row r="298" spans="1:45" ht="15.75" customHeight="1" x14ac:dyDescent="0.25">
      <c r="A298" s="1630" t="s">
        <v>21</v>
      </c>
      <c r="B298" s="1631"/>
      <c r="C298" s="1631"/>
      <c r="D298" s="1631"/>
      <c r="E298" s="1631"/>
      <c r="F298" s="1632"/>
      <c r="G298" s="565">
        <f>SUMIF(F16:F277,"Kt",G16:G277)</f>
        <v>22.9</v>
      </c>
      <c r="H298" s="575">
        <f>SUMIF(F16:F277,"Kt",H16:H277)</f>
        <v>50</v>
      </c>
      <c r="I298" s="558">
        <f>SUMIF(F16:F277,"Kt",I16:I277)</f>
        <v>50</v>
      </c>
    </row>
    <row r="299" spans="1:45" ht="15" customHeight="1" thickBot="1" x14ac:dyDescent="0.3">
      <c r="A299" s="1633" t="s">
        <v>14</v>
      </c>
      <c r="B299" s="1634"/>
      <c r="C299" s="1634"/>
      <c r="D299" s="1634"/>
      <c r="E299" s="1634"/>
      <c r="F299" s="1635"/>
      <c r="G299" s="570">
        <f>SUM(G282,G296)</f>
        <v>22125.200000000001</v>
      </c>
      <c r="H299" s="580">
        <f>SUM(H282,H296)</f>
        <v>20970.7</v>
      </c>
      <c r="I299" s="563">
        <f>SUM(I282,I296)</f>
        <v>22087.9</v>
      </c>
      <c r="K299" s="137"/>
      <c r="L299" s="137"/>
      <c r="M299" s="137"/>
    </row>
    <row r="300" spans="1:45" x14ac:dyDescent="0.25">
      <c r="F300" s="263"/>
      <c r="G300" s="264"/>
      <c r="H300" s="264"/>
      <c r="I300" s="264"/>
      <c r="J300" s="5"/>
      <c r="K300" s="1"/>
      <c r="L300" s="1"/>
      <c r="M300" s="1"/>
    </row>
    <row r="301" spans="1:45" x14ac:dyDescent="0.25">
      <c r="G301" s="74"/>
      <c r="H301" s="74"/>
      <c r="I301" s="74"/>
      <c r="J301" s="5"/>
      <c r="K301" s="138"/>
      <c r="L301" s="138"/>
      <c r="M301" s="138"/>
    </row>
    <row r="302" spans="1:45" x14ac:dyDescent="0.25">
      <c r="G302" s="10"/>
      <c r="H302" s="10"/>
      <c r="I302" s="10"/>
    </row>
    <row r="303" spans="1:45" x14ac:dyDescent="0.25">
      <c r="G303" s="10"/>
      <c r="H303" s="10"/>
      <c r="I303" s="10"/>
    </row>
    <row r="304" spans="1:45" s="14" customFormat="1" x14ac:dyDescent="0.25">
      <c r="A304" s="3"/>
      <c r="B304" s="3"/>
      <c r="C304" s="3"/>
      <c r="D304" s="3"/>
      <c r="E304" s="8"/>
      <c r="G304" s="736"/>
      <c r="H304" s="736"/>
      <c r="I304" s="736"/>
      <c r="J304" s="3"/>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row>
    <row r="305" spans="1:45" s="14" customFormat="1" x14ac:dyDescent="0.25">
      <c r="A305" s="3"/>
      <c r="B305" s="3"/>
      <c r="C305" s="3"/>
      <c r="D305" s="3"/>
      <c r="E305" s="8"/>
      <c r="G305" s="3"/>
      <c r="H305" s="3"/>
      <c r="I305" s="3"/>
      <c r="J305" s="10"/>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row>
    <row r="306" spans="1:45" s="14" customFormat="1" x14ac:dyDescent="0.25">
      <c r="A306" s="3"/>
      <c r="B306" s="3"/>
      <c r="C306" s="3"/>
      <c r="D306" s="3"/>
      <c r="E306" s="8"/>
      <c r="G306" s="10"/>
      <c r="H306" s="10"/>
      <c r="I306" s="10"/>
      <c r="J306" s="3"/>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row>
  </sheetData>
  <mergeCells count="183">
    <mergeCell ref="J135:J136"/>
    <mergeCell ref="K135:K136"/>
    <mergeCell ref="L135:L136"/>
    <mergeCell ref="M135:M136"/>
    <mergeCell ref="J1:M1"/>
    <mergeCell ref="A4:M4"/>
    <mergeCell ref="A5:M5"/>
    <mergeCell ref="A6:M6"/>
    <mergeCell ref="L8:M8"/>
    <mergeCell ref="A9:A11"/>
    <mergeCell ref="B9:B11"/>
    <mergeCell ref="C9:C11"/>
    <mergeCell ref="D9:D11"/>
    <mergeCell ref="J2:M2"/>
    <mergeCell ref="A13:M13"/>
    <mergeCell ref="B14:M14"/>
    <mergeCell ref="C15:M15"/>
    <mergeCell ref="D16:D26"/>
    <mergeCell ref="J16:J26"/>
    <mergeCell ref="I9:I11"/>
    <mergeCell ref="J9:M9"/>
    <mergeCell ref="J10:J11"/>
    <mergeCell ref="K10:M10"/>
    <mergeCell ref="A12:M12"/>
    <mergeCell ref="E9:E11"/>
    <mergeCell ref="F9:F11"/>
    <mergeCell ref="G9:G11"/>
    <mergeCell ref="H9:H11"/>
    <mergeCell ref="D49:D52"/>
    <mergeCell ref="D53:D56"/>
    <mergeCell ref="D40:D44"/>
    <mergeCell ref="J42:J44"/>
    <mergeCell ref="D45:D48"/>
    <mergeCell ref="J45:J48"/>
    <mergeCell ref="J32:J36"/>
    <mergeCell ref="J37:J38"/>
    <mergeCell ref="D27:D31"/>
    <mergeCell ref="D32:D36"/>
    <mergeCell ref="J29:J30"/>
    <mergeCell ref="J27:J28"/>
    <mergeCell ref="A71:A73"/>
    <mergeCell ref="B71:B73"/>
    <mergeCell ref="C71:C73"/>
    <mergeCell ref="D71:D73"/>
    <mergeCell ref="J57:J60"/>
    <mergeCell ref="D61:D63"/>
    <mergeCell ref="J61:J63"/>
    <mergeCell ref="D64:D65"/>
    <mergeCell ref="D68:D70"/>
    <mergeCell ref="D80:D83"/>
    <mergeCell ref="E82:E86"/>
    <mergeCell ref="A94:A97"/>
    <mergeCell ref="B94:B97"/>
    <mergeCell ref="C94:C97"/>
    <mergeCell ref="D94:D97"/>
    <mergeCell ref="D74:E74"/>
    <mergeCell ref="D75:D76"/>
    <mergeCell ref="A77:A79"/>
    <mergeCell ref="B77:B79"/>
    <mergeCell ref="C77:C79"/>
    <mergeCell ref="D77:D79"/>
    <mergeCell ref="D108:E108"/>
    <mergeCell ref="D109:D110"/>
    <mergeCell ref="J109:J110"/>
    <mergeCell ref="D111:D116"/>
    <mergeCell ref="J116:J117"/>
    <mergeCell ref="D98:D101"/>
    <mergeCell ref="D102:D103"/>
    <mergeCell ref="A104:A107"/>
    <mergeCell ref="B104:B107"/>
    <mergeCell ref="C104:C107"/>
    <mergeCell ref="D104:D107"/>
    <mergeCell ref="D133:D134"/>
    <mergeCell ref="A141:A142"/>
    <mergeCell ref="B141:B142"/>
    <mergeCell ref="C141:C142"/>
    <mergeCell ref="D141:D142"/>
    <mergeCell ref="D122:D125"/>
    <mergeCell ref="A126:A128"/>
    <mergeCell ref="B126:B128"/>
    <mergeCell ref="D126:D128"/>
    <mergeCell ref="D129:D130"/>
    <mergeCell ref="D138:D140"/>
    <mergeCell ref="K145:K146"/>
    <mergeCell ref="L145:L146"/>
    <mergeCell ref="M145:M146"/>
    <mergeCell ref="J147:J148"/>
    <mergeCell ref="K147:K148"/>
    <mergeCell ref="L147:L148"/>
    <mergeCell ref="M147:M148"/>
    <mergeCell ref="A143:A144"/>
    <mergeCell ref="B143:B144"/>
    <mergeCell ref="C143:C144"/>
    <mergeCell ref="D143:D144"/>
    <mergeCell ref="J145:J146"/>
    <mergeCell ref="J159:J160"/>
    <mergeCell ref="A163:A164"/>
    <mergeCell ref="B163:B164"/>
    <mergeCell ref="C163:C164"/>
    <mergeCell ref="D163:D164"/>
    <mergeCell ref="E163:E164"/>
    <mergeCell ref="J163:J164"/>
    <mergeCell ref="D153:D154"/>
    <mergeCell ref="D155:D156"/>
    <mergeCell ref="D157:D158"/>
    <mergeCell ref="D159:D160"/>
    <mergeCell ref="J157:J158"/>
    <mergeCell ref="C193:F193"/>
    <mergeCell ref="J193:M193"/>
    <mergeCell ref="C194:M194"/>
    <mergeCell ref="D197:D199"/>
    <mergeCell ref="D167:D169"/>
    <mergeCell ref="K163:K164"/>
    <mergeCell ref="L163:L164"/>
    <mergeCell ref="M163:M164"/>
    <mergeCell ref="A165:A166"/>
    <mergeCell ref="B165:B166"/>
    <mergeCell ref="C165:C166"/>
    <mergeCell ref="D165:D166"/>
    <mergeCell ref="D195:D196"/>
    <mergeCell ref="C218:M218"/>
    <mergeCell ref="D226:D227"/>
    <mergeCell ref="D219:D221"/>
    <mergeCell ref="D200:D204"/>
    <mergeCell ref="J200:J201"/>
    <mergeCell ref="J202:J203"/>
    <mergeCell ref="J205:J206"/>
    <mergeCell ref="C217:F217"/>
    <mergeCell ref="J217:M217"/>
    <mergeCell ref="K251:K252"/>
    <mergeCell ref="L251:L252"/>
    <mergeCell ref="M251:M252"/>
    <mergeCell ref="C260:F260"/>
    <mergeCell ref="J260:M260"/>
    <mergeCell ref="E236:E237"/>
    <mergeCell ref="D238:D243"/>
    <mergeCell ref="J238:J239"/>
    <mergeCell ref="D251:D252"/>
    <mergeCell ref="C236:C237"/>
    <mergeCell ref="D236:D237"/>
    <mergeCell ref="D246:D247"/>
    <mergeCell ref="A298:F298"/>
    <mergeCell ref="A299:F299"/>
    <mergeCell ref="D37:D39"/>
    <mergeCell ref="A294:F294"/>
    <mergeCell ref="A295:F295"/>
    <mergeCell ref="A296:F296"/>
    <mergeCell ref="A288:F288"/>
    <mergeCell ref="A289:F289"/>
    <mergeCell ref="A290:F290"/>
    <mergeCell ref="A291:F291"/>
    <mergeCell ref="A292:F292"/>
    <mergeCell ref="A293:F293"/>
    <mergeCell ref="A284:F284"/>
    <mergeCell ref="A285:F285"/>
    <mergeCell ref="A286:F286"/>
    <mergeCell ref="A287:F287"/>
    <mergeCell ref="A278:J278"/>
    <mergeCell ref="A281:F281"/>
    <mergeCell ref="D268:D269"/>
    <mergeCell ref="A236:A237"/>
    <mergeCell ref="B236:B237"/>
    <mergeCell ref="D231:D233"/>
    <mergeCell ref="J233:J234"/>
    <mergeCell ref="J268:J269"/>
    <mergeCell ref="D270:D272"/>
    <mergeCell ref="C261:F261"/>
    <mergeCell ref="J261:M261"/>
    <mergeCell ref="D262:D265"/>
    <mergeCell ref="A297:F297"/>
    <mergeCell ref="A282:F282"/>
    <mergeCell ref="A283:F283"/>
    <mergeCell ref="C275:F275"/>
    <mergeCell ref="J275:M275"/>
    <mergeCell ref="B276:F276"/>
    <mergeCell ref="J276:M276"/>
    <mergeCell ref="B277:F277"/>
    <mergeCell ref="J277:M277"/>
    <mergeCell ref="A266:A267"/>
    <mergeCell ref="B266:B267"/>
    <mergeCell ref="C266:C267"/>
    <mergeCell ref="D266:D267"/>
    <mergeCell ref="A280:I280"/>
  </mergeCells>
  <printOptions horizontalCentered="1"/>
  <pageMargins left="0.78740157480314965" right="0.39370078740157483" top="0.39370078740157483" bottom="0.39370078740157483" header="0" footer="0"/>
  <pageSetup paperSize="9" scale="65" orientation="portrait" r:id="rId1"/>
  <rowBreaks count="5" manualBreakCount="5">
    <brk id="70" max="12" man="1"/>
    <brk id="130" max="12" man="1"/>
    <brk id="181" max="12" man="1"/>
    <brk id="235" max="12" man="1"/>
    <brk id="272"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307"/>
  <sheetViews>
    <sheetView zoomScaleNormal="100" zoomScaleSheetLayoutView="80" workbookViewId="0">
      <selection activeCell="P253" sqref="P253"/>
    </sheetView>
  </sheetViews>
  <sheetFormatPr defaultColWidth="9.1796875" defaultRowHeight="13" x14ac:dyDescent="0.25"/>
  <cols>
    <col min="1" max="3" width="2.81640625" style="3" customWidth="1"/>
    <col min="4" max="4" width="32" style="3" customWidth="1"/>
    <col min="5" max="5" width="4.1796875" style="8" customWidth="1"/>
    <col min="6" max="6" width="8.1796875" style="14" customWidth="1"/>
    <col min="7" max="9" width="8" style="3" customWidth="1"/>
    <col min="10" max="10" width="6.54296875" style="3" customWidth="1"/>
    <col min="11" max="12" width="8" style="3" customWidth="1"/>
    <col min="13" max="13" width="6.54296875" style="3" customWidth="1"/>
    <col min="14" max="14" width="38.453125" style="3" customWidth="1"/>
    <col min="15" max="17" width="4.54296875" style="14" customWidth="1"/>
    <col min="18" max="20" width="9.1796875" style="2" customWidth="1"/>
    <col min="21" max="21" width="12.1796875" style="2" customWidth="1"/>
    <col min="22" max="16384" width="9.1796875" style="2"/>
  </cols>
  <sheetData>
    <row r="1" spans="1:22" ht="32.25" customHeight="1" x14ac:dyDescent="0.25">
      <c r="G1" s="14"/>
      <c r="H1" s="14"/>
      <c r="I1" s="14"/>
      <c r="J1" s="14"/>
      <c r="K1" s="14"/>
      <c r="L1" s="14"/>
      <c r="M1" s="14"/>
      <c r="N1" s="1761" t="s">
        <v>339</v>
      </c>
      <c r="O1" s="1761"/>
      <c r="P1" s="1761"/>
      <c r="Q1" s="1761"/>
    </row>
    <row r="2" spans="1:22" ht="14.25" customHeight="1" x14ac:dyDescent="0.25">
      <c r="G2" s="14"/>
      <c r="H2" s="14"/>
      <c r="I2" s="14"/>
      <c r="J2" s="14"/>
      <c r="K2" s="14"/>
      <c r="L2" s="14"/>
      <c r="M2" s="14"/>
      <c r="N2" s="1761" t="s">
        <v>340</v>
      </c>
      <c r="O2" s="1761"/>
      <c r="P2" s="1761"/>
      <c r="Q2" s="1761"/>
    </row>
    <row r="3" spans="1:22" ht="12" customHeight="1" x14ac:dyDescent="0.25">
      <c r="G3" s="14"/>
      <c r="H3" s="14"/>
      <c r="I3" s="14"/>
      <c r="J3" s="14"/>
      <c r="K3" s="14"/>
      <c r="L3" s="14"/>
      <c r="M3" s="14"/>
      <c r="N3" s="201"/>
      <c r="O3" s="201"/>
      <c r="P3" s="201"/>
      <c r="Q3" s="201"/>
    </row>
    <row r="4" spans="1:22" s="3" customFormat="1" ht="15" customHeight="1" x14ac:dyDescent="0.25">
      <c r="A4" s="1762" t="s">
        <v>338</v>
      </c>
      <c r="B4" s="1762"/>
      <c r="C4" s="1762"/>
      <c r="D4" s="1762"/>
      <c r="E4" s="1762"/>
      <c r="F4" s="1762"/>
      <c r="G4" s="1762"/>
      <c r="H4" s="1762"/>
      <c r="I4" s="1762"/>
      <c r="J4" s="1762"/>
      <c r="K4" s="1762"/>
      <c r="L4" s="1762"/>
      <c r="M4" s="1762"/>
      <c r="N4" s="1762"/>
      <c r="O4" s="1762"/>
      <c r="P4" s="1762"/>
      <c r="Q4" s="1762"/>
      <c r="U4" s="2"/>
      <c r="V4" s="2"/>
    </row>
    <row r="5" spans="1:22" ht="15" customHeight="1" x14ac:dyDescent="0.25">
      <c r="A5" s="1763" t="s">
        <v>23</v>
      </c>
      <c r="B5" s="1763"/>
      <c r="C5" s="1763"/>
      <c r="D5" s="1763"/>
      <c r="E5" s="1763"/>
      <c r="F5" s="1763"/>
      <c r="G5" s="1763"/>
      <c r="H5" s="1763"/>
      <c r="I5" s="1763"/>
      <c r="J5" s="1763"/>
      <c r="K5" s="1763"/>
      <c r="L5" s="1763"/>
      <c r="M5" s="1763"/>
      <c r="N5" s="1763"/>
      <c r="O5" s="1763"/>
      <c r="P5" s="1763"/>
      <c r="Q5" s="1763"/>
    </row>
    <row r="6" spans="1:22" ht="15.5" x14ac:dyDescent="0.25">
      <c r="A6" s="1764" t="s">
        <v>76</v>
      </c>
      <c r="B6" s="1764"/>
      <c r="C6" s="1764"/>
      <c r="D6" s="1764"/>
      <c r="E6" s="1764"/>
      <c r="F6" s="1764"/>
      <c r="G6" s="1764"/>
      <c r="H6" s="1764"/>
      <c r="I6" s="1764"/>
      <c r="J6" s="1764"/>
      <c r="K6" s="1764"/>
      <c r="L6" s="1764"/>
      <c r="M6" s="1764"/>
      <c r="N6" s="1764"/>
      <c r="O6" s="1764"/>
      <c r="P6" s="1764"/>
      <c r="Q6" s="1764"/>
    </row>
    <row r="7" spans="1:22" ht="14.5" customHeight="1" x14ac:dyDescent="0.25">
      <c r="E7" s="951"/>
      <c r="F7" s="1263"/>
      <c r="N7" s="934"/>
      <c r="O7" s="1263"/>
      <c r="P7" s="1263"/>
      <c r="Q7" s="1263"/>
    </row>
    <row r="8" spans="1:22" ht="12" customHeight="1" thickBot="1" x14ac:dyDescent="0.35">
      <c r="E8" s="951"/>
      <c r="F8" s="137"/>
      <c r="N8" s="934"/>
      <c r="O8" s="2"/>
      <c r="P8" s="1765" t="s">
        <v>73</v>
      </c>
      <c r="Q8" s="1765"/>
    </row>
    <row r="9" spans="1:22" s="27" customFormat="1" ht="24.75" customHeight="1" x14ac:dyDescent="0.25">
      <c r="A9" s="1766" t="s">
        <v>15</v>
      </c>
      <c r="B9" s="1736" t="s">
        <v>0</v>
      </c>
      <c r="C9" s="1736" t="s">
        <v>1</v>
      </c>
      <c r="D9" s="1769" t="s">
        <v>10</v>
      </c>
      <c r="E9" s="1736" t="s">
        <v>221</v>
      </c>
      <c r="F9" s="1739" t="s">
        <v>2</v>
      </c>
      <c r="G9" s="1821" t="s">
        <v>224</v>
      </c>
      <c r="H9" s="1823" t="s">
        <v>318</v>
      </c>
      <c r="I9" s="1812" t="s">
        <v>360</v>
      </c>
      <c r="J9" s="1826" t="s">
        <v>358</v>
      </c>
      <c r="K9" s="1812" t="s">
        <v>225</v>
      </c>
      <c r="L9" s="1812" t="s">
        <v>361</v>
      </c>
      <c r="M9" s="1826" t="s">
        <v>358</v>
      </c>
      <c r="N9" s="1828" t="s">
        <v>9</v>
      </c>
      <c r="O9" s="1829"/>
      <c r="P9" s="1829"/>
      <c r="Q9" s="1830"/>
    </row>
    <row r="10" spans="1:22" s="27" customFormat="1" ht="18.75" customHeight="1" x14ac:dyDescent="0.25">
      <c r="A10" s="1767"/>
      <c r="B10" s="1737"/>
      <c r="C10" s="1737"/>
      <c r="D10" s="1770"/>
      <c r="E10" s="1737"/>
      <c r="F10" s="1740"/>
      <c r="G10" s="1822"/>
      <c r="H10" s="1824"/>
      <c r="I10" s="1813"/>
      <c r="J10" s="1827"/>
      <c r="K10" s="1813"/>
      <c r="L10" s="1813"/>
      <c r="M10" s="1827"/>
      <c r="N10" s="1825" t="s">
        <v>10</v>
      </c>
      <c r="O10" s="1798" t="s">
        <v>213</v>
      </c>
      <c r="P10" s="1799"/>
      <c r="Q10" s="1800"/>
    </row>
    <row r="11" spans="1:22" s="27" customFormat="1" ht="84" customHeight="1" thickBot="1" x14ac:dyDescent="0.3">
      <c r="A11" s="1767"/>
      <c r="B11" s="1737"/>
      <c r="C11" s="1737"/>
      <c r="D11" s="1770"/>
      <c r="E11" s="1737"/>
      <c r="F11" s="1740"/>
      <c r="G11" s="1822"/>
      <c r="H11" s="1824"/>
      <c r="I11" s="1813"/>
      <c r="J11" s="1827"/>
      <c r="K11" s="1813"/>
      <c r="L11" s="1813"/>
      <c r="M11" s="1827"/>
      <c r="N11" s="1792"/>
      <c r="O11" s="1476" t="s">
        <v>227</v>
      </c>
      <c r="P11" s="1429" t="s">
        <v>228</v>
      </c>
      <c r="Q11" s="1477" t="s">
        <v>229</v>
      </c>
    </row>
    <row r="12" spans="1:22" s="7" customFormat="1" ht="15" customHeight="1" x14ac:dyDescent="0.25">
      <c r="A12" s="1795" t="s">
        <v>50</v>
      </c>
      <c r="B12" s="1796"/>
      <c r="C12" s="1796"/>
      <c r="D12" s="1796"/>
      <c r="E12" s="1796"/>
      <c r="F12" s="1796"/>
      <c r="G12" s="1796"/>
      <c r="H12" s="1796"/>
      <c r="I12" s="1796"/>
      <c r="J12" s="1796"/>
      <c r="K12" s="1796"/>
      <c r="L12" s="1796"/>
      <c r="M12" s="1796"/>
      <c r="N12" s="1796"/>
      <c r="O12" s="1796"/>
      <c r="P12" s="1796"/>
      <c r="Q12" s="1797"/>
      <c r="U12" s="1538"/>
      <c r="V12" s="1538"/>
    </row>
    <row r="13" spans="1:22" s="7" customFormat="1" ht="14.25" customHeight="1" x14ac:dyDescent="0.25">
      <c r="A13" s="1814" t="s">
        <v>41</v>
      </c>
      <c r="B13" s="1815"/>
      <c r="C13" s="1815"/>
      <c r="D13" s="1815"/>
      <c r="E13" s="1815"/>
      <c r="F13" s="1815"/>
      <c r="G13" s="1815"/>
      <c r="H13" s="1815"/>
      <c r="I13" s="1815"/>
      <c r="J13" s="1815"/>
      <c r="K13" s="1815"/>
      <c r="L13" s="1815"/>
      <c r="M13" s="1815"/>
      <c r="N13" s="1815"/>
      <c r="O13" s="1816"/>
      <c r="P13" s="1816"/>
      <c r="Q13" s="1779"/>
      <c r="U13" s="1538"/>
      <c r="V13" s="1538"/>
    </row>
    <row r="14" spans="1:22" ht="15" customHeight="1" x14ac:dyDescent="0.25">
      <c r="A14" s="425" t="s">
        <v>3</v>
      </c>
      <c r="B14" s="1817" t="s">
        <v>51</v>
      </c>
      <c r="C14" s="1818"/>
      <c r="D14" s="1818"/>
      <c r="E14" s="1818"/>
      <c r="F14" s="1818"/>
      <c r="G14" s="1818"/>
      <c r="H14" s="1818"/>
      <c r="I14" s="1818"/>
      <c r="J14" s="1818"/>
      <c r="K14" s="1818"/>
      <c r="L14" s="1818"/>
      <c r="M14" s="1818"/>
      <c r="N14" s="1818"/>
      <c r="O14" s="1819"/>
      <c r="P14" s="1819"/>
      <c r="Q14" s="1820"/>
    </row>
    <row r="15" spans="1:22" ht="15.75" customHeight="1" x14ac:dyDescent="0.25">
      <c r="A15" s="23" t="s">
        <v>3</v>
      </c>
      <c r="B15" s="24" t="s">
        <v>3</v>
      </c>
      <c r="C15" s="1780" t="s">
        <v>38</v>
      </c>
      <c r="D15" s="1781"/>
      <c r="E15" s="1781"/>
      <c r="F15" s="1781"/>
      <c r="G15" s="1781"/>
      <c r="H15" s="1781"/>
      <c r="I15" s="1781"/>
      <c r="J15" s="1781"/>
      <c r="K15" s="1781"/>
      <c r="L15" s="1781"/>
      <c r="M15" s="1781"/>
      <c r="N15" s="1781"/>
      <c r="O15" s="1774"/>
      <c r="P15" s="1774"/>
      <c r="Q15" s="1775"/>
    </row>
    <row r="16" spans="1:22" ht="15" customHeight="1" x14ac:dyDescent="0.25">
      <c r="A16" s="1497" t="s">
        <v>3</v>
      </c>
      <c r="B16" s="1508" t="s">
        <v>3</v>
      </c>
      <c r="C16" s="1506" t="s">
        <v>3</v>
      </c>
      <c r="D16" s="1592" t="s">
        <v>70</v>
      </c>
      <c r="E16" s="83"/>
      <c r="F16" s="1405" t="s">
        <v>22</v>
      </c>
      <c r="G16" s="870">
        <v>2676.7</v>
      </c>
      <c r="H16" s="1401">
        <v>6037.7</v>
      </c>
      <c r="I16" s="1401">
        <f>6037.7-400</f>
        <v>5637.7</v>
      </c>
      <c r="J16" s="1412">
        <f>+I16-H16</f>
        <v>-400</v>
      </c>
      <c r="K16" s="1401">
        <v>9539.7000000000007</v>
      </c>
      <c r="L16" s="1401">
        <f>9539.7-400</f>
        <v>9139.7000000000007</v>
      </c>
      <c r="M16" s="1407">
        <f>+L16-K16</f>
        <v>-400</v>
      </c>
      <c r="N16" s="1783"/>
      <c r="O16" s="426"/>
      <c r="P16" s="289"/>
      <c r="Q16" s="1385"/>
      <c r="R16" s="1248" t="s">
        <v>22</v>
      </c>
      <c r="S16" s="1249">
        <f>+G28+G41+G50+G57+G61+G65+G69+G75+G77+G79+G80+G94+G96+G97+G98+G104+G105+G106+G107+G109+G111+G118+G119+G124+G129+G131+G132+G133</f>
        <v>2676.7</v>
      </c>
      <c r="T16" s="1249">
        <f>+H28+H41+H50+H57+H61+H65+H69+H75+H77+H79+H80+H94+H96+H97+H98+H104+H105+H106+H107+H109+H111+H118+H119+H124+H129+H131+H132+H133</f>
        <v>6037.7</v>
      </c>
      <c r="U16" s="1249">
        <f>+K28+K41+K50+K57+K61+K65+K69+K75+K77+K79+K80+K94+K96+K97+K98+K104+K105+K106+K107+K109+K111+K118+K119+K124+K129+K131+K132+K133</f>
        <v>9539.7000000000007</v>
      </c>
    </row>
    <row r="17" spans="1:21" ht="15" customHeight="1" x14ac:dyDescent="0.25">
      <c r="A17" s="1497"/>
      <c r="B17" s="1508"/>
      <c r="C17" s="1506"/>
      <c r="D17" s="1782"/>
      <c r="E17" s="171"/>
      <c r="F17" s="196" t="s">
        <v>183</v>
      </c>
      <c r="G17" s="170"/>
      <c r="H17" s="153">
        <v>2964.9</v>
      </c>
      <c r="I17" s="153">
        <v>2964.9</v>
      </c>
      <c r="J17" s="743"/>
      <c r="K17" s="153"/>
      <c r="L17" s="153"/>
      <c r="M17" s="39"/>
      <c r="N17" s="1784"/>
      <c r="O17" s="427"/>
      <c r="P17" s="290"/>
      <c r="Q17" s="1383"/>
      <c r="R17" s="1248" t="s">
        <v>183</v>
      </c>
      <c r="S17" s="1249">
        <f>+G29</f>
        <v>0</v>
      </c>
      <c r="T17" s="1249">
        <f>+H29</f>
        <v>2964.9</v>
      </c>
      <c r="U17" s="1249">
        <f>+K29</f>
        <v>0</v>
      </c>
    </row>
    <row r="18" spans="1:21" ht="15" customHeight="1" x14ac:dyDescent="0.25">
      <c r="A18" s="1497"/>
      <c r="B18" s="1508"/>
      <c r="C18" s="1506"/>
      <c r="D18" s="1782"/>
      <c r="E18" s="171"/>
      <c r="F18" s="196" t="s">
        <v>132</v>
      </c>
      <c r="G18" s="170">
        <v>30.2</v>
      </c>
      <c r="H18" s="153"/>
      <c r="I18" s="153"/>
      <c r="J18" s="743"/>
      <c r="K18" s="153"/>
      <c r="L18" s="153"/>
      <c r="M18" s="39"/>
      <c r="N18" s="1784"/>
      <c r="O18" s="427"/>
      <c r="P18" s="290"/>
      <c r="Q18" s="1383"/>
      <c r="R18" s="1248" t="s">
        <v>132</v>
      </c>
      <c r="S18" s="1249">
        <f>+G33+G39+G99</f>
        <v>30.2</v>
      </c>
      <c r="T18" s="1249">
        <f>+H33+H39+H99</f>
        <v>0</v>
      </c>
      <c r="U18" s="1249">
        <f>+K33+K39+K99</f>
        <v>0</v>
      </c>
    </row>
    <row r="19" spans="1:21" ht="15" customHeight="1" x14ac:dyDescent="0.25">
      <c r="A19" s="1497"/>
      <c r="B19" s="1508"/>
      <c r="C19" s="1506"/>
      <c r="D19" s="1782"/>
      <c r="E19" s="171"/>
      <c r="F19" s="196" t="s">
        <v>133</v>
      </c>
      <c r="G19" s="170">
        <v>52.3</v>
      </c>
      <c r="H19" s="153"/>
      <c r="I19" s="153"/>
      <c r="J19" s="743"/>
      <c r="K19" s="153"/>
      <c r="L19" s="153"/>
      <c r="M19" s="39"/>
      <c r="N19" s="1784"/>
      <c r="O19" s="427"/>
      <c r="P19" s="290"/>
      <c r="Q19" s="1383"/>
      <c r="R19" s="1248" t="s">
        <v>133</v>
      </c>
      <c r="S19" s="1249">
        <f>+G35+G37</f>
        <v>52.3</v>
      </c>
      <c r="T19" s="1249">
        <f>+H35+H37</f>
        <v>0</v>
      </c>
      <c r="U19" s="1249">
        <f>+K35+K37</f>
        <v>0</v>
      </c>
    </row>
    <row r="20" spans="1:21" ht="15" customHeight="1" x14ac:dyDescent="0.25">
      <c r="A20" s="1497"/>
      <c r="B20" s="1508"/>
      <c r="C20" s="1506"/>
      <c r="D20" s="1782"/>
      <c r="E20" s="171"/>
      <c r="F20" s="196" t="s">
        <v>37</v>
      </c>
      <c r="G20" s="170">
        <v>33.700000000000003</v>
      </c>
      <c r="H20" s="153">
        <v>33.700000000000003</v>
      </c>
      <c r="I20" s="153">
        <v>33.700000000000003</v>
      </c>
      <c r="J20" s="743"/>
      <c r="K20" s="153">
        <v>33.700000000000003</v>
      </c>
      <c r="L20" s="153">
        <v>33.700000000000003</v>
      </c>
      <c r="M20" s="39"/>
      <c r="N20" s="1784"/>
      <c r="O20" s="427"/>
      <c r="P20" s="290"/>
      <c r="Q20" s="1383"/>
      <c r="R20" s="1248" t="s">
        <v>37</v>
      </c>
      <c r="S20" s="1249">
        <f>+G112+G126+G127</f>
        <v>33.700000000000003</v>
      </c>
      <c r="T20" s="1249">
        <f>+H112+H126+H127</f>
        <v>33.700000000000003</v>
      </c>
      <c r="U20" s="1249">
        <f>+K112+K126+K127</f>
        <v>33.700000000000003</v>
      </c>
    </row>
    <row r="21" spans="1:21" ht="15" customHeight="1" x14ac:dyDescent="0.25">
      <c r="A21" s="1497"/>
      <c r="B21" s="1508"/>
      <c r="C21" s="1506"/>
      <c r="D21" s="1782"/>
      <c r="E21" s="171"/>
      <c r="F21" s="196" t="s">
        <v>48</v>
      </c>
      <c r="G21" s="170">
        <v>2223.8000000000002</v>
      </c>
      <c r="H21" s="153"/>
      <c r="I21" s="153"/>
      <c r="J21" s="743"/>
      <c r="K21" s="153"/>
      <c r="L21" s="153"/>
      <c r="M21" s="39"/>
      <c r="N21" s="1784"/>
      <c r="O21" s="427"/>
      <c r="P21" s="290"/>
      <c r="Q21" s="1383"/>
      <c r="R21" s="1248" t="s">
        <v>48</v>
      </c>
      <c r="S21" s="1249">
        <f>+G27+G32+G38+G40+G45+G49+G58+G62+G64+G68+G81+G102+G130+G134</f>
        <v>2223.8000000000002</v>
      </c>
      <c r="T21" s="1249">
        <f>+H27+H32+H38+H40+H45+H49+H58+H62+H64+H68+H81+H102+H130+H134</f>
        <v>0</v>
      </c>
      <c r="U21" s="1249">
        <f>+K27+K32+K38+K40+K45+K49+K58+K62+K64+K68+K81+K102+K130+K134</f>
        <v>0</v>
      </c>
    </row>
    <row r="22" spans="1:21" ht="15" customHeight="1" x14ac:dyDescent="0.25">
      <c r="A22" s="1497"/>
      <c r="B22" s="1508"/>
      <c r="C22" s="1506"/>
      <c r="D22" s="1782"/>
      <c r="E22" s="171"/>
      <c r="F22" s="196" t="s">
        <v>64</v>
      </c>
      <c r="G22" s="170">
        <v>2.9</v>
      </c>
      <c r="H22" s="153"/>
      <c r="I22" s="153"/>
      <c r="J22" s="743"/>
      <c r="K22" s="153"/>
      <c r="L22" s="153"/>
      <c r="M22" s="39"/>
      <c r="N22" s="1784"/>
      <c r="O22" s="427"/>
      <c r="P22" s="290"/>
      <c r="Q22" s="1383"/>
      <c r="R22" s="1248" t="s">
        <v>64</v>
      </c>
      <c r="S22" s="1249">
        <f>+G113+G125+G128</f>
        <v>2.9</v>
      </c>
      <c r="T22" s="1249">
        <f>+H113+H125+H128</f>
        <v>0</v>
      </c>
      <c r="U22" s="1249">
        <f>+K113+K125+K128</f>
        <v>0</v>
      </c>
    </row>
    <row r="23" spans="1:21" ht="15" customHeight="1" x14ac:dyDescent="0.25">
      <c r="A23" s="1497"/>
      <c r="B23" s="1508"/>
      <c r="C23" s="1506"/>
      <c r="D23" s="1782"/>
      <c r="E23" s="171"/>
      <c r="F23" s="196" t="s">
        <v>197</v>
      </c>
      <c r="G23" s="170">
        <v>53.4</v>
      </c>
      <c r="H23" s="153"/>
      <c r="I23" s="153"/>
      <c r="J23" s="743"/>
      <c r="K23" s="153"/>
      <c r="L23" s="153"/>
      <c r="M23" s="39"/>
      <c r="N23" s="1784"/>
      <c r="O23" s="427"/>
      <c r="P23" s="290"/>
      <c r="Q23" s="1383"/>
      <c r="R23" s="1248" t="s">
        <v>197</v>
      </c>
      <c r="S23" s="1249">
        <f>+G34</f>
        <v>53.4</v>
      </c>
      <c r="T23" s="1249">
        <f>+H34</f>
        <v>0</v>
      </c>
      <c r="U23" s="1249">
        <f>+K34</f>
        <v>0</v>
      </c>
    </row>
    <row r="24" spans="1:21" ht="15" customHeight="1" x14ac:dyDescent="0.25">
      <c r="A24" s="1497"/>
      <c r="B24" s="1508"/>
      <c r="C24" s="1506"/>
      <c r="D24" s="1782"/>
      <c r="E24" s="171"/>
      <c r="F24" s="196" t="s">
        <v>198</v>
      </c>
      <c r="G24" s="170">
        <v>604.29999999999995</v>
      </c>
      <c r="H24" s="153"/>
      <c r="I24" s="153"/>
      <c r="J24" s="743"/>
      <c r="K24" s="153"/>
      <c r="L24" s="153"/>
      <c r="M24" s="39"/>
      <c r="N24" s="1784"/>
      <c r="O24" s="427"/>
      <c r="P24" s="290"/>
      <c r="Q24" s="1383"/>
      <c r="R24" s="1248" t="s">
        <v>198</v>
      </c>
      <c r="S24" s="1249">
        <f>+G36</f>
        <v>604.29999999999995</v>
      </c>
      <c r="T24" s="1249">
        <f>+H36</f>
        <v>0</v>
      </c>
      <c r="U24" s="1249">
        <f>+K36</f>
        <v>0</v>
      </c>
    </row>
    <row r="25" spans="1:21" ht="15" customHeight="1" x14ac:dyDescent="0.25">
      <c r="A25" s="1497"/>
      <c r="B25" s="1508"/>
      <c r="C25" s="1506"/>
      <c r="D25" s="1782"/>
      <c r="E25" s="171"/>
      <c r="F25" s="196" t="s">
        <v>195</v>
      </c>
      <c r="G25" s="170">
        <v>22.9</v>
      </c>
      <c r="H25" s="153">
        <v>50</v>
      </c>
      <c r="I25" s="153">
        <v>50</v>
      </c>
      <c r="J25" s="743"/>
      <c r="K25" s="153">
        <v>50</v>
      </c>
      <c r="L25" s="153">
        <v>50</v>
      </c>
      <c r="M25" s="39"/>
      <c r="N25" s="1784"/>
      <c r="O25" s="427"/>
      <c r="P25" s="290"/>
      <c r="Q25" s="1383"/>
      <c r="R25" s="1248" t="s">
        <v>195</v>
      </c>
      <c r="S25" s="1249">
        <f>+G53+G72</f>
        <v>22.9</v>
      </c>
      <c r="T25" s="1249">
        <f>+H53+H72</f>
        <v>50</v>
      </c>
      <c r="U25" s="1249">
        <f>+K53+K72</f>
        <v>50</v>
      </c>
    </row>
    <row r="26" spans="1:21" ht="15" customHeight="1" x14ac:dyDescent="0.25">
      <c r="A26" s="1497"/>
      <c r="B26" s="1508"/>
      <c r="C26" s="1506"/>
      <c r="D26" s="1592"/>
      <c r="E26" s="255"/>
      <c r="F26" s="869" t="s">
        <v>279</v>
      </c>
      <c r="G26" s="170"/>
      <c r="H26" s="153">
        <v>426</v>
      </c>
      <c r="I26" s="153">
        <v>426</v>
      </c>
      <c r="J26" s="741"/>
      <c r="K26" s="153">
        <v>2795</v>
      </c>
      <c r="L26" s="153">
        <v>2795</v>
      </c>
      <c r="M26" s="39"/>
      <c r="N26" s="1784"/>
      <c r="O26" s="427"/>
      <c r="P26" s="290"/>
      <c r="Q26" s="1384"/>
      <c r="R26" s="1248" t="s">
        <v>279</v>
      </c>
      <c r="S26" s="1249">
        <f>+G30+G42</f>
        <v>0</v>
      </c>
      <c r="T26" s="1249">
        <f>+H30+H42</f>
        <v>426</v>
      </c>
      <c r="U26" s="1249">
        <f>+K30+K42</f>
        <v>2795</v>
      </c>
    </row>
    <row r="27" spans="1:21" ht="15.65" customHeight="1" x14ac:dyDescent="0.25">
      <c r="A27" s="1497"/>
      <c r="B27" s="1508"/>
      <c r="C27" s="1506"/>
      <c r="D27" s="1636" t="s">
        <v>100</v>
      </c>
      <c r="E27" s="844" t="s">
        <v>178</v>
      </c>
      <c r="F27" s="1120" t="s">
        <v>343</v>
      </c>
      <c r="G27" s="1437">
        <v>500</v>
      </c>
      <c r="H27" s="1135"/>
      <c r="I27" s="1135"/>
      <c r="J27" s="1113"/>
      <c r="K27" s="1401"/>
      <c r="L27" s="1401"/>
      <c r="M27" s="1246"/>
      <c r="N27" s="1680" t="s">
        <v>285</v>
      </c>
      <c r="O27" s="428">
        <v>10</v>
      </c>
      <c r="P27" s="434">
        <v>30</v>
      </c>
      <c r="Q27" s="1475">
        <v>80</v>
      </c>
      <c r="R27" s="1248"/>
      <c r="S27" s="1249">
        <f>+S16+S17+S18+S19+S20+S21+S22+S23+S24+S25+S26</f>
        <v>5700.2</v>
      </c>
      <c r="T27" s="1249">
        <f t="shared" ref="T27:U27" si="0">+T16+T17+T18+T19+T20+T21+T22+T23+T24+T25+T26</f>
        <v>9512.2999999999993</v>
      </c>
      <c r="U27" s="1249">
        <f t="shared" si="0"/>
        <v>12418.4</v>
      </c>
    </row>
    <row r="28" spans="1:21" ht="15.65" customHeight="1" x14ac:dyDescent="0.25">
      <c r="A28" s="1497"/>
      <c r="B28" s="1508"/>
      <c r="C28" s="1506"/>
      <c r="D28" s="1637"/>
      <c r="E28" s="242" t="s">
        <v>153</v>
      </c>
      <c r="F28" s="1405" t="s">
        <v>341</v>
      </c>
      <c r="G28" s="1438"/>
      <c r="H28" s="1267">
        <v>222.6</v>
      </c>
      <c r="I28" s="1267">
        <v>222.6</v>
      </c>
      <c r="J28" s="1232"/>
      <c r="K28" s="1402">
        <f>4867-150</f>
        <v>4717</v>
      </c>
      <c r="L28" s="1402">
        <f>4717-400</f>
        <v>4317</v>
      </c>
      <c r="M28" s="1406">
        <f>+L28-K28</f>
        <v>-400</v>
      </c>
      <c r="N28" s="1663"/>
      <c r="O28" s="524"/>
      <c r="P28" s="531"/>
      <c r="Q28" s="1483">
        <v>75</v>
      </c>
      <c r="R28" s="1248"/>
      <c r="S28" s="1249">
        <f>+S27-G135</f>
        <v>0</v>
      </c>
      <c r="T28" s="1249">
        <f>+T27-H135</f>
        <v>0</v>
      </c>
      <c r="U28" s="1249">
        <f>+U27-K135</f>
        <v>0</v>
      </c>
    </row>
    <row r="29" spans="1:21" ht="15.65" customHeight="1" x14ac:dyDescent="0.25">
      <c r="A29" s="1497"/>
      <c r="B29" s="1508"/>
      <c r="C29" s="1506"/>
      <c r="D29" s="1637"/>
      <c r="E29" s="242" t="s">
        <v>262</v>
      </c>
      <c r="F29" s="1120" t="s">
        <v>346</v>
      </c>
      <c r="G29" s="1439"/>
      <c r="H29" s="1125">
        <v>2964.9</v>
      </c>
      <c r="I29" s="1125">
        <v>2964.9</v>
      </c>
      <c r="J29" s="1123"/>
      <c r="K29" s="1403"/>
      <c r="L29" s="1403"/>
      <c r="M29" s="1152"/>
      <c r="N29" s="1662" t="s">
        <v>286</v>
      </c>
      <c r="O29" s="433"/>
      <c r="P29" s="440"/>
      <c r="Q29" s="662">
        <v>30</v>
      </c>
    </row>
    <row r="30" spans="1:21" ht="15.65" customHeight="1" x14ac:dyDescent="0.25">
      <c r="A30" s="1497"/>
      <c r="B30" s="1508"/>
      <c r="C30" s="1506"/>
      <c r="D30" s="1637"/>
      <c r="E30" s="242" t="s">
        <v>136</v>
      </c>
      <c r="F30" s="1120" t="s">
        <v>347</v>
      </c>
      <c r="G30" s="1439"/>
      <c r="H30" s="1125"/>
      <c r="I30" s="1125"/>
      <c r="J30" s="1123"/>
      <c r="K30" s="1125">
        <v>1275</v>
      </c>
      <c r="L30" s="1125">
        <v>1275</v>
      </c>
      <c r="M30" s="1152"/>
      <c r="N30" s="1730"/>
      <c r="O30" s="1386"/>
      <c r="P30" s="716"/>
      <c r="Q30" s="1381"/>
    </row>
    <row r="31" spans="1:21" ht="15.65" customHeight="1" x14ac:dyDescent="0.25">
      <c r="A31" s="1497"/>
      <c r="B31" s="1508"/>
      <c r="C31" s="1506"/>
      <c r="D31" s="1637"/>
      <c r="E31" s="1084" t="s">
        <v>42</v>
      </c>
      <c r="F31" s="1224"/>
      <c r="G31" s="1220"/>
      <c r="H31" s="1268"/>
      <c r="I31" s="1221"/>
      <c r="J31" s="1234"/>
      <c r="K31" s="1404"/>
      <c r="L31" s="1404"/>
      <c r="M31" s="1226"/>
      <c r="N31" s="719"/>
      <c r="O31" s="1323"/>
      <c r="P31" s="721"/>
      <c r="Q31" s="1382"/>
    </row>
    <row r="32" spans="1:21" ht="13.4" customHeight="1" x14ac:dyDescent="0.25">
      <c r="A32" s="1497"/>
      <c r="B32" s="1508"/>
      <c r="C32" s="1506"/>
      <c r="D32" s="1636" t="s">
        <v>114</v>
      </c>
      <c r="E32" s="254" t="s">
        <v>178</v>
      </c>
      <c r="F32" s="1120" t="s">
        <v>343</v>
      </c>
      <c r="G32" s="1437">
        <v>135.80000000000001</v>
      </c>
      <c r="H32" s="1135"/>
      <c r="I32" s="1135"/>
      <c r="J32" s="1113"/>
      <c r="K32" s="1135"/>
      <c r="L32" s="1135"/>
      <c r="M32" s="1119"/>
      <c r="N32" s="1753" t="s">
        <v>287</v>
      </c>
      <c r="O32" s="428">
        <v>100</v>
      </c>
      <c r="P32" s="434"/>
      <c r="Q32" s="1076"/>
    </row>
    <row r="33" spans="1:17" ht="13.5" customHeight="1" x14ac:dyDescent="0.25">
      <c r="A33" s="1497"/>
      <c r="B33" s="1508"/>
      <c r="C33" s="1506"/>
      <c r="D33" s="1637"/>
      <c r="E33" s="242" t="s">
        <v>153</v>
      </c>
      <c r="F33" s="1120" t="s">
        <v>348</v>
      </c>
      <c r="G33" s="1439">
        <v>5.6</v>
      </c>
      <c r="H33" s="1125"/>
      <c r="I33" s="1125"/>
      <c r="J33" s="1123"/>
      <c r="K33" s="1125"/>
      <c r="L33" s="1125"/>
      <c r="M33" s="1134"/>
      <c r="N33" s="1754"/>
      <c r="O33" s="429"/>
      <c r="P33" s="435"/>
      <c r="Q33" s="682"/>
    </row>
    <row r="34" spans="1:17" ht="13.5" customHeight="1" x14ac:dyDescent="0.25">
      <c r="A34" s="1497"/>
      <c r="B34" s="1508"/>
      <c r="C34" s="1506"/>
      <c r="D34" s="1637"/>
      <c r="E34" s="242" t="s">
        <v>136</v>
      </c>
      <c r="F34" s="1120" t="s">
        <v>349</v>
      </c>
      <c r="G34" s="1439">
        <v>53.4</v>
      </c>
      <c r="H34" s="1125"/>
      <c r="I34" s="1125"/>
      <c r="J34" s="1123"/>
      <c r="K34" s="1125"/>
      <c r="L34" s="1125"/>
      <c r="M34" s="1134"/>
      <c r="N34" s="1754"/>
      <c r="O34" s="429"/>
      <c r="P34" s="435"/>
      <c r="Q34" s="682"/>
    </row>
    <row r="35" spans="1:17" ht="13.5" customHeight="1" x14ac:dyDescent="0.25">
      <c r="A35" s="1497"/>
      <c r="B35" s="1508"/>
      <c r="C35" s="1506"/>
      <c r="D35" s="1637"/>
      <c r="E35" s="250" t="s">
        <v>42</v>
      </c>
      <c r="F35" s="1120" t="s">
        <v>350</v>
      </c>
      <c r="G35" s="1439">
        <v>52</v>
      </c>
      <c r="H35" s="1125"/>
      <c r="I35" s="1125"/>
      <c r="J35" s="1123"/>
      <c r="K35" s="1125"/>
      <c r="L35" s="1125"/>
      <c r="M35" s="1134"/>
      <c r="N35" s="1754"/>
      <c r="O35" s="429"/>
      <c r="P35" s="435"/>
      <c r="Q35" s="682"/>
    </row>
    <row r="36" spans="1:17" ht="13.5" customHeight="1" x14ac:dyDescent="0.25">
      <c r="A36" s="1497"/>
      <c r="B36" s="1508"/>
      <c r="C36" s="1506"/>
      <c r="D36" s="1637"/>
      <c r="E36" s="242" t="s">
        <v>262</v>
      </c>
      <c r="F36" s="1133" t="s">
        <v>351</v>
      </c>
      <c r="G36" s="1211">
        <v>604.29999999999995</v>
      </c>
      <c r="H36" s="1273"/>
      <c r="I36" s="1273"/>
      <c r="J36" s="1123"/>
      <c r="K36" s="1212"/>
      <c r="L36" s="1212"/>
      <c r="M36" s="1134"/>
      <c r="N36" s="1754"/>
      <c r="O36" s="431"/>
      <c r="P36" s="435"/>
      <c r="Q36" s="742"/>
    </row>
    <row r="37" spans="1:17" ht="21.65" customHeight="1" x14ac:dyDescent="0.25">
      <c r="A37" s="1497"/>
      <c r="B37" s="1508"/>
      <c r="C37" s="1506"/>
      <c r="D37" s="1636" t="s">
        <v>138</v>
      </c>
      <c r="E37" s="1075" t="s">
        <v>178</v>
      </c>
      <c r="F37" s="1131" t="s">
        <v>350</v>
      </c>
      <c r="G37" s="1437">
        <v>0.3</v>
      </c>
      <c r="H37" s="1135"/>
      <c r="I37" s="1135"/>
      <c r="J37" s="1113"/>
      <c r="K37" s="1135"/>
      <c r="L37" s="1135"/>
      <c r="M37" s="1246"/>
      <c r="N37" s="1752" t="s">
        <v>163</v>
      </c>
      <c r="O37" s="429"/>
      <c r="P37" s="434"/>
      <c r="Q37" s="1076"/>
    </row>
    <row r="38" spans="1:17" ht="21.65" customHeight="1" x14ac:dyDescent="0.25">
      <c r="A38" s="1497"/>
      <c r="B38" s="1508"/>
      <c r="C38" s="1506"/>
      <c r="D38" s="1637"/>
      <c r="E38" s="1494" t="s">
        <v>136</v>
      </c>
      <c r="F38" s="1120" t="s">
        <v>343</v>
      </c>
      <c r="G38" s="1439">
        <v>1.3</v>
      </c>
      <c r="H38" s="1125"/>
      <c r="I38" s="1125"/>
      <c r="J38" s="1123"/>
      <c r="K38" s="1125"/>
      <c r="L38" s="1125"/>
      <c r="M38" s="1152"/>
      <c r="N38" s="1750"/>
      <c r="O38" s="1535"/>
      <c r="P38" s="1533"/>
      <c r="Q38" s="1380"/>
    </row>
    <row r="39" spans="1:17" ht="25.5" customHeight="1" x14ac:dyDescent="0.25">
      <c r="A39" s="1497"/>
      <c r="B39" s="1508"/>
      <c r="C39" s="1506"/>
      <c r="D39" s="1638"/>
      <c r="E39" s="250" t="s">
        <v>42</v>
      </c>
      <c r="F39" s="1133" t="s">
        <v>348</v>
      </c>
      <c r="G39" s="1211">
        <v>0.1</v>
      </c>
      <c r="H39" s="1273"/>
      <c r="I39" s="1273"/>
      <c r="J39" s="1139"/>
      <c r="K39" s="1273"/>
      <c r="L39" s="1273"/>
      <c r="M39" s="1152"/>
      <c r="N39" s="1523"/>
      <c r="O39" s="429"/>
      <c r="P39" s="435"/>
      <c r="Q39" s="682"/>
    </row>
    <row r="40" spans="1:17" ht="16.5" customHeight="1" x14ac:dyDescent="0.25">
      <c r="A40" s="1497"/>
      <c r="B40" s="1508"/>
      <c r="C40" s="1506"/>
      <c r="D40" s="1748" t="s">
        <v>119</v>
      </c>
      <c r="E40" s="254" t="s">
        <v>178</v>
      </c>
      <c r="F40" s="1200" t="s">
        <v>343</v>
      </c>
      <c r="G40" s="1200">
        <v>58.3</v>
      </c>
      <c r="H40" s="1269"/>
      <c r="I40" s="1269"/>
      <c r="J40" s="1203"/>
      <c r="K40" s="1269"/>
      <c r="L40" s="1269"/>
      <c r="M40" s="1300"/>
      <c r="N40" s="372" t="s">
        <v>71</v>
      </c>
      <c r="O40" s="432">
        <v>1</v>
      </c>
      <c r="P40" s="439"/>
      <c r="Q40" s="141"/>
    </row>
    <row r="41" spans="1:17" ht="16.399999999999999" customHeight="1" x14ac:dyDescent="0.25">
      <c r="A41" s="1497"/>
      <c r="B41" s="1508"/>
      <c r="C41" s="1506"/>
      <c r="D41" s="1748"/>
      <c r="E41" s="242" t="s">
        <v>153</v>
      </c>
      <c r="F41" s="1204" t="s">
        <v>341</v>
      </c>
      <c r="G41" s="1204"/>
      <c r="H41" s="1209">
        <v>75</v>
      </c>
      <c r="I41" s="1210">
        <v>75</v>
      </c>
      <c r="J41" s="1207"/>
      <c r="K41" s="1209">
        <v>268.3</v>
      </c>
      <c r="L41" s="1209">
        <v>268.3</v>
      </c>
      <c r="M41" s="1301"/>
      <c r="N41" s="810" t="s">
        <v>288</v>
      </c>
      <c r="O41" s="429"/>
      <c r="P41" s="435">
        <v>10</v>
      </c>
      <c r="Q41" s="682">
        <v>50</v>
      </c>
    </row>
    <row r="42" spans="1:17" ht="15" customHeight="1" x14ac:dyDescent="0.25">
      <c r="A42" s="1497"/>
      <c r="B42" s="1508"/>
      <c r="C42" s="1506"/>
      <c r="D42" s="1749"/>
      <c r="E42" s="242" t="s">
        <v>136</v>
      </c>
      <c r="F42" s="1204" t="s">
        <v>347</v>
      </c>
      <c r="G42" s="1204"/>
      <c r="H42" s="1209">
        <v>426</v>
      </c>
      <c r="I42" s="1209">
        <v>426</v>
      </c>
      <c r="J42" s="1207"/>
      <c r="K42" s="1209">
        <v>1520</v>
      </c>
      <c r="L42" s="1209">
        <v>1520</v>
      </c>
      <c r="M42" s="1301"/>
      <c r="N42" s="1750"/>
      <c r="O42" s="429"/>
      <c r="P42" s="435"/>
      <c r="Q42" s="682"/>
    </row>
    <row r="43" spans="1:17" ht="15" customHeight="1" x14ac:dyDescent="0.25">
      <c r="A43" s="1497"/>
      <c r="B43" s="1508"/>
      <c r="C43" s="1506"/>
      <c r="D43" s="1749"/>
      <c r="E43" s="171" t="s">
        <v>262</v>
      </c>
      <c r="F43" s="1204"/>
      <c r="G43" s="1204"/>
      <c r="H43" s="1209"/>
      <c r="I43" s="1209"/>
      <c r="J43" s="1207"/>
      <c r="K43" s="1209"/>
      <c r="L43" s="1209"/>
      <c r="M43" s="1210"/>
      <c r="N43" s="1750"/>
      <c r="O43" s="429"/>
      <c r="P43" s="435"/>
      <c r="Q43" s="682"/>
    </row>
    <row r="44" spans="1:17" ht="14.9" customHeight="1" x14ac:dyDescent="0.25">
      <c r="A44" s="1497"/>
      <c r="B44" s="1508"/>
      <c r="C44" s="1506"/>
      <c r="D44" s="1749"/>
      <c r="E44" s="252" t="s">
        <v>42</v>
      </c>
      <c r="F44" s="1211"/>
      <c r="G44" s="1211"/>
      <c r="H44" s="1212"/>
      <c r="I44" s="1212"/>
      <c r="J44" s="1130"/>
      <c r="K44" s="1212"/>
      <c r="L44" s="1212"/>
      <c r="M44" s="1137"/>
      <c r="N44" s="1751"/>
      <c r="O44" s="431"/>
      <c r="P44" s="437"/>
      <c r="Q44" s="742"/>
    </row>
    <row r="45" spans="1:17" ht="14.25" customHeight="1" x14ac:dyDescent="0.25">
      <c r="A45" s="1497"/>
      <c r="B45" s="1508"/>
      <c r="C45" s="1506"/>
      <c r="D45" s="1636" t="s">
        <v>99</v>
      </c>
      <c r="E45" s="253" t="s">
        <v>178</v>
      </c>
      <c r="F45" s="1213" t="s">
        <v>343</v>
      </c>
      <c r="G45" s="1200">
        <v>4.5999999999999996</v>
      </c>
      <c r="H45" s="1269"/>
      <c r="I45" s="1269"/>
      <c r="J45" s="1203"/>
      <c r="K45" s="1269"/>
      <c r="L45" s="1269"/>
      <c r="M45" s="1300"/>
      <c r="N45" s="1752" t="s">
        <v>162</v>
      </c>
      <c r="O45" s="429"/>
      <c r="P45" s="435"/>
      <c r="Q45" s="682"/>
    </row>
    <row r="46" spans="1:17" ht="14.25" customHeight="1" x14ac:dyDescent="0.25">
      <c r="A46" s="1497"/>
      <c r="B46" s="1508"/>
      <c r="C46" s="1506"/>
      <c r="D46" s="1637"/>
      <c r="E46" s="172" t="s">
        <v>153</v>
      </c>
      <c r="F46" s="1120"/>
      <c r="G46" s="1204"/>
      <c r="H46" s="1209"/>
      <c r="I46" s="1209"/>
      <c r="J46" s="1207"/>
      <c r="K46" s="1210"/>
      <c r="L46" s="1208"/>
      <c r="M46" s="1207"/>
      <c r="N46" s="1750"/>
      <c r="O46" s="429"/>
      <c r="P46" s="435"/>
      <c r="Q46" s="682"/>
    </row>
    <row r="47" spans="1:17" ht="14.25" customHeight="1" x14ac:dyDescent="0.25">
      <c r="A47" s="1497"/>
      <c r="B47" s="1508"/>
      <c r="C47" s="1506"/>
      <c r="D47" s="1637"/>
      <c r="E47" s="172" t="s">
        <v>42</v>
      </c>
      <c r="F47" s="1204"/>
      <c r="G47" s="1204"/>
      <c r="H47" s="1209"/>
      <c r="I47" s="1209"/>
      <c r="J47" s="1207"/>
      <c r="K47" s="1209"/>
      <c r="L47" s="1209"/>
      <c r="M47" s="1301"/>
      <c r="N47" s="1750"/>
      <c r="O47" s="429"/>
      <c r="P47" s="435"/>
      <c r="Q47" s="682"/>
    </row>
    <row r="48" spans="1:17" ht="14.25" customHeight="1" x14ac:dyDescent="0.25">
      <c r="A48" s="1497"/>
      <c r="B48" s="1508"/>
      <c r="C48" s="1506"/>
      <c r="D48" s="1637"/>
      <c r="E48" s="1494" t="s">
        <v>136</v>
      </c>
      <c r="F48" s="1214"/>
      <c r="G48" s="1204"/>
      <c r="H48" s="1329"/>
      <c r="I48" s="1329"/>
      <c r="J48" s="1207"/>
      <c r="K48" s="1334"/>
      <c r="L48" s="1334"/>
      <c r="M48" s="1301"/>
      <c r="N48" s="1750"/>
      <c r="O48" s="429"/>
      <c r="P48" s="435"/>
      <c r="Q48" s="682"/>
    </row>
    <row r="49" spans="1:17" ht="15" customHeight="1" x14ac:dyDescent="0.25">
      <c r="A49" s="1497"/>
      <c r="B49" s="1498"/>
      <c r="C49" s="63"/>
      <c r="D49" s="1636" t="s">
        <v>152</v>
      </c>
      <c r="E49" s="251" t="s">
        <v>178</v>
      </c>
      <c r="F49" s="1151" t="s">
        <v>343</v>
      </c>
      <c r="G49" s="1437">
        <v>24</v>
      </c>
      <c r="H49" s="1135"/>
      <c r="I49" s="1135"/>
      <c r="J49" s="1113"/>
      <c r="K49" s="1135"/>
      <c r="L49" s="1135"/>
      <c r="M49" s="1246"/>
      <c r="N49" s="1504" t="s">
        <v>312</v>
      </c>
      <c r="O49" s="441">
        <v>100</v>
      </c>
      <c r="P49" s="449"/>
      <c r="Q49" s="585"/>
    </row>
    <row r="50" spans="1:17" ht="15" customHeight="1" x14ac:dyDescent="0.25">
      <c r="A50" s="1497"/>
      <c r="B50" s="1498"/>
      <c r="C50" s="63"/>
      <c r="D50" s="1637"/>
      <c r="E50" s="845" t="s">
        <v>262</v>
      </c>
      <c r="F50" s="1217" t="s">
        <v>341</v>
      </c>
      <c r="G50" s="1441"/>
      <c r="H50" s="1330">
        <v>141</v>
      </c>
      <c r="I50" s="1330">
        <v>141</v>
      </c>
      <c r="J50" s="1335"/>
      <c r="K50" s="1125"/>
      <c r="L50" s="1125"/>
      <c r="M50" s="1152"/>
      <c r="N50" s="1537" t="s">
        <v>289</v>
      </c>
      <c r="O50" s="748"/>
      <c r="P50" s="533">
        <v>100</v>
      </c>
      <c r="Q50" s="744"/>
    </row>
    <row r="51" spans="1:17" ht="15" customHeight="1" x14ac:dyDescent="0.25">
      <c r="A51" s="1497"/>
      <c r="B51" s="1498"/>
      <c r="C51" s="63"/>
      <c r="D51" s="1637"/>
      <c r="E51" s="845" t="s">
        <v>42</v>
      </c>
      <c r="F51" s="1126"/>
      <c r="G51" s="1439"/>
      <c r="H51" s="1125"/>
      <c r="I51" s="1125"/>
      <c r="J51" s="1123"/>
      <c r="K51" s="1125"/>
      <c r="L51" s="1125"/>
      <c r="M51" s="1134"/>
      <c r="N51" s="1505"/>
      <c r="O51" s="443"/>
      <c r="P51" s="1313"/>
      <c r="Q51" s="744"/>
    </row>
    <row r="52" spans="1:17" ht="15" customHeight="1" x14ac:dyDescent="0.25">
      <c r="A52" s="1497"/>
      <c r="B52" s="1498"/>
      <c r="C52" s="63"/>
      <c r="D52" s="1638"/>
      <c r="E52" s="1078" t="s">
        <v>209</v>
      </c>
      <c r="F52" s="1220"/>
      <c r="G52" s="1220"/>
      <c r="H52" s="1225"/>
      <c r="I52" s="1225"/>
      <c r="J52" s="1336"/>
      <c r="K52" s="1270"/>
      <c r="L52" s="1270"/>
      <c r="M52" s="1234"/>
      <c r="N52" s="713"/>
      <c r="O52" s="165"/>
      <c r="P52" s="326"/>
      <c r="Q52" s="750"/>
    </row>
    <row r="53" spans="1:17" ht="14.15" customHeight="1" x14ac:dyDescent="0.3">
      <c r="A53" s="1497"/>
      <c r="B53" s="1498"/>
      <c r="C53" s="64"/>
      <c r="D53" s="1636" t="s">
        <v>85</v>
      </c>
      <c r="E53" s="587" t="s">
        <v>178</v>
      </c>
      <c r="F53" s="1120" t="s">
        <v>352</v>
      </c>
      <c r="G53" s="1442">
        <v>22.9</v>
      </c>
      <c r="H53" s="1135"/>
      <c r="I53" s="1135"/>
      <c r="J53" s="1113"/>
      <c r="K53" s="1135"/>
      <c r="L53" s="1135"/>
      <c r="M53" s="1152"/>
      <c r="N53" s="1264" t="s">
        <v>313</v>
      </c>
      <c r="O53" s="526">
        <v>1</v>
      </c>
      <c r="P53" s="1313"/>
      <c r="Q53" s="744"/>
    </row>
    <row r="54" spans="1:17" ht="14.15" customHeight="1" x14ac:dyDescent="0.3">
      <c r="A54" s="1497"/>
      <c r="B54" s="1498"/>
      <c r="C54" s="64"/>
      <c r="D54" s="1637"/>
      <c r="E54" s="588" t="s">
        <v>153</v>
      </c>
      <c r="F54" s="1223"/>
      <c r="G54" s="1441"/>
      <c r="H54" s="1125"/>
      <c r="I54" s="1125"/>
      <c r="J54" s="1123"/>
      <c r="K54" s="1125"/>
      <c r="L54" s="1125"/>
      <c r="M54" s="1152"/>
      <c r="N54" s="607"/>
      <c r="O54" s="443"/>
      <c r="P54" s="1313"/>
      <c r="Q54" s="744"/>
    </row>
    <row r="55" spans="1:17" ht="14.15" customHeight="1" x14ac:dyDescent="0.3">
      <c r="A55" s="1497"/>
      <c r="B55" s="1498"/>
      <c r="C55" s="64"/>
      <c r="D55" s="1637"/>
      <c r="E55" s="172" t="s">
        <v>136</v>
      </c>
      <c r="F55" s="1126"/>
      <c r="G55" s="1439"/>
      <c r="H55" s="1125"/>
      <c r="I55" s="1125"/>
      <c r="J55" s="1123"/>
      <c r="K55" s="1125"/>
      <c r="L55" s="1125"/>
      <c r="M55" s="1152"/>
      <c r="N55" s="607"/>
      <c r="O55" s="443"/>
      <c r="P55" s="1313"/>
      <c r="Q55" s="744"/>
    </row>
    <row r="56" spans="1:17" ht="14.15" customHeight="1" x14ac:dyDescent="0.25">
      <c r="A56" s="1497"/>
      <c r="B56" s="1498"/>
      <c r="C56" s="1506"/>
      <c r="D56" s="1638"/>
      <c r="E56" s="252" t="s">
        <v>42</v>
      </c>
      <c r="F56" s="1224"/>
      <c r="G56" s="1220"/>
      <c r="H56" s="1225"/>
      <c r="I56" s="1225"/>
      <c r="J56" s="1234"/>
      <c r="K56" s="1225"/>
      <c r="L56" s="1225"/>
      <c r="M56" s="1226"/>
      <c r="N56" s="1520"/>
      <c r="O56" s="442"/>
      <c r="P56" s="1314"/>
      <c r="Q56" s="750"/>
    </row>
    <row r="57" spans="1:17" ht="14.15" customHeight="1" x14ac:dyDescent="0.25">
      <c r="A57" s="1497"/>
      <c r="B57" s="1498"/>
      <c r="C57" s="63"/>
      <c r="D57" s="1490" t="s">
        <v>216</v>
      </c>
      <c r="E57" s="251" t="s">
        <v>178</v>
      </c>
      <c r="F57" s="1131" t="s">
        <v>341</v>
      </c>
      <c r="G57" s="1437">
        <v>300</v>
      </c>
      <c r="H57" s="1135">
        <v>525.79999999999995</v>
      </c>
      <c r="I57" s="1135">
        <v>525.79999999999995</v>
      </c>
      <c r="J57" s="1113"/>
      <c r="K57" s="1135"/>
      <c r="L57" s="1135"/>
      <c r="M57" s="1246"/>
      <c r="N57" s="1728" t="s">
        <v>288</v>
      </c>
      <c r="O57" s="443">
        <v>40</v>
      </c>
      <c r="P57" s="1313">
        <v>100</v>
      </c>
      <c r="Q57" s="744"/>
    </row>
    <row r="58" spans="1:17" ht="14.15" customHeight="1" x14ac:dyDescent="0.25">
      <c r="A58" s="1497"/>
      <c r="B58" s="1498"/>
      <c r="C58" s="63"/>
      <c r="D58" s="1490"/>
      <c r="E58" s="588" t="s">
        <v>262</v>
      </c>
      <c r="F58" s="1120" t="s">
        <v>343</v>
      </c>
      <c r="G58" s="1439">
        <v>111.6</v>
      </c>
      <c r="H58" s="1125"/>
      <c r="I58" s="1125"/>
      <c r="J58" s="1123"/>
      <c r="K58" s="1125"/>
      <c r="L58" s="1125"/>
      <c r="M58" s="1152"/>
      <c r="N58" s="1734"/>
      <c r="O58" s="443"/>
      <c r="P58" s="1313"/>
      <c r="Q58" s="744"/>
    </row>
    <row r="59" spans="1:17" ht="14.15" customHeight="1" x14ac:dyDescent="0.25">
      <c r="A59" s="1497"/>
      <c r="B59" s="1498"/>
      <c r="C59" s="63"/>
      <c r="D59" s="1490"/>
      <c r="E59" s="171" t="s">
        <v>136</v>
      </c>
      <c r="F59" s="1120"/>
      <c r="G59" s="1439"/>
      <c r="H59" s="1125"/>
      <c r="I59" s="1125"/>
      <c r="J59" s="1123"/>
      <c r="K59" s="1125"/>
      <c r="L59" s="1125"/>
      <c r="M59" s="1134"/>
      <c r="N59" s="1734"/>
      <c r="O59" s="443"/>
      <c r="P59" s="1313"/>
      <c r="Q59" s="744"/>
    </row>
    <row r="60" spans="1:17" ht="14.15" customHeight="1" x14ac:dyDescent="0.25">
      <c r="A60" s="1497"/>
      <c r="B60" s="1498"/>
      <c r="C60" s="63"/>
      <c r="D60" s="1490"/>
      <c r="E60" s="252" t="s">
        <v>42</v>
      </c>
      <c r="F60" s="1133"/>
      <c r="G60" s="1211"/>
      <c r="H60" s="1212"/>
      <c r="I60" s="1212"/>
      <c r="J60" s="1130"/>
      <c r="K60" s="1212"/>
      <c r="L60" s="1212"/>
      <c r="M60" s="1137"/>
      <c r="N60" s="1735"/>
      <c r="O60" s="443"/>
      <c r="P60" s="1313"/>
      <c r="Q60" s="744"/>
    </row>
    <row r="61" spans="1:17" ht="15" customHeight="1" x14ac:dyDescent="0.25">
      <c r="A61" s="1497"/>
      <c r="B61" s="1498"/>
      <c r="C61" s="63"/>
      <c r="D61" s="1636" t="s">
        <v>186</v>
      </c>
      <c r="E61" s="251" t="s">
        <v>178</v>
      </c>
      <c r="F61" s="1131" t="s">
        <v>341</v>
      </c>
      <c r="G61" s="1437">
        <v>189.1</v>
      </c>
      <c r="H61" s="1135"/>
      <c r="I61" s="1135"/>
      <c r="J61" s="1113"/>
      <c r="K61" s="1135"/>
      <c r="L61" s="1135"/>
      <c r="M61" s="1246"/>
      <c r="N61" s="1728" t="s">
        <v>288</v>
      </c>
      <c r="O61" s="1526">
        <v>100</v>
      </c>
      <c r="P61" s="1427"/>
      <c r="Q61" s="1530"/>
    </row>
    <row r="62" spans="1:17" ht="15.75" customHeight="1" x14ac:dyDescent="0.25">
      <c r="A62" s="1497"/>
      <c r="B62" s="1498"/>
      <c r="C62" s="63"/>
      <c r="D62" s="1637"/>
      <c r="E62" s="171" t="s">
        <v>136</v>
      </c>
      <c r="F62" s="1120" t="s">
        <v>343</v>
      </c>
      <c r="G62" s="1439">
        <v>51.2</v>
      </c>
      <c r="H62" s="1125"/>
      <c r="I62" s="1125"/>
      <c r="J62" s="1123"/>
      <c r="K62" s="1125"/>
      <c r="L62" s="1125"/>
      <c r="M62" s="1134"/>
      <c r="N62" s="1734"/>
      <c r="O62" s="445"/>
      <c r="P62" s="1315"/>
      <c r="Q62" s="1367"/>
    </row>
    <row r="63" spans="1:17" ht="16.5" customHeight="1" x14ac:dyDescent="0.25">
      <c r="A63" s="1497"/>
      <c r="B63" s="1498"/>
      <c r="C63" s="63"/>
      <c r="D63" s="1638"/>
      <c r="E63" s="252" t="s">
        <v>42</v>
      </c>
      <c r="F63" s="1133"/>
      <c r="G63" s="1211"/>
      <c r="H63" s="1212"/>
      <c r="I63" s="1212"/>
      <c r="J63" s="1130"/>
      <c r="K63" s="1212"/>
      <c r="L63" s="1212"/>
      <c r="M63" s="1137"/>
      <c r="N63" s="1735"/>
      <c r="O63" s="446"/>
      <c r="P63" s="1316"/>
      <c r="Q63" s="605"/>
    </row>
    <row r="64" spans="1:17" ht="16.5" customHeight="1" x14ac:dyDescent="0.25">
      <c r="A64" s="1497"/>
      <c r="B64" s="1498"/>
      <c r="C64" s="63"/>
      <c r="D64" s="1636" t="s">
        <v>232</v>
      </c>
      <c r="E64" s="289" t="s">
        <v>233</v>
      </c>
      <c r="F64" s="1151" t="s">
        <v>343</v>
      </c>
      <c r="G64" s="1437">
        <v>500</v>
      </c>
      <c r="H64" s="1408"/>
      <c r="I64" s="1408"/>
      <c r="J64" s="1336"/>
      <c r="K64" s="1324"/>
      <c r="L64" s="1324"/>
      <c r="M64" s="1302"/>
      <c r="N64" s="1519" t="s">
        <v>288</v>
      </c>
      <c r="O64" s="513">
        <v>20</v>
      </c>
      <c r="P64" s="1432">
        <v>60</v>
      </c>
      <c r="Q64" s="1485">
        <v>100</v>
      </c>
    </row>
    <row r="65" spans="1:17" ht="15.65" customHeight="1" x14ac:dyDescent="0.25">
      <c r="A65" s="1497"/>
      <c r="B65" s="1498"/>
      <c r="C65" s="63"/>
      <c r="D65" s="1637"/>
      <c r="E65" s="845" t="s">
        <v>178</v>
      </c>
      <c r="F65" s="1410" t="s">
        <v>341</v>
      </c>
      <c r="G65" s="1439"/>
      <c r="H65" s="1403">
        <v>1500</v>
      </c>
      <c r="I65" s="1403">
        <f>1500-400</f>
        <v>1100</v>
      </c>
      <c r="J65" s="1411">
        <v>-400</v>
      </c>
      <c r="K65" s="1125">
        <v>1178.3</v>
      </c>
      <c r="L65" s="1125">
        <v>1178.3</v>
      </c>
      <c r="M65" s="1152"/>
      <c r="N65" s="1523"/>
      <c r="O65" s="317"/>
      <c r="P65" s="1431">
        <v>50</v>
      </c>
      <c r="Q65" s="1484">
        <v>90</v>
      </c>
    </row>
    <row r="66" spans="1:17" ht="15.65" customHeight="1" x14ac:dyDescent="0.25">
      <c r="A66" s="1497"/>
      <c r="B66" s="1498"/>
      <c r="C66" s="63"/>
      <c r="D66" s="1490"/>
      <c r="E66" s="588" t="s">
        <v>42</v>
      </c>
      <c r="F66" s="1120"/>
      <c r="G66" s="1439"/>
      <c r="H66" s="1403"/>
      <c r="I66" s="1403"/>
      <c r="J66" s="1123"/>
      <c r="K66" s="1125"/>
      <c r="L66" s="1125"/>
      <c r="M66" s="1152"/>
      <c r="N66" s="1523"/>
      <c r="O66" s="317"/>
      <c r="P66" s="1313"/>
      <c r="Q66" s="604"/>
    </row>
    <row r="67" spans="1:17" ht="15.65" customHeight="1" x14ac:dyDescent="0.25">
      <c r="A67" s="1497"/>
      <c r="B67" s="1498"/>
      <c r="C67" s="63"/>
      <c r="D67" s="1490"/>
      <c r="E67" s="588" t="s">
        <v>262</v>
      </c>
      <c r="F67" s="1133"/>
      <c r="G67" s="1211"/>
      <c r="H67" s="1409"/>
      <c r="I67" s="1409"/>
      <c r="J67" s="1130"/>
      <c r="K67" s="1212"/>
      <c r="L67" s="1212"/>
      <c r="M67" s="1247"/>
      <c r="N67" s="1524"/>
      <c r="O67" s="317"/>
      <c r="P67" s="1314"/>
      <c r="Q67" s="604"/>
    </row>
    <row r="68" spans="1:17" ht="19.399999999999999" customHeight="1" x14ac:dyDescent="0.25">
      <c r="A68" s="1497"/>
      <c r="B68" s="1498"/>
      <c r="C68" s="63"/>
      <c r="D68" s="1636" t="s">
        <v>261</v>
      </c>
      <c r="E68" s="289" t="s">
        <v>42</v>
      </c>
      <c r="F68" s="1151" t="s">
        <v>343</v>
      </c>
      <c r="G68" s="1437">
        <v>625</v>
      </c>
      <c r="H68" s="1324"/>
      <c r="I68" s="1324"/>
      <c r="J68" s="1227"/>
      <c r="K68" s="1324"/>
      <c r="L68" s="1324"/>
      <c r="M68" s="1248"/>
      <c r="N68" s="1523" t="s">
        <v>288</v>
      </c>
      <c r="O68" s="513">
        <v>25</v>
      </c>
      <c r="P68" s="1312">
        <v>60</v>
      </c>
      <c r="Q68" s="259">
        <v>100</v>
      </c>
    </row>
    <row r="69" spans="1:17" ht="19.399999999999999" customHeight="1" x14ac:dyDescent="0.25">
      <c r="A69" s="1497"/>
      <c r="B69" s="1498"/>
      <c r="C69" s="63"/>
      <c r="D69" s="1637"/>
      <c r="E69" s="845" t="s">
        <v>178</v>
      </c>
      <c r="F69" s="1120" t="s">
        <v>341</v>
      </c>
      <c r="G69" s="1443"/>
      <c r="H69" s="1125">
        <v>895.2</v>
      </c>
      <c r="I69" s="1125">
        <v>895.2</v>
      </c>
      <c r="J69" s="1123"/>
      <c r="K69" s="1125">
        <v>1139.2</v>
      </c>
      <c r="L69" s="1125">
        <v>1139.2</v>
      </c>
      <c r="M69" s="1152"/>
      <c r="N69" s="1523"/>
      <c r="O69" s="317"/>
      <c r="P69" s="1313"/>
      <c r="Q69" s="604"/>
    </row>
    <row r="70" spans="1:17" ht="19.399999999999999" customHeight="1" x14ac:dyDescent="0.25">
      <c r="A70" s="1497"/>
      <c r="B70" s="1498"/>
      <c r="C70" s="63"/>
      <c r="D70" s="1638"/>
      <c r="E70" s="938" t="s">
        <v>262</v>
      </c>
      <c r="F70" s="1133"/>
      <c r="G70" s="1211"/>
      <c r="H70" s="1212"/>
      <c r="I70" s="1212"/>
      <c r="J70" s="1130"/>
      <c r="K70" s="1212"/>
      <c r="L70" s="1212"/>
      <c r="M70" s="1247"/>
      <c r="N70" s="1507"/>
      <c r="O70" s="166"/>
      <c r="P70" s="1314"/>
      <c r="Q70" s="605"/>
    </row>
    <row r="71" spans="1:17" ht="15" customHeight="1" x14ac:dyDescent="0.25">
      <c r="A71" s="1657"/>
      <c r="B71" s="1733"/>
      <c r="C71" s="1700"/>
      <c r="D71" s="1636" t="s">
        <v>310</v>
      </c>
      <c r="E71" s="1071" t="s">
        <v>153</v>
      </c>
      <c r="F71" s="1131"/>
      <c r="G71" s="1437"/>
      <c r="H71" s="1135"/>
      <c r="I71" s="1135"/>
      <c r="J71" s="1113"/>
      <c r="K71" s="1135"/>
      <c r="L71" s="1135"/>
      <c r="M71" s="1134"/>
      <c r="N71" s="1333" t="s">
        <v>321</v>
      </c>
      <c r="O71" s="428">
        <v>100</v>
      </c>
      <c r="P71" s="1310"/>
      <c r="Q71" s="141"/>
    </row>
    <row r="72" spans="1:17" ht="15" customHeight="1" x14ac:dyDescent="0.25">
      <c r="A72" s="1657"/>
      <c r="B72" s="1733"/>
      <c r="C72" s="1700"/>
      <c r="D72" s="1637"/>
      <c r="E72" s="1494" t="s">
        <v>178</v>
      </c>
      <c r="F72" s="1120" t="s">
        <v>352</v>
      </c>
      <c r="G72" s="1439"/>
      <c r="H72" s="1125">
        <v>50</v>
      </c>
      <c r="I72" s="1125">
        <v>50</v>
      </c>
      <c r="J72" s="1123"/>
      <c r="K72" s="1125">
        <v>50</v>
      </c>
      <c r="L72" s="1125">
        <v>50</v>
      </c>
      <c r="M72" s="1152"/>
      <c r="N72" s="1067" t="s">
        <v>71</v>
      </c>
      <c r="O72" s="433"/>
      <c r="P72" s="1378"/>
      <c r="Q72" s="682">
        <v>1</v>
      </c>
    </row>
    <row r="73" spans="1:17" ht="15" customHeight="1" x14ac:dyDescent="0.25">
      <c r="A73" s="1657"/>
      <c r="B73" s="1733"/>
      <c r="C73" s="1700"/>
      <c r="D73" s="1638"/>
      <c r="E73" s="171" t="s">
        <v>262</v>
      </c>
      <c r="F73" s="1133"/>
      <c r="G73" s="1211"/>
      <c r="H73" s="1212"/>
      <c r="I73" s="1212"/>
      <c r="J73" s="1130"/>
      <c r="K73" s="1212"/>
      <c r="L73" s="1212"/>
      <c r="M73" s="1137"/>
      <c r="N73" s="891"/>
      <c r="O73" s="892"/>
      <c r="P73" s="1311"/>
      <c r="Q73" s="893"/>
    </row>
    <row r="74" spans="1:17" ht="15" customHeight="1" x14ac:dyDescent="0.25">
      <c r="A74" s="1497"/>
      <c r="B74" s="1498"/>
      <c r="C74" s="1506"/>
      <c r="D74" s="1732"/>
      <c r="E74" s="1732"/>
      <c r="F74" s="1332"/>
      <c r="G74" s="1444"/>
      <c r="H74" s="1325"/>
      <c r="I74" s="1325"/>
      <c r="J74" s="1331"/>
      <c r="K74" s="1325"/>
      <c r="L74" s="1325"/>
      <c r="M74" s="86"/>
      <c r="N74" s="374"/>
      <c r="O74" s="447"/>
      <c r="P74" s="1430"/>
      <c r="Q74" s="1379"/>
    </row>
    <row r="75" spans="1:17" ht="15.65" customHeight="1" x14ac:dyDescent="0.25">
      <c r="A75" s="1497"/>
      <c r="B75" s="1498"/>
      <c r="C75" s="1506"/>
      <c r="D75" s="1637" t="s">
        <v>77</v>
      </c>
      <c r="E75" s="589" t="s">
        <v>262</v>
      </c>
      <c r="F75" s="1151" t="s">
        <v>341</v>
      </c>
      <c r="G75" s="1437">
        <v>160.5</v>
      </c>
      <c r="H75" s="1135">
        <v>160.5</v>
      </c>
      <c r="I75" s="1135">
        <v>160.5</v>
      </c>
      <c r="J75" s="1113"/>
      <c r="K75" s="1135">
        <v>160.5</v>
      </c>
      <c r="L75" s="1135">
        <v>160.5</v>
      </c>
      <c r="M75" s="1134"/>
      <c r="N75" s="376" t="s">
        <v>118</v>
      </c>
      <c r="O75" s="872">
        <v>3.9</v>
      </c>
      <c r="P75" s="873">
        <v>3.9</v>
      </c>
      <c r="Q75" s="710">
        <v>3.9</v>
      </c>
    </row>
    <row r="76" spans="1:17" ht="15.65" customHeight="1" x14ac:dyDescent="0.25">
      <c r="A76" s="1497"/>
      <c r="B76" s="1498"/>
      <c r="C76" s="1506"/>
      <c r="D76" s="1637"/>
      <c r="E76" s="77"/>
      <c r="F76" s="1126"/>
      <c r="G76" s="1439"/>
      <c r="H76" s="1125"/>
      <c r="I76" s="1125"/>
      <c r="J76" s="1123"/>
      <c r="K76" s="1125"/>
      <c r="L76" s="1125"/>
      <c r="M76" s="1134"/>
      <c r="N76" s="1501" t="s">
        <v>135</v>
      </c>
      <c r="O76" s="457">
        <v>387</v>
      </c>
      <c r="P76" s="462">
        <v>387</v>
      </c>
      <c r="Q76" s="925">
        <v>387</v>
      </c>
    </row>
    <row r="77" spans="1:17" ht="15.65" customHeight="1" x14ac:dyDescent="0.25">
      <c r="A77" s="1657"/>
      <c r="B77" s="1658"/>
      <c r="C77" s="1700"/>
      <c r="D77" s="1636" t="s">
        <v>27</v>
      </c>
      <c r="E77" s="1095" t="s">
        <v>262</v>
      </c>
      <c r="F77" s="1131" t="s">
        <v>341</v>
      </c>
      <c r="G77" s="1437">
        <v>74.2</v>
      </c>
      <c r="H77" s="1135">
        <v>74.2</v>
      </c>
      <c r="I77" s="1135">
        <v>74.2</v>
      </c>
      <c r="J77" s="1113"/>
      <c r="K77" s="1135">
        <v>74.2</v>
      </c>
      <c r="L77" s="1135">
        <v>74.2</v>
      </c>
      <c r="M77" s="1119"/>
      <c r="N77" s="376" t="s">
        <v>29</v>
      </c>
      <c r="O77" s="432">
        <v>8</v>
      </c>
      <c r="P77" s="439">
        <v>8</v>
      </c>
      <c r="Q77" s="141">
        <v>8</v>
      </c>
    </row>
    <row r="78" spans="1:17" ht="15.65" customHeight="1" x14ac:dyDescent="0.25">
      <c r="A78" s="1657"/>
      <c r="B78" s="1658"/>
      <c r="C78" s="1700"/>
      <c r="D78" s="1637"/>
      <c r="E78" s="589"/>
      <c r="F78" s="1120"/>
      <c r="G78" s="1439"/>
      <c r="H78" s="1125"/>
      <c r="I78" s="1125"/>
      <c r="J78" s="1123"/>
      <c r="K78" s="1125"/>
      <c r="L78" s="1125"/>
      <c r="M78" s="1152"/>
      <c r="N78" s="1521" t="s">
        <v>263</v>
      </c>
      <c r="O78" s="429">
        <v>6</v>
      </c>
      <c r="P78" s="435">
        <v>6</v>
      </c>
      <c r="Q78" s="682">
        <v>6</v>
      </c>
    </row>
    <row r="79" spans="1:17" ht="15.65" customHeight="1" x14ac:dyDescent="0.25">
      <c r="A79" s="1657"/>
      <c r="B79" s="1658"/>
      <c r="C79" s="1700"/>
      <c r="D79" s="1637"/>
      <c r="E79" s="104"/>
      <c r="F79" s="1133" t="s">
        <v>341</v>
      </c>
      <c r="G79" s="1211">
        <v>27.5</v>
      </c>
      <c r="H79" s="1212">
        <v>14.8</v>
      </c>
      <c r="I79" s="1212">
        <v>14.8</v>
      </c>
      <c r="J79" s="1130"/>
      <c r="K79" s="1212"/>
      <c r="L79" s="1212"/>
      <c r="M79" s="1152"/>
      <c r="N79" s="1501" t="s">
        <v>235</v>
      </c>
      <c r="O79" s="493">
        <v>2</v>
      </c>
      <c r="P79" s="624">
        <v>1</v>
      </c>
      <c r="Q79" s="591"/>
    </row>
    <row r="80" spans="1:17" ht="18" customHeight="1" x14ac:dyDescent="0.25">
      <c r="A80" s="1497"/>
      <c r="B80" s="1498"/>
      <c r="C80" s="1506"/>
      <c r="D80" s="1636" t="s">
        <v>28</v>
      </c>
      <c r="E80" s="254" t="s">
        <v>262</v>
      </c>
      <c r="F80" s="1131" t="s">
        <v>341</v>
      </c>
      <c r="G80" s="1437">
        <v>178.4</v>
      </c>
      <c r="H80" s="1135">
        <v>106.3</v>
      </c>
      <c r="I80" s="1135">
        <v>106.3</v>
      </c>
      <c r="J80" s="1113"/>
      <c r="K80" s="1135">
        <v>119.8</v>
      </c>
      <c r="L80" s="1135">
        <v>119.8</v>
      </c>
      <c r="M80" s="1246"/>
      <c r="N80" s="379" t="s">
        <v>107</v>
      </c>
      <c r="O80" s="428"/>
      <c r="P80" s="434"/>
      <c r="Q80" s="1076"/>
    </row>
    <row r="81" spans="1:17" ht="28.4" customHeight="1" x14ac:dyDescent="0.25">
      <c r="A81" s="1497"/>
      <c r="B81" s="1498"/>
      <c r="C81" s="1506"/>
      <c r="D81" s="1686"/>
      <c r="E81" s="103"/>
      <c r="F81" s="1120" t="s">
        <v>343</v>
      </c>
      <c r="G81" s="1439">
        <v>20.2</v>
      </c>
      <c r="H81" s="1125"/>
      <c r="I81" s="1125"/>
      <c r="J81" s="1123"/>
      <c r="K81" s="1125"/>
      <c r="L81" s="1125"/>
      <c r="M81" s="1152"/>
      <c r="N81" s="1496" t="s">
        <v>108</v>
      </c>
      <c r="O81" s="430">
        <v>50</v>
      </c>
      <c r="P81" s="436">
        <v>50</v>
      </c>
      <c r="Q81" s="1359">
        <v>50</v>
      </c>
    </row>
    <row r="82" spans="1:17" ht="25.5" customHeight="1" x14ac:dyDescent="0.25">
      <c r="A82" s="1497"/>
      <c r="B82" s="1498"/>
      <c r="C82" s="1506"/>
      <c r="D82" s="1686"/>
      <c r="E82" s="1731"/>
      <c r="F82" s="1120"/>
      <c r="G82" s="1439"/>
      <c r="H82" s="1125"/>
      <c r="I82" s="1125"/>
      <c r="J82" s="1123"/>
      <c r="K82" s="1125"/>
      <c r="L82" s="1125"/>
      <c r="M82" s="1152"/>
      <c r="N82" s="381" t="s">
        <v>92</v>
      </c>
      <c r="O82" s="430">
        <v>30</v>
      </c>
      <c r="P82" s="436">
        <v>30</v>
      </c>
      <c r="Q82" s="582">
        <v>30</v>
      </c>
    </row>
    <row r="83" spans="1:17" ht="15" customHeight="1" x14ac:dyDescent="0.25">
      <c r="A83" s="1497"/>
      <c r="B83" s="1498"/>
      <c r="C83" s="1506"/>
      <c r="D83" s="1686"/>
      <c r="E83" s="1731"/>
      <c r="F83" s="1120"/>
      <c r="G83" s="1439"/>
      <c r="H83" s="1125"/>
      <c r="I83" s="1125"/>
      <c r="J83" s="1123"/>
      <c r="K83" s="1125"/>
      <c r="L83" s="1125"/>
      <c r="M83" s="1134"/>
      <c r="N83" s="382" t="s">
        <v>109</v>
      </c>
      <c r="O83" s="458"/>
      <c r="P83" s="463"/>
      <c r="Q83" s="952"/>
    </row>
    <row r="84" spans="1:17" ht="13.5" customHeight="1" x14ac:dyDescent="0.25">
      <c r="A84" s="1497"/>
      <c r="B84" s="1498"/>
      <c r="C84" s="1506"/>
      <c r="D84" s="47"/>
      <c r="E84" s="1731"/>
      <c r="F84" s="1120"/>
      <c r="G84" s="1439"/>
      <c r="H84" s="1125"/>
      <c r="I84" s="1125"/>
      <c r="J84" s="1123"/>
      <c r="K84" s="1125"/>
      <c r="L84" s="1125"/>
      <c r="M84" s="1134"/>
      <c r="N84" s="1496" t="s">
        <v>74</v>
      </c>
      <c r="O84" s="430">
        <v>6</v>
      </c>
      <c r="P84" s="436">
        <v>10</v>
      </c>
      <c r="Q84" s="1359"/>
    </row>
    <row r="85" spans="1:17" ht="13.5" customHeight="1" x14ac:dyDescent="0.25">
      <c r="A85" s="1497"/>
      <c r="B85" s="1498"/>
      <c r="C85" s="1506"/>
      <c r="D85" s="47"/>
      <c r="E85" s="1731"/>
      <c r="F85" s="1120"/>
      <c r="G85" s="1439"/>
      <c r="H85" s="1125"/>
      <c r="I85" s="1125"/>
      <c r="J85" s="1123"/>
      <c r="K85" s="1125"/>
      <c r="L85" s="1125"/>
      <c r="M85" s="1134"/>
      <c r="N85" s="1537" t="s">
        <v>30</v>
      </c>
      <c r="O85" s="646"/>
      <c r="P85" s="649">
        <v>20</v>
      </c>
      <c r="Q85" s="1376">
        <v>10</v>
      </c>
    </row>
    <row r="86" spans="1:17" ht="13.5" customHeight="1" x14ac:dyDescent="0.25">
      <c r="A86" s="1497"/>
      <c r="B86" s="1498"/>
      <c r="C86" s="1506"/>
      <c r="D86" s="47"/>
      <c r="E86" s="1731"/>
      <c r="F86" s="1120"/>
      <c r="G86" s="1439"/>
      <c r="H86" s="1125"/>
      <c r="I86" s="1125"/>
      <c r="J86" s="1123"/>
      <c r="K86" s="1125"/>
      <c r="L86" s="1125"/>
      <c r="M86" s="1134"/>
      <c r="N86" s="1537" t="s">
        <v>61</v>
      </c>
      <c r="O86" s="651">
        <v>35</v>
      </c>
      <c r="P86" s="650">
        <v>25</v>
      </c>
      <c r="Q86" s="1374"/>
    </row>
    <row r="87" spans="1:17" ht="13.5" customHeight="1" x14ac:dyDescent="0.25">
      <c r="A87" s="1497"/>
      <c r="B87" s="1498"/>
      <c r="C87" s="1506"/>
      <c r="D87" s="47"/>
      <c r="E87" s="1522"/>
      <c r="F87" s="1120"/>
      <c r="G87" s="1439"/>
      <c r="H87" s="1125"/>
      <c r="I87" s="1125"/>
      <c r="J87" s="1123"/>
      <c r="K87" s="1125"/>
      <c r="L87" s="1125"/>
      <c r="M87" s="1134"/>
      <c r="N87" s="384" t="s">
        <v>236</v>
      </c>
      <c r="O87" s="651"/>
      <c r="P87" s="649">
        <v>10</v>
      </c>
      <c r="Q87" s="1376"/>
    </row>
    <row r="88" spans="1:17" ht="13.5" customHeight="1" x14ac:dyDescent="0.25">
      <c r="A88" s="1497"/>
      <c r="B88" s="1498"/>
      <c r="C88" s="1506"/>
      <c r="D88" s="47"/>
      <c r="E88" s="103"/>
      <c r="F88" s="1120"/>
      <c r="G88" s="1439"/>
      <c r="H88" s="1125"/>
      <c r="I88" s="1125"/>
      <c r="J88" s="1123"/>
      <c r="K88" s="1125"/>
      <c r="L88" s="1125"/>
      <c r="M88" s="1134"/>
      <c r="N88" s="382" t="s">
        <v>110</v>
      </c>
      <c r="O88" s="459"/>
      <c r="P88" s="464"/>
      <c r="Q88" s="1375"/>
    </row>
    <row r="89" spans="1:17" ht="13.5" customHeight="1" x14ac:dyDescent="0.25">
      <c r="A89" s="1497"/>
      <c r="B89" s="1498"/>
      <c r="C89" s="1506"/>
      <c r="D89" s="47"/>
      <c r="E89" s="103"/>
      <c r="F89" s="1120"/>
      <c r="G89" s="1439"/>
      <c r="H89" s="1125"/>
      <c r="I89" s="1125"/>
      <c r="J89" s="1123"/>
      <c r="K89" s="1125"/>
      <c r="L89" s="1125"/>
      <c r="M89" s="1134"/>
      <c r="N89" s="1505" t="s">
        <v>94</v>
      </c>
      <c r="O89" s="1513">
        <v>30</v>
      </c>
      <c r="P89" s="1515">
        <v>40</v>
      </c>
      <c r="Q89" s="1517">
        <v>30</v>
      </c>
    </row>
    <row r="90" spans="1:17" ht="13.5" customHeight="1" x14ac:dyDescent="0.25">
      <c r="A90" s="1497"/>
      <c r="B90" s="1498"/>
      <c r="C90" s="1506"/>
      <c r="D90" s="47"/>
      <c r="E90" s="247"/>
      <c r="F90" s="1120"/>
      <c r="G90" s="1439"/>
      <c r="H90" s="1125"/>
      <c r="I90" s="1125"/>
      <c r="J90" s="1123"/>
      <c r="K90" s="1125"/>
      <c r="L90" s="1125"/>
      <c r="M90" s="1152"/>
      <c r="N90" s="384" t="s">
        <v>93</v>
      </c>
      <c r="O90" s="646">
        <v>70</v>
      </c>
      <c r="P90" s="649">
        <v>50</v>
      </c>
      <c r="Q90" s="1376">
        <v>70</v>
      </c>
    </row>
    <row r="91" spans="1:17" ht="16.399999999999999" customHeight="1" x14ac:dyDescent="0.25">
      <c r="A91" s="1497"/>
      <c r="B91" s="1498"/>
      <c r="C91" s="1506"/>
      <c r="D91" s="47"/>
      <c r="E91" s="247"/>
      <c r="F91" s="1120"/>
      <c r="G91" s="1439"/>
      <c r="H91" s="1125"/>
      <c r="I91" s="1125"/>
      <c r="J91" s="1123"/>
      <c r="K91" s="1125"/>
      <c r="L91" s="1125"/>
      <c r="M91" s="1152"/>
      <c r="N91" s="382" t="s">
        <v>111</v>
      </c>
      <c r="O91" s="461"/>
      <c r="P91" s="467"/>
      <c r="Q91" s="1516"/>
    </row>
    <row r="92" spans="1:17" ht="28.5" customHeight="1" x14ac:dyDescent="0.25">
      <c r="A92" s="1497"/>
      <c r="B92" s="1498"/>
      <c r="C92" s="1506"/>
      <c r="D92" s="47"/>
      <c r="E92" s="247"/>
      <c r="F92" s="1120"/>
      <c r="G92" s="1439"/>
      <c r="H92" s="1125"/>
      <c r="I92" s="1125"/>
      <c r="J92" s="1123"/>
      <c r="K92" s="1125"/>
      <c r="L92" s="1125"/>
      <c r="M92" s="1152"/>
      <c r="N92" s="1505" t="s">
        <v>140</v>
      </c>
      <c r="O92" s="1513">
        <v>120</v>
      </c>
      <c r="P92" s="1515">
        <v>100</v>
      </c>
      <c r="Q92" s="1517"/>
    </row>
    <row r="93" spans="1:17" ht="27.75" customHeight="1" x14ac:dyDescent="0.25">
      <c r="A93" s="1497"/>
      <c r="B93" s="1498"/>
      <c r="C93" s="1506"/>
      <c r="D93" s="47"/>
      <c r="E93" s="247"/>
      <c r="F93" s="1133"/>
      <c r="G93" s="1211"/>
      <c r="H93" s="1212"/>
      <c r="I93" s="1212"/>
      <c r="J93" s="1123"/>
      <c r="K93" s="1125"/>
      <c r="L93" s="1125"/>
      <c r="M93" s="1134"/>
      <c r="N93" s="384" t="s">
        <v>323</v>
      </c>
      <c r="O93" s="468">
        <v>4.3</v>
      </c>
      <c r="P93" s="656">
        <v>0.6</v>
      </c>
      <c r="Q93" s="734"/>
    </row>
    <row r="94" spans="1:17" ht="17.149999999999999" customHeight="1" x14ac:dyDescent="0.25">
      <c r="A94" s="1657"/>
      <c r="B94" s="1704"/>
      <c r="C94" s="1700"/>
      <c r="D94" s="1636" t="s">
        <v>143</v>
      </c>
      <c r="E94" s="1493" t="s">
        <v>262</v>
      </c>
      <c r="F94" s="1131" t="s">
        <v>341</v>
      </c>
      <c r="G94" s="1437">
        <f>221.6-18.6</f>
        <v>203</v>
      </c>
      <c r="H94" s="1135">
        <f>307.1-74.4</f>
        <v>232.7</v>
      </c>
      <c r="I94" s="1135">
        <f>307.1-74.4</f>
        <v>232.7</v>
      </c>
      <c r="J94" s="1113"/>
      <c r="K94" s="1135">
        <f>307.1-74.4</f>
        <v>232.7</v>
      </c>
      <c r="L94" s="1135">
        <f>307.1-74.4</f>
        <v>232.7</v>
      </c>
      <c r="M94" s="1119"/>
      <c r="N94" s="376" t="s">
        <v>81</v>
      </c>
      <c r="O94" s="660">
        <v>206</v>
      </c>
      <c r="P94" s="439">
        <v>206</v>
      </c>
      <c r="Q94" s="582">
        <v>206</v>
      </c>
    </row>
    <row r="95" spans="1:17" ht="29.15" customHeight="1" x14ac:dyDescent="0.25">
      <c r="A95" s="1657"/>
      <c r="B95" s="1704"/>
      <c r="C95" s="1700"/>
      <c r="D95" s="1637"/>
      <c r="E95" s="242" t="s">
        <v>178</v>
      </c>
      <c r="F95" s="1120"/>
      <c r="G95" s="1439"/>
      <c r="H95" s="1125"/>
      <c r="I95" s="1125"/>
      <c r="J95" s="1123"/>
      <c r="K95" s="1125"/>
      <c r="L95" s="1125"/>
      <c r="M95" s="1152"/>
      <c r="N95" s="1501" t="s">
        <v>326</v>
      </c>
      <c r="O95" s="661">
        <v>10</v>
      </c>
      <c r="P95" s="440">
        <v>10</v>
      </c>
      <c r="Q95" s="582">
        <v>10</v>
      </c>
    </row>
    <row r="96" spans="1:17" ht="27" customHeight="1" x14ac:dyDescent="0.25">
      <c r="A96" s="1657"/>
      <c r="B96" s="1704"/>
      <c r="C96" s="1700"/>
      <c r="D96" s="1637"/>
      <c r="E96" s="247"/>
      <c r="F96" s="1120" t="s">
        <v>341</v>
      </c>
      <c r="G96" s="1439">
        <v>12.7</v>
      </c>
      <c r="H96" s="1125">
        <v>12.7</v>
      </c>
      <c r="I96" s="1125">
        <v>12.7</v>
      </c>
      <c r="J96" s="1123"/>
      <c r="K96" s="1125">
        <v>12.7</v>
      </c>
      <c r="L96" s="1125">
        <v>12.7</v>
      </c>
      <c r="M96" s="1152"/>
      <c r="N96" s="384" t="s">
        <v>327</v>
      </c>
      <c r="O96" s="475">
        <v>5</v>
      </c>
      <c r="P96" s="440">
        <v>5</v>
      </c>
      <c r="Q96" s="582">
        <v>5</v>
      </c>
    </row>
    <row r="97" spans="1:22" ht="17.149999999999999" customHeight="1" x14ac:dyDescent="0.25">
      <c r="A97" s="1657"/>
      <c r="B97" s="1704"/>
      <c r="C97" s="1700"/>
      <c r="D97" s="1637"/>
      <c r="E97" s="247"/>
      <c r="F97" s="1133" t="s">
        <v>341</v>
      </c>
      <c r="G97" s="1211">
        <v>24.2</v>
      </c>
      <c r="H97" s="1212"/>
      <c r="I97" s="1212"/>
      <c r="J97" s="1130"/>
      <c r="K97" s="1212"/>
      <c r="L97" s="1212"/>
      <c r="M97" s="1152"/>
      <c r="N97" s="1521" t="s">
        <v>194</v>
      </c>
      <c r="O97" s="1080">
        <v>1</v>
      </c>
      <c r="P97" s="440"/>
      <c r="Q97" s="257"/>
      <c r="R97" s="683"/>
      <c r="S97" s="683"/>
      <c r="T97" s="683"/>
    </row>
    <row r="98" spans="1:22" ht="15" customHeight="1" x14ac:dyDescent="0.25">
      <c r="A98" s="1497"/>
      <c r="B98" s="1508"/>
      <c r="C98" s="1506"/>
      <c r="D98" s="1636" t="s">
        <v>122</v>
      </c>
      <c r="E98" s="1493" t="s">
        <v>136</v>
      </c>
      <c r="F98" s="1131" t="s">
        <v>341</v>
      </c>
      <c r="G98" s="1437">
        <v>84</v>
      </c>
      <c r="H98" s="1339">
        <v>248.1</v>
      </c>
      <c r="I98" s="1339">
        <v>248.1</v>
      </c>
      <c r="J98" s="1113"/>
      <c r="K98" s="1135"/>
      <c r="L98" s="1135"/>
      <c r="M98" s="1119"/>
      <c r="N98" s="1504" t="s">
        <v>290</v>
      </c>
      <c r="O98" s="428">
        <v>40</v>
      </c>
      <c r="P98" s="434">
        <v>100</v>
      </c>
      <c r="Q98" s="1076"/>
    </row>
    <row r="99" spans="1:22" ht="15" customHeight="1" x14ac:dyDescent="0.25">
      <c r="A99" s="1497"/>
      <c r="B99" s="1508"/>
      <c r="C99" s="1506"/>
      <c r="D99" s="1637"/>
      <c r="E99" s="1494" t="s">
        <v>308</v>
      </c>
      <c r="F99" s="1120" t="s">
        <v>348</v>
      </c>
      <c r="G99" s="1439">
        <v>24.5</v>
      </c>
      <c r="H99" s="1125"/>
      <c r="I99" s="1125"/>
      <c r="J99" s="1123"/>
      <c r="K99" s="1125"/>
      <c r="L99" s="1125"/>
      <c r="M99" s="1123"/>
      <c r="N99" s="2"/>
      <c r="O99" s="1387"/>
      <c r="P99" s="1079"/>
      <c r="Q99" s="682"/>
    </row>
    <row r="100" spans="1:22" ht="15" customHeight="1" x14ac:dyDescent="0.25">
      <c r="A100" s="1497"/>
      <c r="B100" s="1508"/>
      <c r="C100" s="1506"/>
      <c r="D100" s="1637"/>
      <c r="E100" s="739" t="s">
        <v>42</v>
      </c>
      <c r="F100" s="1236"/>
      <c r="G100" s="1443"/>
      <c r="H100" s="1270"/>
      <c r="I100" s="1270"/>
      <c r="J100" s="1336"/>
      <c r="K100" s="1125"/>
      <c r="L100" s="1125"/>
      <c r="M100" s="1152"/>
      <c r="N100" s="1523"/>
      <c r="O100" s="429"/>
      <c r="P100" s="435"/>
      <c r="Q100" s="682"/>
    </row>
    <row r="101" spans="1:22" ht="15" customHeight="1" x14ac:dyDescent="0.25">
      <c r="A101" s="1497"/>
      <c r="B101" s="1508"/>
      <c r="C101" s="1506"/>
      <c r="D101" s="1638"/>
      <c r="E101" s="1072" t="s">
        <v>262</v>
      </c>
      <c r="F101" s="1238"/>
      <c r="G101" s="1443"/>
      <c r="H101" s="1125"/>
      <c r="I101" s="1125"/>
      <c r="J101" s="1123"/>
      <c r="K101" s="1212"/>
      <c r="L101" s="1212"/>
      <c r="M101" s="1134"/>
      <c r="N101" s="256"/>
      <c r="O101" s="165"/>
      <c r="P101" s="437"/>
      <c r="Q101" s="742"/>
    </row>
    <row r="102" spans="1:22" ht="16.5" customHeight="1" x14ac:dyDescent="0.25">
      <c r="A102" s="1497"/>
      <c r="B102" s="1508"/>
      <c r="C102" s="1506"/>
      <c r="D102" s="1636" t="s">
        <v>328</v>
      </c>
      <c r="E102" s="1493" t="s">
        <v>262</v>
      </c>
      <c r="F102" s="1131" t="s">
        <v>343</v>
      </c>
      <c r="G102" s="1437">
        <v>10</v>
      </c>
      <c r="H102" s="1135"/>
      <c r="I102" s="1135"/>
      <c r="J102" s="1113"/>
      <c r="K102" s="1135"/>
      <c r="L102" s="1135"/>
      <c r="M102" s="1246"/>
      <c r="N102" s="1504" t="s">
        <v>71</v>
      </c>
      <c r="O102" s="428">
        <v>1</v>
      </c>
      <c r="P102" s="434"/>
      <c r="Q102" s="1076"/>
    </row>
    <row r="103" spans="1:22" ht="16.5" customHeight="1" x14ac:dyDescent="0.25">
      <c r="A103" s="1497"/>
      <c r="B103" s="1508"/>
      <c r="C103" s="1506"/>
      <c r="D103" s="1638"/>
      <c r="E103" s="737"/>
      <c r="F103" s="1133"/>
      <c r="G103" s="1211"/>
      <c r="H103" s="1212"/>
      <c r="I103" s="1212"/>
      <c r="J103" s="1130"/>
      <c r="K103" s="1212"/>
      <c r="L103" s="1212"/>
      <c r="M103" s="1247"/>
      <c r="N103" s="367"/>
      <c r="O103" s="431"/>
      <c r="P103" s="437"/>
      <c r="Q103" s="742"/>
    </row>
    <row r="104" spans="1:22" ht="17.899999999999999" customHeight="1" x14ac:dyDescent="0.25">
      <c r="A104" s="1657"/>
      <c r="B104" s="1704"/>
      <c r="C104" s="1700"/>
      <c r="D104" s="1636" t="s">
        <v>202</v>
      </c>
      <c r="E104" s="1493" t="s">
        <v>153</v>
      </c>
      <c r="F104" s="1131" t="s">
        <v>341</v>
      </c>
      <c r="G104" s="1437"/>
      <c r="H104" s="1135">
        <f>150</f>
        <v>150</v>
      </c>
      <c r="I104" s="1135">
        <f>150</f>
        <v>150</v>
      </c>
      <c r="J104" s="1113"/>
      <c r="K104" s="1135">
        <v>150</v>
      </c>
      <c r="L104" s="1135">
        <v>150</v>
      </c>
      <c r="M104" s="1134"/>
      <c r="N104" s="1505" t="s">
        <v>281</v>
      </c>
      <c r="O104" s="428"/>
      <c r="P104" s="434">
        <v>3</v>
      </c>
      <c r="Q104" s="141">
        <v>3</v>
      </c>
    </row>
    <row r="105" spans="1:22" ht="17.899999999999999" customHeight="1" x14ac:dyDescent="0.25">
      <c r="A105" s="1657"/>
      <c r="B105" s="1704"/>
      <c r="C105" s="1700"/>
      <c r="D105" s="1637"/>
      <c r="E105" s="1494" t="s">
        <v>262</v>
      </c>
      <c r="F105" s="1120" t="s">
        <v>341</v>
      </c>
      <c r="G105" s="1445">
        <v>99.1</v>
      </c>
      <c r="H105" s="1125"/>
      <c r="I105" s="1125"/>
      <c r="J105" s="1123"/>
      <c r="K105" s="1125"/>
      <c r="L105" s="1125"/>
      <c r="M105" s="1152"/>
      <c r="N105" s="1537" t="s">
        <v>281</v>
      </c>
      <c r="O105" s="475">
        <v>2</v>
      </c>
      <c r="P105" s="486"/>
      <c r="Q105" s="582"/>
      <c r="R105" s="856"/>
      <c r="S105" s="856"/>
      <c r="T105" s="856"/>
      <c r="U105" s="856"/>
      <c r="V105" s="856"/>
    </row>
    <row r="106" spans="1:22" ht="17.899999999999999" customHeight="1" x14ac:dyDescent="0.25">
      <c r="A106" s="1657"/>
      <c r="B106" s="1704"/>
      <c r="C106" s="1700"/>
      <c r="D106" s="1637"/>
      <c r="E106" s="1494" t="s">
        <v>178</v>
      </c>
      <c r="F106" s="1120" t="s">
        <v>341</v>
      </c>
      <c r="G106" s="1439">
        <v>12</v>
      </c>
      <c r="H106" s="1125"/>
      <c r="I106" s="1125"/>
      <c r="J106" s="1123"/>
      <c r="K106" s="1125"/>
      <c r="L106" s="1125"/>
      <c r="M106" s="1152"/>
      <c r="N106" s="1537" t="s">
        <v>280</v>
      </c>
      <c r="O106" s="526">
        <v>1</v>
      </c>
      <c r="P106" s="440"/>
      <c r="Q106" s="582"/>
    </row>
    <row r="107" spans="1:22" ht="17.899999999999999" customHeight="1" x14ac:dyDescent="0.25">
      <c r="A107" s="1657"/>
      <c r="B107" s="1704"/>
      <c r="C107" s="1700"/>
      <c r="D107" s="1637"/>
      <c r="E107" s="1494"/>
      <c r="F107" s="1133" t="s">
        <v>341</v>
      </c>
      <c r="G107" s="1211"/>
      <c r="H107" s="1125">
        <v>38.9</v>
      </c>
      <c r="I107" s="1125">
        <v>38.9</v>
      </c>
      <c r="J107" s="1123"/>
      <c r="K107" s="1125"/>
      <c r="L107" s="1125"/>
      <c r="M107" s="1134"/>
      <c r="N107" s="1537" t="s">
        <v>281</v>
      </c>
      <c r="O107" s="526"/>
      <c r="P107" s="533">
        <v>1</v>
      </c>
      <c r="Q107" s="257"/>
    </row>
    <row r="108" spans="1:22" ht="15" customHeight="1" x14ac:dyDescent="0.25">
      <c r="A108" s="1497"/>
      <c r="B108" s="1508"/>
      <c r="C108" s="1506"/>
      <c r="D108" s="1727"/>
      <c r="E108" s="1727"/>
      <c r="F108" s="1340"/>
      <c r="G108" s="1340"/>
      <c r="H108" s="85"/>
      <c r="I108" s="85"/>
      <c r="J108" s="1337"/>
      <c r="K108" s="1326"/>
      <c r="L108" s="1326"/>
      <c r="M108" s="387"/>
      <c r="N108" s="386"/>
      <c r="O108" s="469"/>
      <c r="P108" s="470"/>
      <c r="Q108" s="1377"/>
    </row>
    <row r="109" spans="1:22" ht="20.9" customHeight="1" x14ac:dyDescent="0.25">
      <c r="A109" s="1497"/>
      <c r="B109" s="1508"/>
      <c r="C109" s="1506"/>
      <c r="D109" s="1636" t="s">
        <v>78</v>
      </c>
      <c r="E109" s="242" t="s">
        <v>178</v>
      </c>
      <c r="F109" s="1131" t="s">
        <v>341</v>
      </c>
      <c r="G109" s="1437">
        <v>10</v>
      </c>
      <c r="H109" s="1135">
        <v>10</v>
      </c>
      <c r="I109" s="1135">
        <v>10</v>
      </c>
      <c r="J109" s="1113"/>
      <c r="K109" s="1135">
        <v>10</v>
      </c>
      <c r="L109" s="1135">
        <v>10</v>
      </c>
      <c r="M109" s="1119"/>
      <c r="N109" s="1728" t="s">
        <v>181</v>
      </c>
      <c r="O109" s="1526">
        <v>1</v>
      </c>
      <c r="P109" s="1528">
        <v>1</v>
      </c>
      <c r="Q109" s="1530">
        <v>1</v>
      </c>
    </row>
    <row r="110" spans="1:22" ht="20.9" customHeight="1" x14ac:dyDescent="0.25">
      <c r="A110" s="1497"/>
      <c r="B110" s="1508"/>
      <c r="C110" s="63"/>
      <c r="D110" s="1638"/>
      <c r="E110" s="1510" t="s">
        <v>262</v>
      </c>
      <c r="F110" s="1241"/>
      <c r="G110" s="1211"/>
      <c r="H110" s="1212"/>
      <c r="I110" s="1212"/>
      <c r="J110" s="1130"/>
      <c r="K110" s="1212"/>
      <c r="L110" s="1212"/>
      <c r="M110" s="1137"/>
      <c r="N110" s="1729"/>
      <c r="O110" s="431"/>
      <c r="P110" s="437"/>
      <c r="Q110" s="742"/>
    </row>
    <row r="111" spans="1:22" ht="16.5" customHeight="1" x14ac:dyDescent="0.25">
      <c r="A111" s="1497"/>
      <c r="B111" s="1508"/>
      <c r="C111" s="63"/>
      <c r="D111" s="1636" t="s">
        <v>63</v>
      </c>
      <c r="E111" s="847" t="s">
        <v>178</v>
      </c>
      <c r="F111" s="1131" t="s">
        <v>341</v>
      </c>
      <c r="G111" s="1446">
        <v>926.7</v>
      </c>
      <c r="H111" s="1271">
        <v>927</v>
      </c>
      <c r="I111" s="1271">
        <v>927</v>
      </c>
      <c r="J111" s="1338"/>
      <c r="K111" s="1327">
        <v>927</v>
      </c>
      <c r="L111" s="1327">
        <v>927</v>
      </c>
      <c r="M111" s="1303"/>
      <c r="N111" s="397" t="s">
        <v>214</v>
      </c>
      <c r="O111" s="471">
        <v>21</v>
      </c>
      <c r="P111" s="482">
        <v>21</v>
      </c>
      <c r="Q111" s="1370">
        <v>21</v>
      </c>
    </row>
    <row r="112" spans="1:22" ht="15.75" customHeight="1" x14ac:dyDescent="0.25">
      <c r="A112" s="1497"/>
      <c r="B112" s="1508"/>
      <c r="C112" s="84"/>
      <c r="D112" s="1637"/>
      <c r="E112" s="242" t="s">
        <v>136</v>
      </c>
      <c r="F112" s="1120" t="s">
        <v>342</v>
      </c>
      <c r="G112" s="1439">
        <v>7.7</v>
      </c>
      <c r="H112" s="1125">
        <v>7.7</v>
      </c>
      <c r="I112" s="1125">
        <v>7.7</v>
      </c>
      <c r="J112" s="1123"/>
      <c r="K112" s="1125">
        <v>7.7</v>
      </c>
      <c r="L112" s="1125">
        <v>7.7</v>
      </c>
      <c r="M112" s="1152"/>
      <c r="N112" s="1525" t="s">
        <v>215</v>
      </c>
      <c r="O112" s="472">
        <v>98</v>
      </c>
      <c r="P112" s="483">
        <v>98</v>
      </c>
      <c r="Q112" s="1371">
        <v>98</v>
      </c>
    </row>
    <row r="113" spans="1:17" ht="15.75" customHeight="1" x14ac:dyDescent="0.25">
      <c r="A113" s="1497"/>
      <c r="B113" s="1498"/>
      <c r="C113" s="84"/>
      <c r="D113" s="1637"/>
      <c r="E113" s="1494" t="s">
        <v>262</v>
      </c>
      <c r="F113" s="1120" t="s">
        <v>353</v>
      </c>
      <c r="G113" s="1439">
        <v>0.6</v>
      </c>
      <c r="H113" s="1134"/>
      <c r="I113" s="1122"/>
      <c r="J113" s="1123"/>
      <c r="K113" s="1125"/>
      <c r="L113" s="1125"/>
      <c r="M113" s="1152"/>
      <c r="N113" s="373" t="s">
        <v>80</v>
      </c>
      <c r="O113" s="473">
        <v>6</v>
      </c>
      <c r="P113" s="484">
        <v>6</v>
      </c>
      <c r="Q113" s="1372">
        <v>6</v>
      </c>
    </row>
    <row r="114" spans="1:17" ht="15.75" customHeight="1" x14ac:dyDescent="0.25">
      <c r="A114" s="1497"/>
      <c r="B114" s="1508"/>
      <c r="C114" s="84"/>
      <c r="D114" s="1637"/>
      <c r="E114" s="173"/>
      <c r="F114" s="1120"/>
      <c r="G114" s="1439"/>
      <c r="H114" s="1125"/>
      <c r="I114" s="1125"/>
      <c r="J114" s="1123"/>
      <c r="K114" s="1125"/>
      <c r="L114" s="1125"/>
      <c r="M114" s="1152"/>
      <c r="N114" s="1523" t="s">
        <v>112</v>
      </c>
      <c r="O114" s="473">
        <v>40</v>
      </c>
      <c r="P114" s="484">
        <v>40</v>
      </c>
      <c r="Q114" s="1372">
        <v>40</v>
      </c>
    </row>
    <row r="115" spans="1:17" ht="15.75" customHeight="1" x14ac:dyDescent="0.25">
      <c r="A115" s="1497"/>
      <c r="B115" s="1508"/>
      <c r="C115" s="84"/>
      <c r="D115" s="1637"/>
      <c r="E115" s="173"/>
      <c r="F115" s="1120"/>
      <c r="G115" s="1439"/>
      <c r="H115" s="1125"/>
      <c r="I115" s="1125"/>
      <c r="J115" s="1123"/>
      <c r="K115" s="1125"/>
      <c r="L115" s="1125"/>
      <c r="M115" s="1134"/>
      <c r="N115" s="373" t="s">
        <v>282</v>
      </c>
      <c r="O115" s="474">
        <v>9</v>
      </c>
      <c r="P115" s="485">
        <v>9</v>
      </c>
      <c r="Q115" s="1373">
        <v>9</v>
      </c>
    </row>
    <row r="116" spans="1:17" ht="15" customHeight="1" x14ac:dyDescent="0.25">
      <c r="A116" s="1497"/>
      <c r="B116" s="1508"/>
      <c r="C116" s="84"/>
      <c r="D116" s="1637"/>
      <c r="E116" s="173"/>
      <c r="F116" s="1120"/>
      <c r="G116" s="1439"/>
      <c r="H116" s="1125"/>
      <c r="I116" s="1125"/>
      <c r="J116" s="1123"/>
      <c r="K116" s="1125"/>
      <c r="L116" s="1125"/>
      <c r="M116" s="1134"/>
      <c r="N116" s="1730" t="s">
        <v>182</v>
      </c>
      <c r="O116" s="544">
        <v>1</v>
      </c>
      <c r="P116" s="547">
        <v>1</v>
      </c>
      <c r="Q116" s="1353">
        <v>1</v>
      </c>
    </row>
    <row r="117" spans="1:17" ht="12.65" customHeight="1" x14ac:dyDescent="0.25">
      <c r="A117" s="1497"/>
      <c r="B117" s="1508"/>
      <c r="C117" s="84"/>
      <c r="D117" s="837"/>
      <c r="E117" s="173"/>
      <c r="F117" s="1120"/>
      <c r="G117" s="1439"/>
      <c r="H117" s="1125"/>
      <c r="I117" s="1125"/>
      <c r="J117" s="1123"/>
      <c r="K117" s="1125"/>
      <c r="L117" s="1125"/>
      <c r="M117" s="1134"/>
      <c r="N117" s="1730"/>
      <c r="O117" s="842"/>
      <c r="P117" s="1433"/>
      <c r="Q117" s="843"/>
    </row>
    <row r="118" spans="1:17" ht="14.9" customHeight="1" x14ac:dyDescent="0.25">
      <c r="A118" s="1497"/>
      <c r="B118" s="1508"/>
      <c r="C118" s="84"/>
      <c r="D118" s="837"/>
      <c r="E118" s="173"/>
      <c r="F118" s="1120" t="s">
        <v>341</v>
      </c>
      <c r="G118" s="1439"/>
      <c r="H118" s="1125">
        <v>15</v>
      </c>
      <c r="I118" s="1125">
        <v>15</v>
      </c>
      <c r="J118" s="1123"/>
      <c r="K118" s="1125">
        <v>16.399999999999999</v>
      </c>
      <c r="L118" s="1125">
        <v>16.399999999999999</v>
      </c>
      <c r="M118" s="1152"/>
      <c r="N118" s="381" t="s">
        <v>283</v>
      </c>
      <c r="O118" s="581"/>
      <c r="P118" s="486">
        <v>1</v>
      </c>
      <c r="Q118" s="582">
        <v>1</v>
      </c>
    </row>
    <row r="119" spans="1:17" ht="15.65" customHeight="1" x14ac:dyDescent="0.25">
      <c r="A119" s="1497"/>
      <c r="B119" s="1508"/>
      <c r="C119" s="84"/>
      <c r="D119" s="1490"/>
      <c r="E119" s="927"/>
      <c r="F119" s="1120" t="s">
        <v>341</v>
      </c>
      <c r="G119" s="1439">
        <v>13.3</v>
      </c>
      <c r="H119" s="1125"/>
      <c r="I119" s="1125"/>
      <c r="J119" s="1123"/>
      <c r="K119" s="1125"/>
      <c r="L119" s="1125"/>
      <c r="M119" s="1152"/>
      <c r="N119" s="1501" t="s">
        <v>284</v>
      </c>
      <c r="O119" s="457">
        <v>4</v>
      </c>
      <c r="P119" s="462"/>
      <c r="Q119" s="925"/>
    </row>
    <row r="120" spans="1:17" ht="16.399999999999999" customHeight="1" x14ac:dyDescent="0.25">
      <c r="A120" s="1497"/>
      <c r="B120" s="1508"/>
      <c r="C120" s="84"/>
      <c r="D120" s="1723" t="s">
        <v>185</v>
      </c>
      <c r="E120" s="1494" t="s">
        <v>153</v>
      </c>
      <c r="F120" s="1120"/>
      <c r="G120" s="1439"/>
      <c r="H120" s="1125"/>
      <c r="I120" s="1125"/>
      <c r="J120" s="1123"/>
      <c r="K120" s="1125"/>
      <c r="L120" s="1125"/>
      <c r="M120" s="1152"/>
      <c r="N120" s="921" t="s">
        <v>264</v>
      </c>
      <c r="O120" s="923">
        <v>2</v>
      </c>
      <c r="P120" s="924">
        <v>2</v>
      </c>
      <c r="Q120" s="926">
        <v>2</v>
      </c>
    </row>
    <row r="121" spans="1:17" ht="16.399999999999999" customHeight="1" x14ac:dyDescent="0.25">
      <c r="A121" s="1497"/>
      <c r="B121" s="1508"/>
      <c r="C121" s="84"/>
      <c r="D121" s="1637"/>
      <c r="E121" s="242" t="s">
        <v>136</v>
      </c>
      <c r="F121" s="1120"/>
      <c r="G121" s="1439"/>
      <c r="H121" s="1125"/>
      <c r="I121" s="1125"/>
      <c r="J121" s="1123"/>
      <c r="K121" s="1125"/>
      <c r="L121" s="1125"/>
      <c r="M121" s="1134"/>
      <c r="N121" s="714"/>
      <c r="O121" s="317"/>
      <c r="P121" s="323"/>
      <c r="Q121" s="604"/>
    </row>
    <row r="122" spans="1:17" ht="16.399999999999999" customHeight="1" x14ac:dyDescent="0.25">
      <c r="A122" s="1497"/>
      <c r="B122" s="1508"/>
      <c r="C122" s="84"/>
      <c r="D122" s="1637"/>
      <c r="E122" s="1494" t="s">
        <v>262</v>
      </c>
      <c r="F122" s="1120"/>
      <c r="G122" s="1439"/>
      <c r="H122" s="1125"/>
      <c r="I122" s="1125"/>
      <c r="J122" s="1123"/>
      <c r="K122" s="1125"/>
      <c r="L122" s="1125"/>
      <c r="M122" s="1152"/>
      <c r="N122" s="902"/>
      <c r="O122" s="476"/>
      <c r="P122" s="907"/>
      <c r="Q122" s="910"/>
    </row>
    <row r="123" spans="1:17" ht="16.399999999999999" customHeight="1" x14ac:dyDescent="0.25">
      <c r="A123" s="1497"/>
      <c r="B123" s="1508"/>
      <c r="C123" s="84"/>
      <c r="D123" s="1638"/>
      <c r="E123" s="1510" t="s">
        <v>308</v>
      </c>
      <c r="F123" s="1133"/>
      <c r="G123" s="1211"/>
      <c r="H123" s="1212"/>
      <c r="I123" s="1212"/>
      <c r="J123" s="1130"/>
      <c r="K123" s="1212"/>
      <c r="L123" s="1212"/>
      <c r="M123" s="1247"/>
      <c r="N123" s="903"/>
      <c r="O123" s="906"/>
      <c r="P123" s="908"/>
      <c r="Q123" s="909"/>
    </row>
    <row r="124" spans="1:17" ht="14.9" customHeight="1" x14ac:dyDescent="0.25">
      <c r="A124" s="1657"/>
      <c r="B124" s="1658"/>
      <c r="C124" s="84"/>
      <c r="D124" s="1636" t="s">
        <v>120</v>
      </c>
      <c r="E124" s="1494" t="s">
        <v>262</v>
      </c>
      <c r="F124" s="1131" t="s">
        <v>341</v>
      </c>
      <c r="G124" s="1437">
        <v>33.6</v>
      </c>
      <c r="H124" s="1135">
        <v>33.6</v>
      </c>
      <c r="I124" s="1135">
        <v>33.6</v>
      </c>
      <c r="J124" s="1113"/>
      <c r="K124" s="1135">
        <v>33.6</v>
      </c>
      <c r="L124" s="1135">
        <v>33.6</v>
      </c>
      <c r="M124" s="1246"/>
      <c r="N124" s="376" t="s">
        <v>88</v>
      </c>
      <c r="O124" s="432">
        <v>2</v>
      </c>
      <c r="P124" s="439">
        <v>2</v>
      </c>
      <c r="Q124" s="141">
        <v>2</v>
      </c>
    </row>
    <row r="125" spans="1:17" ht="14.9" customHeight="1" x14ac:dyDescent="0.25">
      <c r="A125" s="1657"/>
      <c r="B125" s="1658"/>
      <c r="C125" s="84"/>
      <c r="D125" s="1637"/>
      <c r="E125" s="247"/>
      <c r="F125" s="1124" t="s">
        <v>353</v>
      </c>
      <c r="G125" s="1439">
        <v>1.5</v>
      </c>
      <c r="H125" s="1125"/>
      <c r="I125" s="1125"/>
      <c r="J125" s="1123"/>
      <c r="K125" s="1125"/>
      <c r="L125" s="1125"/>
      <c r="M125" s="1152"/>
      <c r="N125" s="1501" t="s">
        <v>215</v>
      </c>
      <c r="O125" s="433">
        <v>5</v>
      </c>
      <c r="P125" s="440">
        <v>5</v>
      </c>
      <c r="Q125" s="662">
        <v>5</v>
      </c>
    </row>
    <row r="126" spans="1:17" ht="14.9" customHeight="1" x14ac:dyDescent="0.25">
      <c r="A126" s="1657"/>
      <c r="B126" s="1658"/>
      <c r="C126" s="84"/>
      <c r="D126" s="1638"/>
      <c r="E126" s="828"/>
      <c r="F126" s="1133" t="s">
        <v>342</v>
      </c>
      <c r="G126" s="1211">
        <v>5</v>
      </c>
      <c r="H126" s="1212">
        <v>5</v>
      </c>
      <c r="I126" s="1212">
        <v>5</v>
      </c>
      <c r="J126" s="1130"/>
      <c r="K126" s="1212">
        <v>5</v>
      </c>
      <c r="L126" s="1212">
        <v>5</v>
      </c>
      <c r="M126" s="1247"/>
      <c r="N126" s="256"/>
      <c r="O126" s="1536"/>
      <c r="P126" s="1534"/>
      <c r="Q126" s="1366"/>
    </row>
    <row r="127" spans="1:17" ht="15" customHeight="1" x14ac:dyDescent="0.25">
      <c r="A127" s="1497"/>
      <c r="B127" s="1508"/>
      <c r="C127" s="84"/>
      <c r="D127" s="1637" t="s">
        <v>52</v>
      </c>
      <c r="E127" s="1494" t="s">
        <v>262</v>
      </c>
      <c r="F127" s="1131" t="s">
        <v>342</v>
      </c>
      <c r="G127" s="1437">
        <v>21</v>
      </c>
      <c r="H127" s="1135">
        <v>21</v>
      </c>
      <c r="I127" s="1135">
        <v>21</v>
      </c>
      <c r="J127" s="1113"/>
      <c r="K127" s="1135">
        <v>21</v>
      </c>
      <c r="L127" s="1135">
        <v>21</v>
      </c>
      <c r="M127" s="1246"/>
      <c r="N127" s="1495" t="s">
        <v>214</v>
      </c>
      <c r="O127" s="428">
        <v>2</v>
      </c>
      <c r="P127" s="434">
        <v>2</v>
      </c>
      <c r="Q127" s="1076">
        <v>2</v>
      </c>
    </row>
    <row r="128" spans="1:17" ht="15" customHeight="1" x14ac:dyDescent="0.25">
      <c r="A128" s="1497"/>
      <c r="B128" s="1508"/>
      <c r="C128" s="63"/>
      <c r="D128" s="1638"/>
      <c r="E128" s="820"/>
      <c r="F128" s="1241" t="s">
        <v>353</v>
      </c>
      <c r="G128" s="1211">
        <v>0.8</v>
      </c>
      <c r="H128" s="1212"/>
      <c r="I128" s="1212"/>
      <c r="J128" s="1130"/>
      <c r="K128" s="1212"/>
      <c r="L128" s="1212"/>
      <c r="M128" s="1247"/>
      <c r="N128" s="1507"/>
      <c r="O128" s="431"/>
      <c r="P128" s="437"/>
      <c r="Q128" s="742"/>
    </row>
    <row r="129" spans="1:21" ht="27" customHeight="1" x14ac:dyDescent="0.25">
      <c r="A129" s="1497"/>
      <c r="B129" s="1508"/>
      <c r="C129" s="63"/>
      <c r="D129" s="1490" t="s">
        <v>148</v>
      </c>
      <c r="E129" s="1493" t="s">
        <v>178</v>
      </c>
      <c r="F129" s="1245" t="s">
        <v>341</v>
      </c>
      <c r="G129" s="1437">
        <v>320</v>
      </c>
      <c r="H129" s="1135">
        <v>150</v>
      </c>
      <c r="I129" s="1135">
        <v>150</v>
      </c>
      <c r="J129" s="1113"/>
      <c r="K129" s="1135"/>
      <c r="L129" s="1135"/>
      <c r="M129" s="1246"/>
      <c r="N129" s="1504" t="s">
        <v>192</v>
      </c>
      <c r="O129" s="1265">
        <v>8</v>
      </c>
      <c r="P129" s="1528">
        <v>3</v>
      </c>
      <c r="Q129" s="1530"/>
    </row>
    <row r="130" spans="1:21" ht="19" customHeight="1" x14ac:dyDescent="0.25">
      <c r="A130" s="1497"/>
      <c r="B130" s="1508"/>
      <c r="C130" s="63"/>
      <c r="D130" s="667"/>
      <c r="E130" s="1494" t="s">
        <v>262</v>
      </c>
      <c r="F130" s="1127" t="s">
        <v>343</v>
      </c>
      <c r="G130" s="1211">
        <v>79.8</v>
      </c>
      <c r="H130" s="1212"/>
      <c r="I130" s="1212"/>
      <c r="J130" s="1130"/>
      <c r="K130" s="1212"/>
      <c r="L130" s="1212"/>
      <c r="M130" s="1247"/>
      <c r="N130" s="367"/>
      <c r="O130" s="1527"/>
      <c r="P130" s="1529"/>
      <c r="Q130" s="1531"/>
    </row>
    <row r="131" spans="1:21" ht="42.65" customHeight="1" x14ac:dyDescent="0.25">
      <c r="A131" s="1497"/>
      <c r="B131" s="1508"/>
      <c r="C131" s="63"/>
      <c r="D131" s="1637" t="s">
        <v>265</v>
      </c>
      <c r="E131" s="1493" t="s">
        <v>276</v>
      </c>
      <c r="F131" s="1151" t="s">
        <v>341</v>
      </c>
      <c r="G131" s="1437"/>
      <c r="H131" s="1135"/>
      <c r="I131" s="1135"/>
      <c r="J131" s="1113"/>
      <c r="K131" s="1135">
        <v>500</v>
      </c>
      <c r="L131" s="1135">
        <v>500</v>
      </c>
      <c r="M131" s="1152"/>
      <c r="N131" s="1505" t="s">
        <v>266</v>
      </c>
      <c r="O131" s="445"/>
      <c r="P131" s="490"/>
      <c r="Q131" s="666">
        <v>50</v>
      </c>
    </row>
    <row r="132" spans="1:21" ht="41.15" customHeight="1" x14ac:dyDescent="0.25">
      <c r="A132" s="1497"/>
      <c r="B132" s="1508"/>
      <c r="C132" s="63"/>
      <c r="D132" s="1638"/>
      <c r="E132" s="1510" t="s">
        <v>178</v>
      </c>
      <c r="F132" s="1127" t="s">
        <v>341</v>
      </c>
      <c r="G132" s="1211"/>
      <c r="H132" s="1212">
        <f>59.4+444.9</f>
        <v>504.3</v>
      </c>
      <c r="I132" s="1212">
        <f>59.4+444.9</f>
        <v>504.3</v>
      </c>
      <c r="J132" s="1130"/>
      <c r="K132" s="1212"/>
      <c r="L132" s="1212"/>
      <c r="M132" s="1247"/>
      <c r="N132" s="396" t="s">
        <v>267</v>
      </c>
      <c r="O132" s="477"/>
      <c r="P132" s="453">
        <v>100</v>
      </c>
      <c r="Q132" s="1367"/>
    </row>
    <row r="133" spans="1:21" ht="18.649999999999999" customHeight="1" x14ac:dyDescent="0.25">
      <c r="A133" s="1497"/>
      <c r="B133" s="1508"/>
      <c r="C133" s="63"/>
      <c r="D133" s="1489" t="s">
        <v>154</v>
      </c>
      <c r="E133" s="1493" t="s">
        <v>262</v>
      </c>
      <c r="F133" s="1151" t="s">
        <v>341</v>
      </c>
      <c r="G133" s="1437">
        <v>8.4</v>
      </c>
      <c r="H133" s="1135"/>
      <c r="I133" s="1135"/>
      <c r="J133" s="1113"/>
      <c r="K133" s="1135"/>
      <c r="L133" s="1135"/>
      <c r="M133" s="1119"/>
      <c r="N133" s="1680" t="s">
        <v>324</v>
      </c>
      <c r="O133" s="1755">
        <v>1</v>
      </c>
      <c r="P133" s="1757"/>
      <c r="Q133" s="1759"/>
    </row>
    <row r="134" spans="1:21" ht="18.649999999999999" customHeight="1" x14ac:dyDescent="0.25">
      <c r="A134" s="1497"/>
      <c r="B134" s="1508"/>
      <c r="C134" s="63"/>
      <c r="D134" s="1491"/>
      <c r="E134" s="1510" t="s">
        <v>178</v>
      </c>
      <c r="F134" s="1127" t="s">
        <v>343</v>
      </c>
      <c r="G134" s="1211">
        <v>102</v>
      </c>
      <c r="H134" s="1212"/>
      <c r="I134" s="1212"/>
      <c r="J134" s="1130"/>
      <c r="K134" s="1212"/>
      <c r="L134" s="1212"/>
      <c r="M134" s="1247"/>
      <c r="N134" s="1701"/>
      <c r="O134" s="1756"/>
      <c r="P134" s="1758"/>
      <c r="Q134" s="1760"/>
    </row>
    <row r="135" spans="1:21" ht="16.5" customHeight="1" thickBot="1" x14ac:dyDescent="0.3">
      <c r="A135" s="19"/>
      <c r="B135" s="91"/>
      <c r="C135" s="62"/>
      <c r="D135" s="224"/>
      <c r="E135" s="228"/>
      <c r="F135" s="16" t="s">
        <v>4</v>
      </c>
      <c r="G135" s="210">
        <f>+G16+G17+G18+G19+G20+G21+G22+G23+G24+G25+G26</f>
        <v>5700.2</v>
      </c>
      <c r="H135" s="1136">
        <f>+H16+H17+H18+H19+H20+H21+H22+H23+H24+H25+H26</f>
        <v>9512.2999999999993</v>
      </c>
      <c r="I135" s="1465">
        <f t="shared" ref="I135:J135" si="1">+I16+I17+I18+I19+I20+I21+I22+I23+I24+I25+I26</f>
        <v>9112.2999999999993</v>
      </c>
      <c r="J135" s="1467">
        <f t="shared" si="1"/>
        <v>-400</v>
      </c>
      <c r="K135" s="334">
        <f>+K16+K17+K18+K19+K20+K21+K22+K23+K24+K25+K26</f>
        <v>12418.4</v>
      </c>
      <c r="L135" s="1466">
        <f t="shared" ref="L135:M135" si="2">+L16+L17+L18+L19+L20+L21+L22+L23+L24+L25+L26</f>
        <v>12018.4</v>
      </c>
      <c r="M135" s="1466">
        <f t="shared" si="2"/>
        <v>-400</v>
      </c>
      <c r="N135" s="1521"/>
      <c r="O135" s="480"/>
      <c r="P135" s="345"/>
      <c r="Q135" s="1355"/>
    </row>
    <row r="136" spans="1:21" ht="14.9" customHeight="1" x14ac:dyDescent="0.25">
      <c r="A136" s="1497" t="s">
        <v>3</v>
      </c>
      <c r="B136" s="1508" t="s">
        <v>3</v>
      </c>
      <c r="C136" s="1506" t="s">
        <v>5</v>
      </c>
      <c r="D136" s="1724" t="s">
        <v>44</v>
      </c>
      <c r="E136" s="1088"/>
      <c r="F136" s="768" t="s">
        <v>22</v>
      </c>
      <c r="G136" s="308">
        <v>4247.2</v>
      </c>
      <c r="H136" s="1272">
        <v>3900.8</v>
      </c>
      <c r="I136" s="1272">
        <v>3900.8</v>
      </c>
      <c r="J136" s="1342"/>
      <c r="K136" s="1440">
        <v>3900.8</v>
      </c>
      <c r="L136" s="340">
        <v>3900.8</v>
      </c>
      <c r="M136" s="132"/>
      <c r="N136" s="1090"/>
      <c r="O136" s="1091"/>
      <c r="P136" s="1092"/>
      <c r="Q136" s="1093"/>
      <c r="R136" s="1248" t="s">
        <v>22</v>
      </c>
      <c r="S136" s="1249">
        <f>+G139+G141+G147+G148+G149+G151+G154+G155</f>
        <v>4247.2</v>
      </c>
      <c r="T136" s="1249">
        <f>+H139+H141+H147+H148+H149+H151+H154+H155</f>
        <v>3900.8</v>
      </c>
      <c r="U136" s="1249">
        <f>+K139+K141+K147+K148+K149+K151+K154+K155</f>
        <v>3900.8</v>
      </c>
    </row>
    <row r="137" spans="1:21" ht="14.9" customHeight="1" x14ac:dyDescent="0.25">
      <c r="A137" s="1497"/>
      <c r="B137" s="1508"/>
      <c r="C137" s="1506"/>
      <c r="D137" s="1725"/>
      <c r="E137" s="1089"/>
      <c r="F137" s="196" t="s">
        <v>37</v>
      </c>
      <c r="G137" s="170">
        <v>2</v>
      </c>
      <c r="H137" s="153">
        <v>2</v>
      </c>
      <c r="I137" s="153">
        <v>2</v>
      </c>
      <c r="J137" s="1322"/>
      <c r="K137" s="941">
        <v>2</v>
      </c>
      <c r="L137" s="321">
        <v>2</v>
      </c>
      <c r="M137" s="310"/>
      <c r="N137" s="1094"/>
      <c r="O137" s="318"/>
      <c r="P137" s="324"/>
      <c r="Q137" s="1368"/>
      <c r="R137" s="1248" t="s">
        <v>37</v>
      </c>
      <c r="S137" s="1249">
        <f>+G142</f>
        <v>2</v>
      </c>
      <c r="T137" s="1249">
        <f>+H142</f>
        <v>2</v>
      </c>
      <c r="U137" s="1249">
        <f>+K142</f>
        <v>2</v>
      </c>
    </row>
    <row r="138" spans="1:21" ht="14.9" customHeight="1" x14ac:dyDescent="0.25">
      <c r="A138" s="1497"/>
      <c r="B138" s="1508"/>
      <c r="C138" s="1506"/>
      <c r="D138" s="1726"/>
      <c r="E138" s="1522"/>
      <c r="F138" s="196" t="s">
        <v>48</v>
      </c>
      <c r="G138" s="170">
        <v>340.9</v>
      </c>
      <c r="H138" s="164"/>
      <c r="I138" s="164"/>
      <c r="J138" s="743"/>
      <c r="K138" s="153"/>
      <c r="L138" s="153"/>
      <c r="M138" s="39"/>
      <c r="N138" s="1094"/>
      <c r="O138" s="318"/>
      <c r="P138" s="324"/>
      <c r="Q138" s="1368"/>
      <c r="R138" s="1248" t="s">
        <v>48</v>
      </c>
      <c r="S138" s="1249">
        <f>+G144+G146+G152+G153+G156</f>
        <v>340.9</v>
      </c>
      <c r="T138" s="1249">
        <f>+H144+H146+H152+H153+H156</f>
        <v>0</v>
      </c>
      <c r="U138" s="1249">
        <f>+K144+K146+K152+K153+K156</f>
        <v>0</v>
      </c>
    </row>
    <row r="139" spans="1:21" ht="27" customHeight="1" x14ac:dyDescent="0.25">
      <c r="A139" s="1657"/>
      <c r="B139" s="1704"/>
      <c r="C139" s="1700"/>
      <c r="D139" s="1636" t="s">
        <v>55</v>
      </c>
      <c r="E139" s="1087" t="s">
        <v>262</v>
      </c>
      <c r="F139" s="1110" t="s">
        <v>341</v>
      </c>
      <c r="G139" s="1437">
        <v>3522.2</v>
      </c>
      <c r="H139" s="1119">
        <v>3522.2</v>
      </c>
      <c r="I139" s="1118">
        <v>3522.2</v>
      </c>
      <c r="J139" s="1113"/>
      <c r="K139" s="1135">
        <v>3522.2</v>
      </c>
      <c r="L139" s="1135">
        <v>3522.2</v>
      </c>
      <c r="M139" s="1246"/>
      <c r="N139" s="1504" t="s">
        <v>117</v>
      </c>
      <c r="O139" s="882">
        <v>8.9</v>
      </c>
      <c r="P139" s="883">
        <v>8.9</v>
      </c>
      <c r="Q139" s="1369">
        <v>8.9</v>
      </c>
      <c r="R139" s="1248"/>
      <c r="S139" s="1249">
        <f>+S136+S137+S138</f>
        <v>4590.1000000000004</v>
      </c>
      <c r="T139" s="1249">
        <f t="shared" ref="T139:U139" si="3">+T136+T137+T138</f>
        <v>3902.8</v>
      </c>
      <c r="U139" s="1249">
        <f t="shared" si="3"/>
        <v>3902.8</v>
      </c>
    </row>
    <row r="140" spans="1:21" ht="16.5" customHeight="1" x14ac:dyDescent="0.25">
      <c r="A140" s="1657"/>
      <c r="B140" s="1704"/>
      <c r="C140" s="1700"/>
      <c r="D140" s="1722"/>
      <c r="E140" s="828"/>
      <c r="F140" s="1114"/>
      <c r="G140" s="1447"/>
      <c r="H140" s="1273"/>
      <c r="I140" s="1273"/>
      <c r="J140" s="1139"/>
      <c r="K140" s="1273"/>
      <c r="L140" s="1273"/>
      <c r="M140" s="1134"/>
      <c r="N140" s="396" t="s">
        <v>103</v>
      </c>
      <c r="O140" s="493">
        <v>425</v>
      </c>
      <c r="P140" s="496">
        <v>425</v>
      </c>
      <c r="Q140" s="257">
        <v>425</v>
      </c>
      <c r="R140" s="1248"/>
      <c r="S140" s="1249">
        <f>+S139-G157</f>
        <v>0</v>
      </c>
      <c r="T140" s="1249">
        <f>+T139-H157</f>
        <v>0</v>
      </c>
      <c r="U140" s="1249">
        <f>+U139-K157</f>
        <v>0</v>
      </c>
    </row>
    <row r="141" spans="1:21" ht="14.9" customHeight="1" x14ac:dyDescent="0.25">
      <c r="A141" s="1657"/>
      <c r="B141" s="1704"/>
      <c r="C141" s="1700"/>
      <c r="D141" s="1711" t="s">
        <v>34</v>
      </c>
      <c r="E141" s="1494" t="s">
        <v>262</v>
      </c>
      <c r="F141" s="1110" t="s">
        <v>341</v>
      </c>
      <c r="G141" s="1437">
        <v>175.4</v>
      </c>
      <c r="H141" s="1135">
        <v>175.4</v>
      </c>
      <c r="I141" s="1135">
        <v>175.4</v>
      </c>
      <c r="J141" s="1113"/>
      <c r="K141" s="1135">
        <v>175.4</v>
      </c>
      <c r="L141" s="1135">
        <v>175.4</v>
      </c>
      <c r="M141" s="1113"/>
      <c r="N141" s="1521" t="s">
        <v>36</v>
      </c>
      <c r="O141" s="429">
        <v>60</v>
      </c>
      <c r="P141" s="435">
        <v>60</v>
      </c>
      <c r="Q141" s="682">
        <v>60</v>
      </c>
    </row>
    <row r="142" spans="1:21" ht="26.5" customHeight="1" x14ac:dyDescent="0.25">
      <c r="A142" s="1657"/>
      <c r="B142" s="1704"/>
      <c r="C142" s="1700"/>
      <c r="D142" s="1721"/>
      <c r="E142" s="1522"/>
      <c r="F142" s="1120" t="s">
        <v>342</v>
      </c>
      <c r="G142" s="1439">
        <v>2</v>
      </c>
      <c r="H142" s="1125">
        <v>2</v>
      </c>
      <c r="I142" s="1125">
        <v>2</v>
      </c>
      <c r="J142" s="1123"/>
      <c r="K142" s="1125">
        <v>2</v>
      </c>
      <c r="L142" s="1125">
        <v>2</v>
      </c>
      <c r="M142" s="1152"/>
      <c r="N142" s="1501" t="s">
        <v>56</v>
      </c>
      <c r="O142" s="1512">
        <v>1500</v>
      </c>
      <c r="P142" s="1514">
        <v>1500</v>
      </c>
      <c r="Q142" s="1516">
        <v>1500</v>
      </c>
    </row>
    <row r="143" spans="1:21" ht="15" customHeight="1" x14ac:dyDescent="0.25">
      <c r="A143" s="1497"/>
      <c r="B143" s="1508"/>
      <c r="C143" s="1506"/>
      <c r="D143" s="1518"/>
      <c r="E143" s="1522"/>
      <c r="F143" s="1124"/>
      <c r="G143" s="1439"/>
      <c r="H143" s="1125"/>
      <c r="I143" s="1125"/>
      <c r="J143" s="1123"/>
      <c r="K143" s="1125"/>
      <c r="L143" s="1125"/>
      <c r="M143" s="1134"/>
      <c r="N143" s="1662" t="s">
        <v>184</v>
      </c>
      <c r="O143" s="1715">
        <v>1</v>
      </c>
      <c r="P143" s="1717"/>
      <c r="Q143" s="1719"/>
    </row>
    <row r="144" spans="1:21" ht="15" customHeight="1" x14ac:dyDescent="0.25">
      <c r="A144" s="1497"/>
      <c r="B144" s="1508"/>
      <c r="C144" s="1506"/>
      <c r="D144" s="1518"/>
      <c r="E144" s="1522"/>
      <c r="F144" s="1120" t="s">
        <v>343</v>
      </c>
      <c r="G144" s="1439">
        <v>30</v>
      </c>
      <c r="H144" s="1125"/>
      <c r="I144" s="1125"/>
      <c r="J144" s="1123"/>
      <c r="K144" s="1125"/>
      <c r="L144" s="1125"/>
      <c r="M144" s="1152"/>
      <c r="N144" s="1663"/>
      <c r="O144" s="1716"/>
      <c r="P144" s="1718"/>
      <c r="Q144" s="1720"/>
    </row>
    <row r="145" spans="1:21" ht="15" customHeight="1" x14ac:dyDescent="0.25">
      <c r="A145" s="1497"/>
      <c r="B145" s="1508"/>
      <c r="C145" s="1506"/>
      <c r="D145" s="1518"/>
      <c r="E145" s="1522"/>
      <c r="F145" s="1120"/>
      <c r="G145" s="1439"/>
      <c r="H145" s="1125"/>
      <c r="I145" s="1125"/>
      <c r="J145" s="1123"/>
      <c r="K145" s="1125"/>
      <c r="L145" s="1125"/>
      <c r="M145" s="1152"/>
      <c r="N145" s="1662" t="s">
        <v>191</v>
      </c>
      <c r="O145" s="1715">
        <v>1</v>
      </c>
      <c r="P145" s="1717"/>
      <c r="Q145" s="1719"/>
    </row>
    <row r="146" spans="1:21" ht="15" customHeight="1" x14ac:dyDescent="0.25">
      <c r="A146" s="1497"/>
      <c r="B146" s="1508"/>
      <c r="C146" s="1506"/>
      <c r="D146" s="1518"/>
      <c r="E146" s="1522"/>
      <c r="F146" s="1120" t="s">
        <v>343</v>
      </c>
      <c r="G146" s="1439">
        <v>150</v>
      </c>
      <c r="H146" s="1125"/>
      <c r="I146" s="1125"/>
      <c r="J146" s="1123"/>
      <c r="K146" s="1125"/>
      <c r="L146" s="1125"/>
      <c r="M146" s="1152"/>
      <c r="N146" s="1663"/>
      <c r="O146" s="1716"/>
      <c r="P146" s="1718"/>
      <c r="Q146" s="1720"/>
    </row>
    <row r="147" spans="1:21" ht="40.5" customHeight="1" x14ac:dyDescent="0.25">
      <c r="A147" s="1497"/>
      <c r="B147" s="1508"/>
      <c r="C147" s="1506"/>
      <c r="D147" s="1518"/>
      <c r="E147" s="1522"/>
      <c r="F147" s="1126" t="s">
        <v>341</v>
      </c>
      <c r="G147" s="1439">
        <v>51</v>
      </c>
      <c r="H147" s="1125"/>
      <c r="I147" s="1125"/>
      <c r="J147" s="1123"/>
      <c r="K147" s="1125"/>
      <c r="L147" s="1125"/>
      <c r="M147" s="1152"/>
      <c r="N147" s="381" t="s">
        <v>237</v>
      </c>
      <c r="O147" s="599">
        <v>1</v>
      </c>
      <c r="P147" s="498"/>
      <c r="Q147" s="1361"/>
    </row>
    <row r="148" spans="1:21" ht="42.65" customHeight="1" x14ac:dyDescent="0.25">
      <c r="A148" s="1497"/>
      <c r="B148" s="1508"/>
      <c r="C148" s="1506"/>
      <c r="D148" s="1518"/>
      <c r="E148" s="820"/>
      <c r="F148" s="1127" t="s">
        <v>341</v>
      </c>
      <c r="G148" s="1211">
        <v>119</v>
      </c>
      <c r="H148" s="1212"/>
      <c r="I148" s="1212"/>
      <c r="J148" s="1130"/>
      <c r="K148" s="1212"/>
      <c r="L148" s="1212"/>
      <c r="M148" s="1152"/>
      <c r="N148" s="1496" t="s">
        <v>325</v>
      </c>
      <c r="O148" s="599">
        <v>200</v>
      </c>
      <c r="P148" s="498"/>
      <c r="Q148" s="1361"/>
    </row>
    <row r="149" spans="1:21" ht="24.75" customHeight="1" x14ac:dyDescent="0.25">
      <c r="A149" s="1497"/>
      <c r="B149" s="1508"/>
      <c r="C149" s="1506"/>
      <c r="D149" s="1711" t="s">
        <v>79</v>
      </c>
      <c r="E149" s="1494" t="s">
        <v>262</v>
      </c>
      <c r="F149" s="1131" t="s">
        <v>341</v>
      </c>
      <c r="G149" s="1437">
        <v>80.2</v>
      </c>
      <c r="H149" s="1135">
        <v>80.2</v>
      </c>
      <c r="I149" s="1135">
        <v>80.2</v>
      </c>
      <c r="J149" s="1113"/>
      <c r="K149" s="1135">
        <v>80.2</v>
      </c>
      <c r="L149" s="1135">
        <v>80.2</v>
      </c>
      <c r="M149" s="1119"/>
      <c r="N149" s="400" t="s">
        <v>90</v>
      </c>
      <c r="O149" s="669">
        <v>1000</v>
      </c>
      <c r="P149" s="670">
        <v>1000</v>
      </c>
      <c r="Q149" s="1365">
        <v>1000</v>
      </c>
    </row>
    <row r="150" spans="1:21" ht="29.9" customHeight="1" x14ac:dyDescent="0.25">
      <c r="A150" s="1497"/>
      <c r="B150" s="1508"/>
      <c r="C150" s="1506"/>
      <c r="D150" s="1712"/>
      <c r="E150" s="820"/>
      <c r="F150" s="1133"/>
      <c r="G150" s="1439"/>
      <c r="H150" s="1125"/>
      <c r="I150" s="1125"/>
      <c r="J150" s="1130"/>
      <c r="K150" s="1125"/>
      <c r="L150" s="1125"/>
      <c r="M150" s="1134"/>
      <c r="N150" s="1505" t="s">
        <v>91</v>
      </c>
      <c r="O150" s="543">
        <v>400</v>
      </c>
      <c r="P150" s="546">
        <v>400</v>
      </c>
      <c r="Q150" s="1352">
        <v>400</v>
      </c>
    </row>
    <row r="151" spans="1:21" ht="15.65" customHeight="1" x14ac:dyDescent="0.25">
      <c r="A151" s="1497"/>
      <c r="B151" s="1508"/>
      <c r="C151" s="1506"/>
      <c r="D151" s="1636" t="s">
        <v>47</v>
      </c>
      <c r="E151" s="1494" t="s">
        <v>262</v>
      </c>
      <c r="F151" s="1131" t="s">
        <v>341</v>
      </c>
      <c r="G151" s="1437">
        <v>56</v>
      </c>
      <c r="H151" s="1135">
        <v>81</v>
      </c>
      <c r="I151" s="1135">
        <v>81</v>
      </c>
      <c r="J151" s="1113"/>
      <c r="K151" s="1135">
        <v>81</v>
      </c>
      <c r="L151" s="1135">
        <v>81</v>
      </c>
      <c r="M151" s="1119"/>
      <c r="N151" s="1504" t="s">
        <v>35</v>
      </c>
      <c r="O151" s="428">
        <v>13</v>
      </c>
      <c r="P151" s="434">
        <v>8</v>
      </c>
      <c r="Q151" s="1076">
        <v>8</v>
      </c>
      <c r="R151" s="1474"/>
      <c r="S151" s="684"/>
      <c r="T151" s="684"/>
    </row>
    <row r="152" spans="1:21" ht="15.65" customHeight="1" x14ac:dyDescent="0.25">
      <c r="A152" s="1497"/>
      <c r="B152" s="1508"/>
      <c r="C152" s="63"/>
      <c r="D152" s="1638"/>
      <c r="E152" s="820"/>
      <c r="F152" s="1133" t="s">
        <v>343</v>
      </c>
      <c r="G152" s="1211">
        <v>36.5</v>
      </c>
      <c r="H152" s="1212"/>
      <c r="I152" s="1212"/>
      <c r="J152" s="1130"/>
      <c r="K152" s="1212"/>
      <c r="L152" s="1212"/>
      <c r="M152" s="1247"/>
      <c r="N152" s="367"/>
      <c r="O152" s="431"/>
      <c r="P152" s="437"/>
      <c r="Q152" s="742"/>
    </row>
    <row r="153" spans="1:21" ht="15.65" customHeight="1" x14ac:dyDescent="0.25">
      <c r="A153" s="1497"/>
      <c r="B153" s="1508"/>
      <c r="C153" s="1506"/>
      <c r="D153" s="1713" t="s">
        <v>134</v>
      </c>
      <c r="E153" s="1494" t="s">
        <v>262</v>
      </c>
      <c r="F153" s="1131" t="s">
        <v>343</v>
      </c>
      <c r="G153" s="1437">
        <v>100.4</v>
      </c>
      <c r="H153" s="1135"/>
      <c r="I153" s="1135"/>
      <c r="J153" s="1113"/>
      <c r="K153" s="1135"/>
      <c r="L153" s="1135"/>
      <c r="M153" s="1119"/>
      <c r="N153" s="1714" t="s">
        <v>187</v>
      </c>
      <c r="O153" s="433">
        <v>100</v>
      </c>
      <c r="P153" s="434"/>
      <c r="Q153" s="1076"/>
    </row>
    <row r="154" spans="1:21" ht="15.65" customHeight="1" x14ac:dyDescent="0.25">
      <c r="A154" s="18"/>
      <c r="B154" s="1508"/>
      <c r="C154" s="1506"/>
      <c r="D154" s="1649"/>
      <c r="E154" s="820"/>
      <c r="F154" s="1133" t="s">
        <v>341</v>
      </c>
      <c r="G154" s="1211">
        <v>225.4</v>
      </c>
      <c r="H154" s="1212"/>
      <c r="I154" s="1212"/>
      <c r="J154" s="1130"/>
      <c r="K154" s="1212"/>
      <c r="L154" s="1212"/>
      <c r="M154" s="1137"/>
      <c r="N154" s="1648"/>
      <c r="O154" s="1536"/>
      <c r="P154" s="437"/>
      <c r="Q154" s="742"/>
    </row>
    <row r="155" spans="1:21" ht="15.65" customHeight="1" x14ac:dyDescent="0.25">
      <c r="A155" s="18"/>
      <c r="B155" s="1508"/>
      <c r="C155" s="63"/>
      <c r="D155" s="1636" t="s">
        <v>219</v>
      </c>
      <c r="E155" s="1494" t="s">
        <v>262</v>
      </c>
      <c r="F155" s="1131" t="s">
        <v>341</v>
      </c>
      <c r="G155" s="1437">
        <v>18</v>
      </c>
      <c r="H155" s="1135">
        <v>42</v>
      </c>
      <c r="I155" s="1135">
        <v>42</v>
      </c>
      <c r="J155" s="1113"/>
      <c r="K155" s="1135">
        <f>+H155</f>
        <v>42</v>
      </c>
      <c r="L155" s="1135">
        <f>+I155</f>
        <v>42</v>
      </c>
      <c r="M155" s="1246"/>
      <c r="N155" s="1680" t="s">
        <v>292</v>
      </c>
      <c r="O155" s="428">
        <v>15</v>
      </c>
      <c r="P155" s="435">
        <v>15</v>
      </c>
      <c r="Q155" s="682">
        <v>15</v>
      </c>
    </row>
    <row r="156" spans="1:21" ht="26.15" customHeight="1" x14ac:dyDescent="0.25">
      <c r="A156" s="18"/>
      <c r="B156" s="1508"/>
      <c r="C156" s="63"/>
      <c r="D156" s="1638"/>
      <c r="E156" s="1494"/>
      <c r="F156" s="1133" t="s">
        <v>343</v>
      </c>
      <c r="G156" s="1211">
        <v>24</v>
      </c>
      <c r="H156" s="1212"/>
      <c r="I156" s="1212"/>
      <c r="J156" s="1130"/>
      <c r="K156" s="1212"/>
      <c r="L156" s="1212"/>
      <c r="M156" s="1247"/>
      <c r="N156" s="1701"/>
      <c r="O156" s="429"/>
      <c r="P156" s="435"/>
      <c r="Q156" s="682"/>
    </row>
    <row r="157" spans="1:21" ht="15.65" customHeight="1" thickBot="1" x14ac:dyDescent="0.3">
      <c r="A157" s="19"/>
      <c r="B157" s="91"/>
      <c r="C157" s="221"/>
      <c r="D157" s="239"/>
      <c r="E157" s="228"/>
      <c r="F157" s="168" t="s">
        <v>4</v>
      </c>
      <c r="G157" s="210">
        <f t="shared" ref="G157:M157" si="4">+G136+G137+G138</f>
        <v>4590.1000000000004</v>
      </c>
      <c r="H157" s="131">
        <f t="shared" si="4"/>
        <v>3902.8</v>
      </c>
      <c r="I157" s="341">
        <f t="shared" si="4"/>
        <v>3902.8</v>
      </c>
      <c r="J157" s="1164">
        <f t="shared" si="4"/>
        <v>0</v>
      </c>
      <c r="K157" s="334">
        <f t="shared" si="4"/>
        <v>3902.8</v>
      </c>
      <c r="L157" s="1199">
        <f t="shared" si="4"/>
        <v>3902.8</v>
      </c>
      <c r="M157" s="1199">
        <f t="shared" si="4"/>
        <v>0</v>
      </c>
      <c r="N157" s="401"/>
      <c r="O157" s="480"/>
      <c r="P157" s="345"/>
      <c r="Q157" s="1355"/>
    </row>
    <row r="158" spans="1:21" ht="16.399999999999999" customHeight="1" x14ac:dyDescent="0.25">
      <c r="A158" s="1702" t="s">
        <v>3</v>
      </c>
      <c r="B158" s="1703" t="s">
        <v>3</v>
      </c>
      <c r="C158" s="1705" t="s">
        <v>24</v>
      </c>
      <c r="D158" s="1706" t="s">
        <v>45</v>
      </c>
      <c r="E158" s="1708"/>
      <c r="F158" s="75" t="s">
        <v>22</v>
      </c>
      <c r="G158" s="308">
        <v>3335.9</v>
      </c>
      <c r="H158" s="1272">
        <v>3435.3</v>
      </c>
      <c r="I158" s="1272">
        <v>3435.3</v>
      </c>
      <c r="J158" s="1341"/>
      <c r="K158" s="1272">
        <v>3601.8</v>
      </c>
      <c r="L158" s="1272">
        <v>3601.8</v>
      </c>
      <c r="M158" s="132"/>
      <c r="N158" s="1710"/>
      <c r="O158" s="1694"/>
      <c r="P158" s="1808"/>
      <c r="Q158" s="1810"/>
      <c r="R158" s="1248" t="s">
        <v>22</v>
      </c>
      <c r="S158" s="1249">
        <f>+G160+G162+G163+G166+G167+G174+G175+G181</f>
        <v>3335.9</v>
      </c>
      <c r="T158" s="1249">
        <f>+H160+H162+H163+H166+H167+H174+H175+H181</f>
        <v>3435.3</v>
      </c>
      <c r="U158" s="1249">
        <f>+K160+K162+K163+K166+K167+K174+K175+K181</f>
        <v>3601.8</v>
      </c>
    </row>
    <row r="159" spans="1:21" ht="16.399999999999999" customHeight="1" x14ac:dyDescent="0.25">
      <c r="A159" s="1657"/>
      <c r="B159" s="1704"/>
      <c r="C159" s="1700"/>
      <c r="D159" s="1707"/>
      <c r="E159" s="1709"/>
      <c r="F159" s="869" t="s">
        <v>48</v>
      </c>
      <c r="G159" s="40">
        <v>160.9</v>
      </c>
      <c r="H159" s="164"/>
      <c r="I159" s="164"/>
      <c r="J159" s="741"/>
      <c r="K159" s="164"/>
      <c r="L159" s="164"/>
      <c r="M159" s="38"/>
      <c r="N159" s="1701"/>
      <c r="O159" s="1695"/>
      <c r="P159" s="1809"/>
      <c r="Q159" s="1811"/>
      <c r="R159" s="1223" t="s">
        <v>48</v>
      </c>
      <c r="S159" s="1249">
        <f>+G161+G168</f>
        <v>160.9</v>
      </c>
      <c r="T159" s="1249">
        <f>+H161+H168</f>
        <v>0</v>
      </c>
      <c r="U159" s="1249">
        <f>+K161+K168</f>
        <v>0</v>
      </c>
    </row>
    <row r="160" spans="1:21" ht="15.75" customHeight="1" x14ac:dyDescent="0.25">
      <c r="A160" s="1657"/>
      <c r="B160" s="1658"/>
      <c r="C160" s="1700"/>
      <c r="D160" s="1637" t="s">
        <v>72</v>
      </c>
      <c r="E160" s="254" t="s">
        <v>178</v>
      </c>
      <c r="F160" s="1131" t="s">
        <v>341</v>
      </c>
      <c r="G160" s="1437">
        <v>2875.8</v>
      </c>
      <c r="H160" s="1135">
        <v>3131.1</v>
      </c>
      <c r="I160" s="1135">
        <v>3131.1</v>
      </c>
      <c r="J160" s="1113"/>
      <c r="K160" s="1135">
        <v>3263.4</v>
      </c>
      <c r="L160" s="1135">
        <v>3263.4</v>
      </c>
      <c r="M160" s="1152"/>
      <c r="N160" s="1521" t="s">
        <v>57</v>
      </c>
      <c r="O160" s="499">
        <v>18.899999999999999</v>
      </c>
      <c r="P160" s="504">
        <v>19.600000000000001</v>
      </c>
      <c r="Q160" s="1364">
        <v>20.3</v>
      </c>
      <c r="R160" s="1223"/>
      <c r="S160" s="1249">
        <f>+S158+S159</f>
        <v>3496.8</v>
      </c>
      <c r="T160" s="1249">
        <f t="shared" ref="T160:U160" si="5">+T158+T159</f>
        <v>3435.3</v>
      </c>
      <c r="U160" s="1249">
        <f t="shared" si="5"/>
        <v>3601.8</v>
      </c>
    </row>
    <row r="161" spans="1:21" ht="15.75" customHeight="1" x14ac:dyDescent="0.25">
      <c r="A161" s="1657"/>
      <c r="B161" s="1658"/>
      <c r="C161" s="1700"/>
      <c r="D161" s="1638"/>
      <c r="E161" s="1510" t="s">
        <v>262</v>
      </c>
      <c r="F161" s="1133" t="s">
        <v>343</v>
      </c>
      <c r="G161" s="1211">
        <v>129.30000000000001</v>
      </c>
      <c r="H161" s="1137"/>
      <c r="I161" s="1129"/>
      <c r="J161" s="1130"/>
      <c r="K161" s="1212"/>
      <c r="L161" s="1212"/>
      <c r="M161" s="1137"/>
      <c r="N161" s="396" t="s">
        <v>291</v>
      </c>
      <c r="O161" s="500">
        <v>9.1</v>
      </c>
      <c r="P161" s="505">
        <v>9.3000000000000007</v>
      </c>
      <c r="Q161" s="1081">
        <v>9.5</v>
      </c>
      <c r="R161" s="1223"/>
      <c r="S161" s="1249">
        <f>+S160-G187</f>
        <v>0</v>
      </c>
      <c r="T161" s="1249">
        <f>+T160-H187</f>
        <v>0</v>
      </c>
      <c r="U161" s="1249">
        <f>+U160-K187</f>
        <v>0</v>
      </c>
    </row>
    <row r="162" spans="1:21" ht="16.5" customHeight="1" x14ac:dyDescent="0.25">
      <c r="A162" s="1497"/>
      <c r="B162" s="1508"/>
      <c r="C162" s="1506"/>
      <c r="D162" s="1636" t="s">
        <v>104</v>
      </c>
      <c r="E162" s="254" t="s">
        <v>178</v>
      </c>
      <c r="F162" s="1120" t="s">
        <v>341</v>
      </c>
      <c r="G162" s="1437">
        <v>59.6</v>
      </c>
      <c r="H162" s="1135">
        <v>62.5</v>
      </c>
      <c r="I162" s="1135">
        <v>62.5</v>
      </c>
      <c r="J162" s="1113"/>
      <c r="K162" s="1135">
        <v>65.7</v>
      </c>
      <c r="L162" s="1135">
        <v>65.7</v>
      </c>
      <c r="M162" s="1246"/>
      <c r="N162" s="1495" t="s">
        <v>291</v>
      </c>
      <c r="O162" s="1434">
        <v>0.3</v>
      </c>
      <c r="P162" s="753">
        <v>0.3</v>
      </c>
      <c r="Q162" s="731">
        <v>0.3</v>
      </c>
      <c r="R162" s="1077"/>
    </row>
    <row r="163" spans="1:21" ht="26.25" customHeight="1" x14ac:dyDescent="0.25">
      <c r="A163" s="1497"/>
      <c r="B163" s="1508"/>
      <c r="C163" s="1506"/>
      <c r="D163" s="1637"/>
      <c r="E163" s="1494" t="s">
        <v>262</v>
      </c>
      <c r="F163" s="1120" t="s">
        <v>341</v>
      </c>
      <c r="G163" s="1439">
        <v>150.69999999999999</v>
      </c>
      <c r="H163" s="1125">
        <v>150.69999999999999</v>
      </c>
      <c r="I163" s="1125">
        <v>150.69999999999999</v>
      </c>
      <c r="J163" s="1123"/>
      <c r="K163" s="1125">
        <v>150.69999999999999</v>
      </c>
      <c r="L163" s="1125">
        <v>150.69999999999999</v>
      </c>
      <c r="M163" s="1152"/>
      <c r="N163" s="384" t="s">
        <v>141</v>
      </c>
      <c r="O163" s="495">
        <v>1461</v>
      </c>
      <c r="P163" s="507">
        <v>1461</v>
      </c>
      <c r="Q163" s="1361">
        <v>1461</v>
      </c>
      <c r="R163" s="1077"/>
    </row>
    <row r="164" spans="1:21" ht="41.5" customHeight="1" x14ac:dyDescent="0.25">
      <c r="A164" s="1497"/>
      <c r="B164" s="1498"/>
      <c r="C164" s="1506"/>
      <c r="D164" s="1637"/>
      <c r="E164" s="47"/>
      <c r="F164" s="1120"/>
      <c r="G164" s="1211"/>
      <c r="H164" s="1125"/>
      <c r="I164" s="1125"/>
      <c r="J164" s="1130"/>
      <c r="K164" s="1125"/>
      <c r="L164" s="1125"/>
      <c r="M164" s="1134"/>
      <c r="N164" s="1537" t="s">
        <v>142</v>
      </c>
      <c r="O164" s="500">
        <v>24</v>
      </c>
      <c r="P164" s="674">
        <v>24</v>
      </c>
      <c r="Q164" s="1081">
        <v>24</v>
      </c>
      <c r="R164" s="1077"/>
    </row>
    <row r="165" spans="1:21" ht="28.4" customHeight="1" x14ac:dyDescent="0.25">
      <c r="A165" s="18"/>
      <c r="B165" s="1508"/>
      <c r="C165" s="63"/>
      <c r="D165" s="1487" t="s">
        <v>258</v>
      </c>
      <c r="E165" s="1493" t="s">
        <v>262</v>
      </c>
      <c r="F165" s="1131"/>
      <c r="G165" s="1437"/>
      <c r="H165" s="1135"/>
      <c r="I165" s="1135"/>
      <c r="J165" s="1113"/>
      <c r="K165" s="1135"/>
      <c r="L165" s="1135"/>
      <c r="M165" s="1246"/>
      <c r="N165" s="1504"/>
      <c r="O165" s="429"/>
      <c r="P165" s="1309"/>
      <c r="Q165" s="141"/>
      <c r="R165" s="1077"/>
    </row>
    <row r="166" spans="1:21" ht="15" customHeight="1" x14ac:dyDescent="0.25">
      <c r="A166" s="18"/>
      <c r="B166" s="1508"/>
      <c r="C166" s="63"/>
      <c r="D166" s="603" t="s">
        <v>270</v>
      </c>
      <c r="E166" s="1082" t="s">
        <v>178</v>
      </c>
      <c r="F166" s="1120" t="s">
        <v>341</v>
      </c>
      <c r="G166" s="1439">
        <v>176.5</v>
      </c>
      <c r="H166" s="1125"/>
      <c r="I166" s="1125"/>
      <c r="J166" s="1123"/>
      <c r="K166" s="1125"/>
      <c r="L166" s="1125"/>
      <c r="M166" s="1152"/>
      <c r="N166" s="384" t="s">
        <v>124</v>
      </c>
      <c r="O166" s="475">
        <v>100</v>
      </c>
      <c r="P166" s="702"/>
      <c r="Q166" s="1083"/>
      <c r="R166" s="1077"/>
    </row>
    <row r="167" spans="1:21" ht="27" customHeight="1" x14ac:dyDescent="0.3">
      <c r="A167" s="18"/>
      <c r="B167" s="1508"/>
      <c r="C167" s="63"/>
      <c r="D167" s="603" t="s">
        <v>248</v>
      </c>
      <c r="E167" s="592"/>
      <c r="F167" s="1120" t="s">
        <v>341</v>
      </c>
      <c r="G167" s="1439">
        <v>10.3</v>
      </c>
      <c r="H167" s="1125"/>
      <c r="I167" s="1125"/>
      <c r="J167" s="1123"/>
      <c r="K167" s="1125"/>
      <c r="L167" s="1125"/>
      <c r="M167" s="1152"/>
      <c r="N167" s="607" t="s">
        <v>128</v>
      </c>
      <c r="O167" s="433">
        <v>9</v>
      </c>
      <c r="P167" s="166"/>
      <c r="Q167" s="260"/>
      <c r="R167" s="1077"/>
    </row>
    <row r="168" spans="1:21" ht="15.65" customHeight="1" x14ac:dyDescent="0.25">
      <c r="A168" s="18"/>
      <c r="B168" s="1508"/>
      <c r="C168" s="63"/>
      <c r="D168" s="603" t="s">
        <v>239</v>
      </c>
      <c r="E168" s="592"/>
      <c r="F168" s="1120" t="s">
        <v>343</v>
      </c>
      <c r="G168" s="1439">
        <v>31.6</v>
      </c>
      <c r="H168" s="1125"/>
      <c r="I168" s="1125"/>
      <c r="J168" s="1123"/>
      <c r="K168" s="1125"/>
      <c r="L168" s="1125"/>
      <c r="M168" s="1152"/>
      <c r="N168" s="1505"/>
      <c r="O168" s="317"/>
      <c r="P168" s="166"/>
      <c r="Q168" s="604"/>
      <c r="R168" s="1077"/>
    </row>
    <row r="169" spans="1:21" ht="15" customHeight="1" x14ac:dyDescent="0.25">
      <c r="A169" s="18"/>
      <c r="B169" s="1508"/>
      <c r="C169" s="63"/>
      <c r="D169" s="603" t="s">
        <v>271</v>
      </c>
      <c r="E169" s="592"/>
      <c r="F169" s="1120"/>
      <c r="G169" s="1439"/>
      <c r="H169" s="1125"/>
      <c r="I169" s="1125"/>
      <c r="J169" s="1123"/>
      <c r="K169" s="1125"/>
      <c r="L169" s="1125"/>
      <c r="M169" s="1152"/>
      <c r="N169" s="1505"/>
      <c r="O169" s="317"/>
      <c r="P169" s="166"/>
      <c r="Q169" s="604"/>
      <c r="R169" s="1077"/>
    </row>
    <row r="170" spans="1:21" ht="15" customHeight="1" x14ac:dyDescent="0.25">
      <c r="A170" s="18"/>
      <c r="B170" s="1508"/>
      <c r="C170" s="63"/>
      <c r="D170" s="603" t="s">
        <v>240</v>
      </c>
      <c r="E170" s="592"/>
      <c r="F170" s="1120"/>
      <c r="G170" s="1439"/>
      <c r="H170" s="1125"/>
      <c r="I170" s="1125"/>
      <c r="J170" s="1123"/>
      <c r="K170" s="1125"/>
      <c r="L170" s="1125"/>
      <c r="M170" s="1152"/>
      <c r="N170" s="1505"/>
      <c r="O170" s="317"/>
      <c r="P170" s="166"/>
      <c r="Q170" s="604"/>
      <c r="R170" s="1077"/>
    </row>
    <row r="171" spans="1:21" ht="15" customHeight="1" x14ac:dyDescent="0.25">
      <c r="A171" s="18"/>
      <c r="B171" s="1508"/>
      <c r="C171" s="63"/>
      <c r="D171" s="603" t="s">
        <v>241</v>
      </c>
      <c r="E171" s="592"/>
      <c r="F171" s="1120"/>
      <c r="G171" s="1439"/>
      <c r="H171" s="1125"/>
      <c r="I171" s="1125"/>
      <c r="J171" s="1123"/>
      <c r="K171" s="1125"/>
      <c r="L171" s="1125"/>
      <c r="M171" s="1152"/>
      <c r="N171" s="1505"/>
      <c r="O171" s="317"/>
      <c r="P171" s="166"/>
      <c r="Q171" s="604"/>
      <c r="R171" s="1077"/>
    </row>
    <row r="172" spans="1:21" ht="15" customHeight="1" x14ac:dyDescent="0.25">
      <c r="A172" s="18"/>
      <c r="B172" s="1508"/>
      <c r="C172" s="63"/>
      <c r="D172" s="995" t="s">
        <v>242</v>
      </c>
      <c r="E172" s="592"/>
      <c r="F172" s="1120"/>
      <c r="G172" s="1439"/>
      <c r="H172" s="1125"/>
      <c r="I172" s="1125"/>
      <c r="J172" s="1123"/>
      <c r="K172" s="1125"/>
      <c r="L172" s="1125"/>
      <c r="M172" s="1152"/>
      <c r="N172" s="1505"/>
      <c r="O172" s="317"/>
      <c r="P172" s="166"/>
      <c r="Q172" s="604"/>
      <c r="R172" s="1077"/>
    </row>
    <row r="173" spans="1:21" ht="27.65" customHeight="1" x14ac:dyDescent="0.25">
      <c r="A173" s="18"/>
      <c r="B173" s="1508"/>
      <c r="C173" s="1506"/>
      <c r="D173" s="992" t="s">
        <v>329</v>
      </c>
      <c r="E173" s="592"/>
      <c r="F173" s="1140"/>
      <c r="G173" s="1220"/>
      <c r="H173" s="1212"/>
      <c r="I173" s="1212"/>
      <c r="J173" s="1123"/>
      <c r="K173" s="1125"/>
      <c r="L173" s="1125"/>
      <c r="M173" s="1152"/>
      <c r="N173" s="367"/>
      <c r="O173" s="446"/>
      <c r="P173" s="1316"/>
      <c r="Q173" s="605"/>
      <c r="R173" s="1077"/>
    </row>
    <row r="174" spans="1:21" ht="31.4" customHeight="1" x14ac:dyDescent="0.25">
      <c r="A174" s="18"/>
      <c r="B174" s="1508"/>
      <c r="C174" s="63"/>
      <c r="D174" s="60" t="s">
        <v>330</v>
      </c>
      <c r="E174" s="1254" t="s">
        <v>355</v>
      </c>
      <c r="F174" s="1142" t="s">
        <v>341</v>
      </c>
      <c r="G174" s="1448">
        <v>63</v>
      </c>
      <c r="H174" s="1274"/>
      <c r="I174" s="1274"/>
      <c r="J174" s="1145"/>
      <c r="K174" s="1274"/>
      <c r="L174" s="1274"/>
      <c r="M174" s="1246"/>
      <c r="N174" s="400" t="s">
        <v>124</v>
      </c>
      <c r="O174" s="432">
        <v>100</v>
      </c>
      <c r="P174" s="1363"/>
      <c r="Q174" s="994"/>
      <c r="R174" s="1077"/>
    </row>
    <row r="175" spans="1:21" ht="26.9" customHeight="1" x14ac:dyDescent="0.25">
      <c r="A175" s="18"/>
      <c r="B175" s="1508"/>
      <c r="C175" s="63"/>
      <c r="D175" s="601" t="s">
        <v>273</v>
      </c>
      <c r="E175" s="859"/>
      <c r="F175" s="1120" t="s">
        <v>341</v>
      </c>
      <c r="G175" s="1437"/>
      <c r="H175" s="1125">
        <v>91</v>
      </c>
      <c r="I175" s="1125">
        <v>91</v>
      </c>
      <c r="J175" s="1123"/>
      <c r="K175" s="1135"/>
      <c r="L175" s="1135"/>
      <c r="M175" s="1246"/>
      <c r="N175" s="1504" t="s">
        <v>124</v>
      </c>
      <c r="O175" s="428"/>
      <c r="P175" s="1309">
        <v>100</v>
      </c>
      <c r="Q175" s="259"/>
      <c r="R175" s="1077"/>
    </row>
    <row r="176" spans="1:21" ht="15.65" customHeight="1" x14ac:dyDescent="0.25">
      <c r="A176" s="18"/>
      <c r="B176" s="1508"/>
      <c r="C176" s="63"/>
      <c r="D176" s="603" t="s">
        <v>249</v>
      </c>
      <c r="E176" s="592"/>
      <c r="F176" s="1120"/>
      <c r="G176" s="1439"/>
      <c r="H176" s="1125"/>
      <c r="I176" s="1125"/>
      <c r="J176" s="1123"/>
      <c r="K176" s="1125"/>
      <c r="L176" s="1125"/>
      <c r="M176" s="1152"/>
      <c r="N176" s="1505"/>
      <c r="O176" s="317"/>
      <c r="P176" s="323"/>
      <c r="Q176" s="604"/>
      <c r="R176" s="1077"/>
    </row>
    <row r="177" spans="1:21" ht="27" customHeight="1" x14ac:dyDescent="0.25">
      <c r="A177" s="18"/>
      <c r="B177" s="1508"/>
      <c r="C177" s="63"/>
      <c r="D177" s="603" t="s">
        <v>331</v>
      </c>
      <c r="E177" s="592"/>
      <c r="F177" s="1120"/>
      <c r="G177" s="1439"/>
      <c r="H177" s="1125"/>
      <c r="I177" s="1125"/>
      <c r="J177" s="1123"/>
      <c r="K177" s="1125"/>
      <c r="L177" s="1125"/>
      <c r="M177" s="1152"/>
      <c r="N177" s="1505"/>
      <c r="O177" s="317"/>
      <c r="P177" s="323"/>
      <c r="Q177" s="604"/>
      <c r="R177" s="1077"/>
    </row>
    <row r="178" spans="1:21" ht="14.15" customHeight="1" x14ac:dyDescent="0.25">
      <c r="A178" s="18"/>
      <c r="B178" s="1508"/>
      <c r="C178" s="63"/>
      <c r="D178" s="603" t="s">
        <v>238</v>
      </c>
      <c r="E178" s="592"/>
      <c r="F178" s="1120"/>
      <c r="G178" s="1439"/>
      <c r="H178" s="1125"/>
      <c r="I178" s="1125"/>
      <c r="J178" s="1123"/>
      <c r="K178" s="1125"/>
      <c r="L178" s="1125"/>
      <c r="M178" s="1152"/>
      <c r="N178" s="1505"/>
      <c r="O178" s="317"/>
      <c r="P178" s="323"/>
      <c r="Q178" s="604"/>
      <c r="R178" s="1077"/>
    </row>
    <row r="179" spans="1:21" ht="26.9" customHeight="1" x14ac:dyDescent="0.25">
      <c r="A179" s="18"/>
      <c r="B179" s="1508"/>
      <c r="C179" s="63"/>
      <c r="D179" s="603" t="s">
        <v>332</v>
      </c>
      <c r="E179" s="592"/>
      <c r="F179" s="1120"/>
      <c r="G179" s="1439"/>
      <c r="H179" s="1125"/>
      <c r="I179" s="1125"/>
      <c r="J179" s="1123"/>
      <c r="K179" s="1125"/>
      <c r="L179" s="1125"/>
      <c r="M179" s="1152"/>
      <c r="N179" s="1505"/>
      <c r="O179" s="317"/>
      <c r="P179" s="323"/>
      <c r="Q179" s="604"/>
      <c r="R179" s="1077"/>
    </row>
    <row r="180" spans="1:21" ht="15.65" customHeight="1" x14ac:dyDescent="0.25">
      <c r="A180" s="18"/>
      <c r="B180" s="1508"/>
      <c r="C180" s="63"/>
      <c r="D180" s="603" t="s">
        <v>247</v>
      </c>
      <c r="E180" s="592"/>
      <c r="F180" s="1120"/>
      <c r="G180" s="1439"/>
      <c r="H180" s="1212"/>
      <c r="I180" s="1212"/>
      <c r="J180" s="1123"/>
      <c r="K180" s="1125"/>
      <c r="L180" s="1125"/>
      <c r="M180" s="1152"/>
      <c r="N180" s="1505"/>
      <c r="O180" s="317"/>
      <c r="P180" s="323"/>
      <c r="Q180" s="605"/>
      <c r="R180" s="1077"/>
    </row>
    <row r="181" spans="1:21" ht="27.65" customHeight="1" x14ac:dyDescent="0.25">
      <c r="A181" s="18"/>
      <c r="B181" s="1508"/>
      <c r="C181" s="63"/>
      <c r="D181" s="601" t="s">
        <v>244</v>
      </c>
      <c r="E181" s="1522"/>
      <c r="F181" s="1131" t="s">
        <v>341</v>
      </c>
      <c r="G181" s="1437"/>
      <c r="H181" s="1125"/>
      <c r="I181" s="1125"/>
      <c r="J181" s="1113"/>
      <c r="K181" s="1135">
        <v>122</v>
      </c>
      <c r="L181" s="1135">
        <v>122</v>
      </c>
      <c r="M181" s="1246"/>
      <c r="N181" s="1504"/>
      <c r="O181" s="513"/>
      <c r="P181" s="520"/>
      <c r="Q181" s="259">
        <v>100</v>
      </c>
      <c r="R181" s="1077"/>
    </row>
    <row r="182" spans="1:21" ht="31.4" customHeight="1" x14ac:dyDescent="0.25">
      <c r="A182" s="18"/>
      <c r="B182" s="1508"/>
      <c r="C182" s="63"/>
      <c r="D182" s="1490" t="s">
        <v>245</v>
      </c>
      <c r="E182" s="592"/>
      <c r="F182" s="1120"/>
      <c r="G182" s="1439"/>
      <c r="H182" s="1125"/>
      <c r="I182" s="1125"/>
      <c r="J182" s="1123"/>
      <c r="K182" s="1125"/>
      <c r="L182" s="1125"/>
      <c r="M182" s="1152"/>
      <c r="N182" s="1505"/>
      <c r="O182" s="317"/>
      <c r="P182" s="323"/>
      <c r="Q182" s="604"/>
      <c r="R182" s="1077"/>
    </row>
    <row r="183" spans="1:21" ht="28.5" customHeight="1" x14ac:dyDescent="0.25">
      <c r="A183" s="18"/>
      <c r="B183" s="1508"/>
      <c r="C183" s="63"/>
      <c r="D183" s="603" t="s">
        <v>246</v>
      </c>
      <c r="E183" s="592"/>
      <c r="F183" s="1120"/>
      <c r="G183" s="1439"/>
      <c r="H183" s="1125"/>
      <c r="I183" s="1125"/>
      <c r="J183" s="1123"/>
      <c r="K183" s="1125"/>
      <c r="L183" s="1125"/>
      <c r="M183" s="1152"/>
      <c r="N183" s="1505"/>
      <c r="O183" s="317"/>
      <c r="P183" s="323"/>
      <c r="Q183" s="604"/>
      <c r="R183" s="1077"/>
    </row>
    <row r="184" spans="1:21" ht="27.65" customHeight="1" x14ac:dyDescent="0.25">
      <c r="A184" s="18"/>
      <c r="B184" s="1508"/>
      <c r="C184" s="63"/>
      <c r="D184" s="603" t="s">
        <v>333</v>
      </c>
      <c r="E184" s="592"/>
      <c r="F184" s="1120"/>
      <c r="G184" s="1439"/>
      <c r="H184" s="1125"/>
      <c r="I184" s="1125"/>
      <c r="J184" s="1123"/>
      <c r="K184" s="1125"/>
      <c r="L184" s="1125"/>
      <c r="M184" s="1152"/>
      <c r="N184" s="1505"/>
      <c r="O184" s="317"/>
      <c r="P184" s="323"/>
      <c r="Q184" s="604"/>
      <c r="R184" s="1077"/>
    </row>
    <row r="185" spans="1:21" ht="27" customHeight="1" x14ac:dyDescent="0.25">
      <c r="A185" s="18"/>
      <c r="B185" s="1508"/>
      <c r="C185" s="63"/>
      <c r="D185" s="603" t="s">
        <v>334</v>
      </c>
      <c r="E185" s="592"/>
      <c r="F185" s="1120"/>
      <c r="G185" s="1439"/>
      <c r="H185" s="1125"/>
      <c r="I185" s="1125"/>
      <c r="J185" s="1123"/>
      <c r="K185" s="1125"/>
      <c r="L185" s="1125"/>
      <c r="M185" s="1152"/>
      <c r="N185" s="1505"/>
      <c r="O185" s="317"/>
      <c r="P185" s="323"/>
      <c r="Q185" s="604"/>
      <c r="R185" s="1077"/>
    </row>
    <row r="186" spans="1:21" ht="15" customHeight="1" x14ac:dyDescent="0.25">
      <c r="A186" s="18"/>
      <c r="B186" s="1508"/>
      <c r="C186" s="63"/>
      <c r="D186" s="1491" t="s">
        <v>272</v>
      </c>
      <c r="E186" s="820"/>
      <c r="F186" s="1146"/>
      <c r="G186" s="1211"/>
      <c r="H186" s="1212"/>
      <c r="I186" s="1212"/>
      <c r="J186" s="1123"/>
      <c r="K186" s="1212"/>
      <c r="L186" s="1212"/>
      <c r="M186" s="1247"/>
      <c r="N186" s="367"/>
      <c r="O186" s="446"/>
      <c r="P186" s="454"/>
      <c r="Q186" s="605"/>
      <c r="R186" s="1077"/>
    </row>
    <row r="187" spans="1:21" ht="15" customHeight="1" thickBot="1" x14ac:dyDescent="0.3">
      <c r="A187" s="19"/>
      <c r="B187" s="91"/>
      <c r="C187" s="62"/>
      <c r="D187" s="224"/>
      <c r="E187" s="228"/>
      <c r="F187" s="139" t="s">
        <v>4</v>
      </c>
      <c r="G187" s="210">
        <f>+G158+G159</f>
        <v>3496.8</v>
      </c>
      <c r="H187" s="1136">
        <f t="shared" ref="H187:K187" si="6">+H158+H159</f>
        <v>3435.3</v>
      </c>
      <c r="I187" s="1136">
        <f t="shared" ref="I187:J187" si="7">+I158+I159</f>
        <v>3435.3</v>
      </c>
      <c r="J187" s="349">
        <f t="shared" si="7"/>
        <v>0</v>
      </c>
      <c r="K187" s="334">
        <f t="shared" si="6"/>
        <v>3601.8</v>
      </c>
      <c r="L187" s="1136">
        <f t="shared" ref="L187:M187" si="8">+L158+L159</f>
        <v>3601.8</v>
      </c>
      <c r="M187" s="1136">
        <f t="shared" si="8"/>
        <v>0</v>
      </c>
      <c r="N187" s="401"/>
      <c r="O187" s="480"/>
      <c r="P187" s="345"/>
      <c r="Q187" s="1355"/>
      <c r="R187" s="1077"/>
    </row>
    <row r="188" spans="1:21" ht="15" customHeight="1" thickBot="1" x14ac:dyDescent="0.3">
      <c r="A188" s="20" t="s">
        <v>3</v>
      </c>
      <c r="B188" s="30" t="s">
        <v>3</v>
      </c>
      <c r="C188" s="1672" t="s">
        <v>6</v>
      </c>
      <c r="D188" s="1673"/>
      <c r="E188" s="1673"/>
      <c r="F188" s="1673"/>
      <c r="G188" s="261">
        <f t="shared" ref="G188:M188" si="9">G187+G157+G135</f>
        <v>13787.1</v>
      </c>
      <c r="H188" s="339">
        <f t="shared" si="9"/>
        <v>16850.400000000001</v>
      </c>
      <c r="I188" s="1468">
        <f t="shared" si="9"/>
        <v>16450.400000000001</v>
      </c>
      <c r="J188" s="1469">
        <f t="shared" si="9"/>
        <v>-400</v>
      </c>
      <c r="K188" s="300">
        <f t="shared" si="9"/>
        <v>19923</v>
      </c>
      <c r="L188" s="1470">
        <f t="shared" si="9"/>
        <v>19523</v>
      </c>
      <c r="M188" s="1469">
        <f t="shared" si="9"/>
        <v>-400</v>
      </c>
      <c r="N188" s="1675"/>
      <c r="O188" s="1676"/>
      <c r="P188" s="1676"/>
      <c r="Q188" s="1677"/>
      <c r="R188" s="1077"/>
    </row>
    <row r="189" spans="1:21" ht="15" customHeight="1" thickBot="1" x14ac:dyDescent="0.3">
      <c r="A189" s="20" t="s">
        <v>3</v>
      </c>
      <c r="B189" s="30" t="s">
        <v>5</v>
      </c>
      <c r="C189" s="1691" t="s">
        <v>39</v>
      </c>
      <c r="D189" s="1692"/>
      <c r="E189" s="1692"/>
      <c r="F189" s="1692"/>
      <c r="G189" s="1692"/>
      <c r="H189" s="1692"/>
      <c r="I189" s="1692"/>
      <c r="J189" s="1692"/>
      <c r="K189" s="1692"/>
      <c r="L189" s="1692"/>
      <c r="M189" s="1692"/>
      <c r="N189" s="1692"/>
      <c r="O189" s="1692"/>
      <c r="P189" s="1692"/>
      <c r="Q189" s="1693"/>
      <c r="R189" s="1077"/>
    </row>
    <row r="190" spans="1:21" ht="16.5" customHeight="1" x14ac:dyDescent="0.25">
      <c r="A190" s="32" t="s">
        <v>3</v>
      </c>
      <c r="B190" s="41" t="s">
        <v>5</v>
      </c>
      <c r="C190" s="66" t="s">
        <v>3</v>
      </c>
      <c r="D190" s="1591" t="s">
        <v>60</v>
      </c>
      <c r="E190" s="1088"/>
      <c r="F190" s="29" t="s">
        <v>22</v>
      </c>
      <c r="G190" s="1449">
        <v>389.9</v>
      </c>
      <c r="H190" s="1275">
        <v>445.7</v>
      </c>
      <c r="I190" s="1275">
        <v>445.7</v>
      </c>
      <c r="J190" s="1343"/>
      <c r="K190" s="1275">
        <v>434.5</v>
      </c>
      <c r="L190" s="1275">
        <v>434.5</v>
      </c>
      <c r="M190" s="1149"/>
      <c r="N190" s="1097"/>
      <c r="O190" s="1098"/>
      <c r="P190" s="1099"/>
      <c r="Q190" s="1362"/>
      <c r="R190" s="1223" t="s">
        <v>22</v>
      </c>
      <c r="S190" s="1249">
        <f>+G192+G193+G194+G195+G198+G200+G204+G207</f>
        <v>389.9</v>
      </c>
      <c r="T190" s="1249">
        <f>+H192+H193+H194+H195+H198+H200+H204+H207</f>
        <v>445.7</v>
      </c>
      <c r="U190" s="1249">
        <f>+K192+K193+K194+K195+K198+K200+K204+K207</f>
        <v>434.5</v>
      </c>
    </row>
    <row r="191" spans="1:21" ht="18.649999999999999" customHeight="1" x14ac:dyDescent="0.25">
      <c r="A191" s="33"/>
      <c r="B191" s="52"/>
      <c r="C191" s="63"/>
      <c r="D191" s="1593"/>
      <c r="E191" s="1096"/>
      <c r="F191" s="17" t="s">
        <v>48</v>
      </c>
      <c r="G191" s="1450">
        <v>397.2</v>
      </c>
      <c r="H191" s="1276"/>
      <c r="I191" s="1276"/>
      <c r="J191" s="1344"/>
      <c r="K191" s="1276"/>
      <c r="L191" s="1276"/>
      <c r="M191" s="1150"/>
      <c r="N191" s="1101"/>
      <c r="O191" s="1102"/>
      <c r="P191" s="1103"/>
      <c r="Q191" s="1104"/>
      <c r="R191" s="1223" t="s">
        <v>48</v>
      </c>
      <c r="S191" s="1249">
        <f>+G196+G197+G199+G201+G202+G205+G206</f>
        <v>397.2</v>
      </c>
      <c r="T191" s="1249">
        <f>+H196+H197+H199+H201+H202+H205+H206</f>
        <v>0</v>
      </c>
      <c r="U191" s="1249">
        <f>+K196+K197+K199+K201+K202+K205+K206</f>
        <v>0</v>
      </c>
    </row>
    <row r="192" spans="1:21" ht="26.25" customHeight="1" x14ac:dyDescent="0.25">
      <c r="A192" s="33"/>
      <c r="B192" s="52"/>
      <c r="C192" s="63"/>
      <c r="D192" s="1586" t="s">
        <v>43</v>
      </c>
      <c r="E192" s="1095" t="s">
        <v>262</v>
      </c>
      <c r="F192" s="1151" t="s">
        <v>341</v>
      </c>
      <c r="G192" s="1437">
        <v>10.199999999999999</v>
      </c>
      <c r="H192" s="1135">
        <v>45.5</v>
      </c>
      <c r="I192" s="1135">
        <v>45.5</v>
      </c>
      <c r="J192" s="1113"/>
      <c r="K192" s="1135">
        <v>45.5</v>
      </c>
      <c r="L192" s="1135">
        <v>45.5</v>
      </c>
      <c r="M192" s="1246"/>
      <c r="N192" s="1504" t="s">
        <v>82</v>
      </c>
      <c r="O192" s="502">
        <v>310</v>
      </c>
      <c r="P192" s="517">
        <v>310</v>
      </c>
      <c r="Q192" s="236">
        <v>310</v>
      </c>
      <c r="R192" s="1478"/>
      <c r="S192" s="1251">
        <f>+S190+S191</f>
        <v>787.1</v>
      </c>
      <c r="T192" s="1251">
        <f t="shared" ref="T192:U192" si="10">+T190+T191</f>
        <v>445.7</v>
      </c>
      <c r="U192" s="1251">
        <f t="shared" si="10"/>
        <v>434.5</v>
      </c>
    </row>
    <row r="193" spans="1:21" ht="26.25" customHeight="1" x14ac:dyDescent="0.25">
      <c r="A193" s="33"/>
      <c r="B193" s="52"/>
      <c r="C193" s="63"/>
      <c r="D193" s="1586"/>
      <c r="E193" s="1522"/>
      <c r="F193" s="1126" t="s">
        <v>341</v>
      </c>
      <c r="G193" s="1439">
        <v>7.4</v>
      </c>
      <c r="H193" s="1125">
        <v>29.3</v>
      </c>
      <c r="I193" s="1125">
        <v>29.3</v>
      </c>
      <c r="J193" s="1123"/>
      <c r="K193" s="1125">
        <v>29.3</v>
      </c>
      <c r="L193" s="1125">
        <v>29.3</v>
      </c>
      <c r="M193" s="1152"/>
      <c r="N193" s="1537" t="s">
        <v>83</v>
      </c>
      <c r="O193" s="512">
        <v>290</v>
      </c>
      <c r="P193" s="518">
        <v>290</v>
      </c>
      <c r="Q193" s="1083">
        <v>290</v>
      </c>
      <c r="R193" s="1223"/>
      <c r="S193" s="1249">
        <f>+S192-G211</f>
        <v>0</v>
      </c>
      <c r="T193" s="1249">
        <f>+T192-H211</f>
        <v>0</v>
      </c>
      <c r="U193" s="1249">
        <f>+U192-K211</f>
        <v>0</v>
      </c>
    </row>
    <row r="194" spans="1:21" ht="31.4" customHeight="1" x14ac:dyDescent="0.25">
      <c r="A194" s="33"/>
      <c r="B194" s="52"/>
      <c r="C194" s="1506"/>
      <c r="D194" s="1656"/>
      <c r="E194" s="820"/>
      <c r="F194" s="1127" t="s">
        <v>341</v>
      </c>
      <c r="G194" s="1211">
        <v>13.2</v>
      </c>
      <c r="H194" s="1212">
        <v>26.1</v>
      </c>
      <c r="I194" s="1212">
        <v>26.1</v>
      </c>
      <c r="J194" s="1130"/>
      <c r="K194" s="1212">
        <v>26.1</v>
      </c>
      <c r="L194" s="1212">
        <v>26.1</v>
      </c>
      <c r="M194" s="1247"/>
      <c r="N194" s="396" t="s">
        <v>62</v>
      </c>
      <c r="O194" s="503">
        <v>27</v>
      </c>
      <c r="P194" s="519">
        <v>27</v>
      </c>
      <c r="Q194" s="258">
        <v>27</v>
      </c>
      <c r="R194" s="1077"/>
    </row>
    <row r="195" spans="1:21" ht="14.25" customHeight="1" x14ac:dyDescent="0.25">
      <c r="A195" s="33"/>
      <c r="B195" s="52"/>
      <c r="C195" s="63"/>
      <c r="D195" s="1655" t="s">
        <v>180</v>
      </c>
      <c r="E195" s="242" t="s">
        <v>178</v>
      </c>
      <c r="F195" s="1151" t="s">
        <v>341</v>
      </c>
      <c r="G195" s="1437">
        <v>223.1</v>
      </c>
      <c r="H195" s="1135">
        <v>224.6</v>
      </c>
      <c r="I195" s="1135">
        <v>224.6</v>
      </c>
      <c r="J195" s="1113"/>
      <c r="K195" s="1135">
        <v>224.6</v>
      </c>
      <c r="L195" s="1135">
        <v>224.6</v>
      </c>
      <c r="M195" s="1246"/>
      <c r="N195" s="1689" t="s">
        <v>75</v>
      </c>
      <c r="O195" s="513">
        <v>18</v>
      </c>
      <c r="P195" s="520">
        <v>18</v>
      </c>
      <c r="Q195" s="259">
        <v>18</v>
      </c>
      <c r="R195" s="1077"/>
    </row>
    <row r="196" spans="1:21" ht="14.9" customHeight="1" x14ac:dyDescent="0.25">
      <c r="A196" s="33"/>
      <c r="B196" s="52"/>
      <c r="C196" s="63"/>
      <c r="D196" s="1686"/>
      <c r="E196" s="242" t="s">
        <v>262</v>
      </c>
      <c r="F196" s="1126" t="s">
        <v>343</v>
      </c>
      <c r="G196" s="1439">
        <v>2</v>
      </c>
      <c r="H196" s="1125"/>
      <c r="I196" s="1125"/>
      <c r="J196" s="1123"/>
      <c r="K196" s="1125"/>
      <c r="L196" s="1125"/>
      <c r="M196" s="1152"/>
      <c r="N196" s="1690"/>
      <c r="O196" s="514"/>
      <c r="P196" s="521"/>
      <c r="Q196" s="996"/>
      <c r="R196" s="1077"/>
    </row>
    <row r="197" spans="1:21" ht="15" customHeight="1" x14ac:dyDescent="0.25">
      <c r="A197" s="33"/>
      <c r="B197" s="52"/>
      <c r="C197" s="63"/>
      <c r="D197" s="1686"/>
      <c r="E197" s="1522"/>
      <c r="F197" s="1126" t="s">
        <v>343</v>
      </c>
      <c r="G197" s="1439">
        <v>175.6</v>
      </c>
      <c r="H197" s="1125"/>
      <c r="I197" s="1125"/>
      <c r="J197" s="1123"/>
      <c r="K197" s="1125"/>
      <c r="L197" s="1125"/>
      <c r="M197" s="1152"/>
      <c r="N197" s="1662" t="s">
        <v>126</v>
      </c>
      <c r="O197" s="515">
        <v>95</v>
      </c>
      <c r="P197" s="522">
        <v>100</v>
      </c>
      <c r="Q197" s="260"/>
      <c r="R197" s="1077"/>
    </row>
    <row r="198" spans="1:21" ht="15" customHeight="1" x14ac:dyDescent="0.25">
      <c r="A198" s="33"/>
      <c r="B198" s="52"/>
      <c r="C198" s="63"/>
      <c r="D198" s="1686"/>
      <c r="E198" s="1522"/>
      <c r="F198" s="1126" t="s">
        <v>341</v>
      </c>
      <c r="G198" s="1439"/>
      <c r="H198" s="1125">
        <v>11.2</v>
      </c>
      <c r="I198" s="1125">
        <v>11.2</v>
      </c>
      <c r="J198" s="1123"/>
      <c r="K198" s="1125"/>
      <c r="L198" s="1125"/>
      <c r="M198" s="1152"/>
      <c r="N198" s="1663"/>
      <c r="O198" s="514"/>
      <c r="P198" s="521"/>
      <c r="Q198" s="996"/>
      <c r="R198" s="1077"/>
    </row>
    <row r="199" spans="1:21" ht="28.4" customHeight="1" x14ac:dyDescent="0.25">
      <c r="A199" s="33"/>
      <c r="B199" s="52"/>
      <c r="C199" s="63"/>
      <c r="D199" s="1686"/>
      <c r="E199" s="1522"/>
      <c r="F199" s="1126" t="s">
        <v>343</v>
      </c>
      <c r="G199" s="1439">
        <v>18.600000000000001</v>
      </c>
      <c r="H199" s="1125"/>
      <c r="I199" s="1125"/>
      <c r="J199" s="1123"/>
      <c r="K199" s="1125"/>
      <c r="L199" s="1125"/>
      <c r="M199" s="1152"/>
      <c r="N199" s="1537" t="s">
        <v>155</v>
      </c>
      <c r="O199" s="512">
        <v>200</v>
      </c>
      <c r="P199" s="518"/>
      <c r="Q199" s="1083"/>
      <c r="R199" s="1077"/>
    </row>
    <row r="200" spans="1:21" ht="15.65" customHeight="1" x14ac:dyDescent="0.25">
      <c r="A200" s="33"/>
      <c r="B200" s="52"/>
      <c r="C200" s="63"/>
      <c r="D200" s="1502"/>
      <c r="E200" s="1522"/>
      <c r="F200" s="1126" t="s">
        <v>341</v>
      </c>
      <c r="G200" s="1439">
        <v>109</v>
      </c>
      <c r="H200" s="1125">
        <v>109</v>
      </c>
      <c r="I200" s="1125">
        <v>109</v>
      </c>
      <c r="J200" s="1123"/>
      <c r="K200" s="1125">
        <v>109</v>
      </c>
      <c r="L200" s="1125">
        <v>109</v>
      </c>
      <c r="M200" s="1152"/>
      <c r="N200" s="1662" t="s">
        <v>125</v>
      </c>
      <c r="O200" s="515">
        <v>9.1999999999999993</v>
      </c>
      <c r="P200" s="522">
        <v>6.2</v>
      </c>
      <c r="Q200" s="260">
        <v>6.2</v>
      </c>
      <c r="R200" s="1077"/>
    </row>
    <row r="201" spans="1:21" ht="15.65" customHeight="1" x14ac:dyDescent="0.25">
      <c r="A201" s="33"/>
      <c r="B201" s="52"/>
      <c r="C201" s="63"/>
      <c r="D201" s="1502"/>
      <c r="E201" s="1522"/>
      <c r="F201" s="1126" t="s">
        <v>343</v>
      </c>
      <c r="G201" s="1439">
        <v>50</v>
      </c>
      <c r="H201" s="1125"/>
      <c r="I201" s="1125"/>
      <c r="J201" s="1123"/>
      <c r="K201" s="1125"/>
      <c r="L201" s="1125"/>
      <c r="M201" s="1152"/>
      <c r="N201" s="1663"/>
      <c r="O201" s="514"/>
      <c r="P201" s="521"/>
      <c r="Q201" s="996"/>
      <c r="R201" s="1077"/>
    </row>
    <row r="202" spans="1:21" ht="29.15" customHeight="1" x14ac:dyDescent="0.25">
      <c r="A202" s="33"/>
      <c r="B202" s="52"/>
      <c r="C202" s="63"/>
      <c r="D202" s="1502"/>
      <c r="E202" s="1522"/>
      <c r="F202" s="1126" t="s">
        <v>343</v>
      </c>
      <c r="G202" s="1439">
        <v>109.1</v>
      </c>
      <c r="H202" s="1125"/>
      <c r="I202" s="1125"/>
      <c r="J202" s="1123"/>
      <c r="K202" s="1125"/>
      <c r="L202" s="1125"/>
      <c r="M202" s="1152"/>
      <c r="N202" s="384" t="s">
        <v>301</v>
      </c>
      <c r="O202" s="512">
        <v>1</v>
      </c>
      <c r="P202" s="518"/>
      <c r="Q202" s="1083"/>
      <c r="R202" s="1077"/>
    </row>
    <row r="203" spans="1:21" ht="27.65" customHeight="1" x14ac:dyDescent="0.25">
      <c r="A203" s="33"/>
      <c r="B203" s="52"/>
      <c r="C203" s="63"/>
      <c r="D203" s="1502"/>
      <c r="E203" s="1522"/>
      <c r="F203" s="1126"/>
      <c r="G203" s="1439"/>
      <c r="H203" s="1125"/>
      <c r="I203" s="1125"/>
      <c r="J203" s="1123"/>
      <c r="K203" s="1125"/>
      <c r="L203" s="1125"/>
      <c r="M203" s="1152"/>
      <c r="N203" s="384" t="s">
        <v>302</v>
      </c>
      <c r="O203" s="512">
        <v>100</v>
      </c>
      <c r="P203" s="518"/>
      <c r="Q203" s="1083"/>
      <c r="R203" s="1077"/>
    </row>
    <row r="204" spans="1:21" ht="29.9" customHeight="1" x14ac:dyDescent="0.25">
      <c r="A204" s="33"/>
      <c r="B204" s="52"/>
      <c r="C204" s="63"/>
      <c r="D204" s="1502"/>
      <c r="E204" s="1522"/>
      <c r="F204" s="1126" t="s">
        <v>341</v>
      </c>
      <c r="G204" s="1439">
        <v>18</v>
      </c>
      <c r="H204" s="1125"/>
      <c r="I204" s="1125"/>
      <c r="J204" s="1123"/>
      <c r="K204" s="1125"/>
      <c r="L204" s="1125"/>
      <c r="M204" s="1152"/>
      <c r="N204" s="384" t="s">
        <v>274</v>
      </c>
      <c r="O204" s="512">
        <v>1</v>
      </c>
      <c r="P204" s="518"/>
      <c r="Q204" s="1083"/>
      <c r="R204" s="1077"/>
    </row>
    <row r="205" spans="1:21" ht="27.65" customHeight="1" x14ac:dyDescent="0.25">
      <c r="A205" s="33"/>
      <c r="B205" s="52"/>
      <c r="C205" s="63"/>
      <c r="D205" s="1502"/>
      <c r="E205" s="1522"/>
      <c r="F205" s="1126" t="s">
        <v>343</v>
      </c>
      <c r="G205" s="1439">
        <v>38.6</v>
      </c>
      <c r="H205" s="1125"/>
      <c r="I205" s="1125"/>
      <c r="J205" s="1123"/>
      <c r="K205" s="1125"/>
      <c r="L205" s="1125"/>
      <c r="M205" s="1152"/>
      <c r="N205" s="1537" t="s">
        <v>190</v>
      </c>
      <c r="O205" s="512">
        <v>105</v>
      </c>
      <c r="P205" s="522"/>
      <c r="Q205" s="260"/>
      <c r="R205" s="1077"/>
    </row>
    <row r="206" spans="1:21" ht="26.9" customHeight="1" x14ac:dyDescent="0.25">
      <c r="A206" s="33"/>
      <c r="B206" s="52"/>
      <c r="C206" s="63"/>
      <c r="D206" s="1502"/>
      <c r="E206" s="1522"/>
      <c r="F206" s="1126" t="s">
        <v>343</v>
      </c>
      <c r="G206" s="1439">
        <v>3.3</v>
      </c>
      <c r="H206" s="1125"/>
      <c r="I206" s="1125"/>
      <c r="J206" s="1123"/>
      <c r="K206" s="1125"/>
      <c r="L206" s="1125"/>
      <c r="M206" s="1134"/>
      <c r="N206" s="620" t="s">
        <v>260</v>
      </c>
      <c r="O206" s="512">
        <v>100</v>
      </c>
      <c r="P206" s="522"/>
      <c r="Q206" s="260"/>
      <c r="R206" s="1077"/>
    </row>
    <row r="207" spans="1:21" ht="30" customHeight="1" x14ac:dyDescent="0.25">
      <c r="A207" s="33"/>
      <c r="B207" s="52"/>
      <c r="C207" s="63"/>
      <c r="D207" s="1502"/>
      <c r="E207" s="820"/>
      <c r="F207" s="1127" t="s">
        <v>341</v>
      </c>
      <c r="G207" s="1211">
        <v>9</v>
      </c>
      <c r="H207" s="1212"/>
      <c r="I207" s="1212"/>
      <c r="J207" s="1123"/>
      <c r="K207" s="1125"/>
      <c r="L207" s="1125"/>
      <c r="M207" s="1152"/>
      <c r="N207" s="610" t="s">
        <v>252</v>
      </c>
      <c r="O207" s="317">
        <v>100</v>
      </c>
      <c r="P207" s="519"/>
      <c r="Q207" s="258"/>
      <c r="R207" s="1077"/>
    </row>
    <row r="208" spans="1:21" ht="15" customHeight="1" x14ac:dyDescent="0.25">
      <c r="A208" s="33"/>
      <c r="B208" s="52"/>
      <c r="C208" s="63"/>
      <c r="D208" s="939" t="s">
        <v>253</v>
      </c>
      <c r="E208" s="242" t="s">
        <v>178</v>
      </c>
      <c r="F208" s="1153"/>
      <c r="G208" s="1437"/>
      <c r="H208" s="1135"/>
      <c r="I208" s="1135"/>
      <c r="J208" s="1113"/>
      <c r="K208" s="1135"/>
      <c r="L208" s="1135"/>
      <c r="M208" s="1246"/>
      <c r="N208" s="1504" t="s">
        <v>254</v>
      </c>
      <c r="O208" s="943"/>
      <c r="P208" s="517">
        <v>1</v>
      </c>
      <c r="Q208" s="236"/>
      <c r="R208" s="1077"/>
    </row>
    <row r="209" spans="1:21" ht="15" customHeight="1" x14ac:dyDescent="0.25">
      <c r="A209" s="33"/>
      <c r="B209" s="52"/>
      <c r="C209" s="63"/>
      <c r="D209" s="944"/>
      <c r="E209" s="242" t="s">
        <v>262</v>
      </c>
      <c r="F209" s="1155"/>
      <c r="G209" s="1439"/>
      <c r="H209" s="1125"/>
      <c r="I209" s="1125"/>
      <c r="J209" s="1123"/>
      <c r="K209" s="1125"/>
      <c r="L209" s="1125"/>
      <c r="M209" s="1152"/>
      <c r="N209" s="1537" t="s">
        <v>297</v>
      </c>
      <c r="O209" s="946"/>
      <c r="P209" s="522"/>
      <c r="Q209" s="604">
        <v>1</v>
      </c>
      <c r="R209" s="1077"/>
    </row>
    <row r="210" spans="1:21" ht="15" customHeight="1" x14ac:dyDescent="0.25">
      <c r="A210" s="33"/>
      <c r="B210" s="52"/>
      <c r="C210" s="63"/>
      <c r="D210" s="947"/>
      <c r="E210" s="242" t="s">
        <v>42</v>
      </c>
      <c r="F210" s="1155"/>
      <c r="G210" s="1439"/>
      <c r="H210" s="1125"/>
      <c r="I210" s="1125"/>
      <c r="J210" s="1123"/>
      <c r="K210" s="1125"/>
      <c r="L210" s="1125"/>
      <c r="M210" s="1152"/>
      <c r="N210" s="719"/>
      <c r="O210" s="446"/>
      <c r="P210" s="454"/>
      <c r="Q210" s="605"/>
      <c r="R210" s="1077"/>
    </row>
    <row r="211" spans="1:21" ht="16.399999999999999" customHeight="1" thickBot="1" x14ac:dyDescent="0.3">
      <c r="A211" s="19"/>
      <c r="B211" s="91"/>
      <c r="C211" s="62"/>
      <c r="D211" s="224"/>
      <c r="E211" s="228"/>
      <c r="F211" s="168" t="s">
        <v>4</v>
      </c>
      <c r="G211" s="210">
        <f t="shared" ref="G211:M211" si="11">+G190+G191</f>
        <v>787.1</v>
      </c>
      <c r="H211" s="1136">
        <f t="shared" si="11"/>
        <v>445.7</v>
      </c>
      <c r="I211" s="1136">
        <f t="shared" si="11"/>
        <v>445.7</v>
      </c>
      <c r="J211" s="349">
        <f t="shared" si="11"/>
        <v>0</v>
      </c>
      <c r="K211" s="334">
        <f t="shared" si="11"/>
        <v>434.5</v>
      </c>
      <c r="L211" s="1136">
        <f t="shared" si="11"/>
        <v>434.5</v>
      </c>
      <c r="M211" s="1136">
        <f t="shared" si="11"/>
        <v>0</v>
      </c>
      <c r="N211" s="401"/>
      <c r="O211" s="510"/>
      <c r="P211" s="345"/>
      <c r="Q211" s="1355"/>
      <c r="R211" s="1077"/>
    </row>
    <row r="212" spans="1:21" ht="15" customHeight="1" thickBot="1" x14ac:dyDescent="0.3">
      <c r="A212" s="21" t="s">
        <v>3</v>
      </c>
      <c r="B212" s="4" t="s">
        <v>5</v>
      </c>
      <c r="C212" s="1672" t="s">
        <v>6</v>
      </c>
      <c r="D212" s="1673"/>
      <c r="E212" s="1673"/>
      <c r="F212" s="1673"/>
      <c r="G212" s="211">
        <f t="shared" ref="G212:K212" si="12">G211</f>
        <v>787.1</v>
      </c>
      <c r="H212" s="300">
        <f t="shared" si="12"/>
        <v>445.7</v>
      </c>
      <c r="I212" s="342">
        <f t="shared" ref="I212:J212" si="13">I211</f>
        <v>445.7</v>
      </c>
      <c r="J212" s="300">
        <f t="shared" si="13"/>
        <v>0</v>
      </c>
      <c r="K212" s="339">
        <f t="shared" si="12"/>
        <v>434.5</v>
      </c>
      <c r="L212" s="1282">
        <f t="shared" ref="L212:M212" si="14">L211</f>
        <v>434.5</v>
      </c>
      <c r="M212" s="1282">
        <f t="shared" si="14"/>
        <v>0</v>
      </c>
      <c r="N212" s="1675"/>
      <c r="O212" s="1676"/>
      <c r="P212" s="1676"/>
      <c r="Q212" s="1677"/>
      <c r="R212" s="1077"/>
    </row>
    <row r="213" spans="1:21" ht="15" customHeight="1" thickBot="1" x14ac:dyDescent="0.3">
      <c r="A213" s="20" t="s">
        <v>3</v>
      </c>
      <c r="B213" s="4" t="s">
        <v>24</v>
      </c>
      <c r="C213" s="1587" t="s">
        <v>87</v>
      </c>
      <c r="D213" s="1684"/>
      <c r="E213" s="1684"/>
      <c r="F213" s="1684"/>
      <c r="G213" s="1684"/>
      <c r="H213" s="1684"/>
      <c r="I213" s="1684"/>
      <c r="J213" s="1684"/>
      <c r="K213" s="1684"/>
      <c r="L213" s="1684"/>
      <c r="M213" s="1684"/>
      <c r="N213" s="1684"/>
      <c r="O213" s="1684"/>
      <c r="P213" s="1684"/>
      <c r="Q213" s="1685"/>
      <c r="R213" s="1077"/>
    </row>
    <row r="214" spans="1:21" ht="15.65" customHeight="1" x14ac:dyDescent="0.25">
      <c r="A214" s="55" t="s">
        <v>3</v>
      </c>
      <c r="B214" s="53" t="s">
        <v>24</v>
      </c>
      <c r="C214" s="1499" t="s">
        <v>3</v>
      </c>
      <c r="D214" s="1687" t="s">
        <v>165</v>
      </c>
      <c r="E214" s="1107"/>
      <c r="F214" s="75" t="s">
        <v>22</v>
      </c>
      <c r="G214" s="1451">
        <v>1430</v>
      </c>
      <c r="H214" s="1277">
        <v>1635</v>
      </c>
      <c r="I214" s="1277">
        <v>1635</v>
      </c>
      <c r="J214" s="1345"/>
      <c r="K214" s="1277">
        <v>1640</v>
      </c>
      <c r="L214" s="1277">
        <v>1640</v>
      </c>
      <c r="M214" s="1158"/>
      <c r="N214" s="1108"/>
      <c r="O214" s="338"/>
      <c r="P214" s="1272"/>
      <c r="Q214" s="1341"/>
      <c r="R214" s="1223" t="s">
        <v>22</v>
      </c>
      <c r="S214" s="1249">
        <f>+G221+G231+G234+G235+G236+G237+G238+G239</f>
        <v>1430</v>
      </c>
      <c r="T214" s="1249">
        <f>+H221+H231+H234+H235+H236+H237+H238+H239</f>
        <v>1635</v>
      </c>
      <c r="U214" s="1249">
        <f>+K221+K231+K234+K235+K236+K237+K238+K239</f>
        <v>1640</v>
      </c>
    </row>
    <row r="215" spans="1:21" ht="15.65" customHeight="1" x14ac:dyDescent="0.25">
      <c r="A215" s="55"/>
      <c r="B215" s="53"/>
      <c r="C215" s="1499"/>
      <c r="D215" s="1688"/>
      <c r="E215" s="1107"/>
      <c r="F215" s="196" t="s">
        <v>317</v>
      </c>
      <c r="G215" s="1452">
        <v>200</v>
      </c>
      <c r="H215" s="1278"/>
      <c r="I215" s="1278"/>
      <c r="J215" s="1346"/>
      <c r="K215" s="1278"/>
      <c r="L215" s="1278"/>
      <c r="M215" s="1158"/>
      <c r="N215" s="1505"/>
      <c r="O215" s="871"/>
      <c r="P215" s="153"/>
      <c r="Q215" s="743"/>
      <c r="R215" s="1223" t="s">
        <v>317</v>
      </c>
      <c r="S215" s="1249">
        <f>+G223</f>
        <v>200</v>
      </c>
      <c r="T215" s="1249">
        <f>+H223</f>
        <v>0</v>
      </c>
      <c r="U215" s="1249">
        <f>+K223</f>
        <v>0</v>
      </c>
    </row>
    <row r="216" spans="1:21" ht="15.65" customHeight="1" x14ac:dyDescent="0.25">
      <c r="A216" s="55"/>
      <c r="B216" s="53"/>
      <c r="C216" s="1499"/>
      <c r="D216" s="1688"/>
      <c r="E216" s="1107"/>
      <c r="F216" s="46" t="s">
        <v>133</v>
      </c>
      <c r="G216" s="1452">
        <v>1004.3</v>
      </c>
      <c r="H216" s="1278"/>
      <c r="I216" s="1278"/>
      <c r="J216" s="1346"/>
      <c r="K216" s="1278"/>
      <c r="L216" s="1278"/>
      <c r="M216" s="1158"/>
      <c r="N216" s="1505"/>
      <c r="O216" s="871"/>
      <c r="P216" s="153"/>
      <c r="Q216" s="743"/>
      <c r="R216" s="1223" t="s">
        <v>133</v>
      </c>
      <c r="S216" s="1249">
        <f>+G228</f>
        <v>1004.3</v>
      </c>
      <c r="T216" s="1249">
        <f>+H228</f>
        <v>0</v>
      </c>
      <c r="U216" s="1249">
        <f>+K228</f>
        <v>0</v>
      </c>
    </row>
    <row r="217" spans="1:21" ht="15.65" customHeight="1" x14ac:dyDescent="0.25">
      <c r="A217" s="55"/>
      <c r="B217" s="53"/>
      <c r="C217" s="1499"/>
      <c r="D217" s="1503"/>
      <c r="E217" s="1107"/>
      <c r="F217" s="46" t="s">
        <v>132</v>
      </c>
      <c r="G217" s="1452">
        <v>88.6</v>
      </c>
      <c r="H217" s="1278"/>
      <c r="I217" s="1278"/>
      <c r="J217" s="1346"/>
      <c r="K217" s="1278"/>
      <c r="L217" s="1278"/>
      <c r="M217" s="1158"/>
      <c r="N217" s="1505"/>
      <c r="O217" s="871"/>
      <c r="P217" s="153"/>
      <c r="Q217" s="743"/>
      <c r="R217" s="1223" t="s">
        <v>132</v>
      </c>
      <c r="S217" s="1249">
        <f>+G227</f>
        <v>88.6</v>
      </c>
      <c r="T217" s="1249">
        <f>+H227</f>
        <v>0</v>
      </c>
      <c r="U217" s="1249">
        <f>+K227</f>
        <v>0</v>
      </c>
    </row>
    <row r="218" spans="1:21" ht="15.65" customHeight="1" x14ac:dyDescent="0.25">
      <c r="A218" s="55"/>
      <c r="B218" s="53"/>
      <c r="C218" s="1499"/>
      <c r="D218" s="1503"/>
      <c r="E218" s="1107"/>
      <c r="F218" s="46" t="s">
        <v>48</v>
      </c>
      <c r="G218" s="1452">
        <v>1204.7</v>
      </c>
      <c r="H218" s="1278"/>
      <c r="I218" s="1278"/>
      <c r="J218" s="1346"/>
      <c r="K218" s="1278"/>
      <c r="L218" s="1278"/>
      <c r="M218" s="1158"/>
      <c r="N218" s="1505"/>
      <c r="O218" s="871"/>
      <c r="P218" s="153"/>
      <c r="Q218" s="743"/>
      <c r="R218" s="1223" t="s">
        <v>48</v>
      </c>
      <c r="S218" s="1249">
        <f>+G222+G226+G233</f>
        <v>1204.7</v>
      </c>
      <c r="T218" s="1249">
        <f>+H222+H226+H233</f>
        <v>0</v>
      </c>
      <c r="U218" s="1249">
        <f>+K222+K226+K233</f>
        <v>0</v>
      </c>
    </row>
    <row r="219" spans="1:21" ht="15.65" customHeight="1" x14ac:dyDescent="0.25">
      <c r="A219" s="55"/>
      <c r="B219" s="53"/>
      <c r="C219" s="1499"/>
      <c r="D219" s="1503"/>
      <c r="E219" s="1107"/>
      <c r="F219" s="46" t="s">
        <v>198</v>
      </c>
      <c r="G219" s="1452">
        <v>398.8</v>
      </c>
      <c r="H219" s="1278"/>
      <c r="I219" s="1278"/>
      <c r="J219" s="1346"/>
      <c r="K219" s="1278"/>
      <c r="L219" s="1278"/>
      <c r="M219" s="1158"/>
      <c r="N219" s="1505"/>
      <c r="O219" s="871"/>
      <c r="P219" s="153"/>
      <c r="Q219" s="743"/>
      <c r="R219" s="1223" t="s">
        <v>198</v>
      </c>
      <c r="S219" s="1249">
        <f>+G230</f>
        <v>398.8</v>
      </c>
      <c r="T219" s="1249">
        <f>+H230</f>
        <v>0</v>
      </c>
      <c r="U219" s="1249">
        <f>+K230</f>
        <v>0</v>
      </c>
    </row>
    <row r="220" spans="1:21" ht="15.65" customHeight="1" x14ac:dyDescent="0.25">
      <c r="A220" s="55"/>
      <c r="B220" s="53"/>
      <c r="C220" s="1499"/>
      <c r="D220" s="1503"/>
      <c r="E220" s="1107"/>
      <c r="F220" s="46" t="s">
        <v>197</v>
      </c>
      <c r="G220" s="1453">
        <v>35.299999999999997</v>
      </c>
      <c r="H220" s="1279"/>
      <c r="I220" s="1279"/>
      <c r="J220" s="1163"/>
      <c r="K220" s="1279"/>
      <c r="L220" s="1279"/>
      <c r="M220" s="1304"/>
      <c r="N220" s="367"/>
      <c r="O220" s="871"/>
      <c r="P220" s="153"/>
      <c r="Q220" s="741"/>
      <c r="R220" s="1223" t="s">
        <v>197</v>
      </c>
      <c r="S220" s="1249">
        <f>+G229</f>
        <v>35.299999999999997</v>
      </c>
      <c r="T220" s="1249">
        <f>+H229</f>
        <v>0</v>
      </c>
      <c r="U220" s="1249">
        <f>+K229</f>
        <v>0</v>
      </c>
    </row>
    <row r="221" spans="1:21" ht="14.25" customHeight="1" x14ac:dyDescent="0.25">
      <c r="A221" s="55"/>
      <c r="B221" s="53"/>
      <c r="C221" s="1499"/>
      <c r="D221" s="1636" t="s">
        <v>131</v>
      </c>
      <c r="E221" s="1493"/>
      <c r="F221" s="1131" t="s">
        <v>341</v>
      </c>
      <c r="G221" s="1439">
        <v>1000</v>
      </c>
      <c r="H221" s="1125">
        <v>1200</v>
      </c>
      <c r="I221" s="1125">
        <v>1200</v>
      </c>
      <c r="J221" s="1123"/>
      <c r="K221" s="1135">
        <v>1200</v>
      </c>
      <c r="L221" s="1135">
        <v>1200</v>
      </c>
      <c r="M221" s="1134"/>
      <c r="N221" s="1259"/>
      <c r="O221" s="1435"/>
      <c r="P221" s="520"/>
      <c r="Q221" s="259"/>
      <c r="R221" s="1223"/>
      <c r="S221" s="1249">
        <f>+S214+S215+S216+S217+S218+S219+S220</f>
        <v>4361.7</v>
      </c>
      <c r="T221" s="1249">
        <f t="shared" ref="T221:U221" si="15">+T214+T215+T216+T217+T218+T219+T220</f>
        <v>1635</v>
      </c>
      <c r="U221" s="1249">
        <f t="shared" si="15"/>
        <v>1640</v>
      </c>
    </row>
    <row r="222" spans="1:21" ht="15" customHeight="1" x14ac:dyDescent="0.25">
      <c r="A222" s="55"/>
      <c r="B222" s="53"/>
      <c r="C222" s="1499"/>
      <c r="D222" s="1686"/>
      <c r="E222" s="1494" t="s">
        <v>178</v>
      </c>
      <c r="F222" s="1120" t="s">
        <v>343</v>
      </c>
      <c r="G222" s="1439">
        <v>698.6</v>
      </c>
      <c r="H222" s="1125"/>
      <c r="I222" s="1125"/>
      <c r="J222" s="1123"/>
      <c r="K222" s="1125"/>
      <c r="L222" s="1125"/>
      <c r="M222" s="1152"/>
      <c r="N222" s="714"/>
      <c r="O222" s="166"/>
      <c r="P222" s="166"/>
      <c r="Q222" s="996"/>
      <c r="R222" s="1223"/>
      <c r="S222" s="1249">
        <f>+S221-G240</f>
        <v>0</v>
      </c>
      <c r="T222" s="1249">
        <f>+T221-H240</f>
        <v>0</v>
      </c>
      <c r="U222" s="1249">
        <f>+U221-K240</f>
        <v>0</v>
      </c>
    </row>
    <row r="223" spans="1:21" ht="15" customHeight="1" x14ac:dyDescent="0.25">
      <c r="A223" s="55"/>
      <c r="B223" s="53"/>
      <c r="C223" s="1499"/>
      <c r="D223" s="59" t="s">
        <v>275</v>
      </c>
      <c r="E223" s="1494" t="s">
        <v>153</v>
      </c>
      <c r="F223" s="1120" t="s">
        <v>354</v>
      </c>
      <c r="G223" s="1439">
        <v>200</v>
      </c>
      <c r="H223" s="1125"/>
      <c r="I223" s="1125"/>
      <c r="J223" s="1123"/>
      <c r="K223" s="1125"/>
      <c r="L223" s="1125"/>
      <c r="M223" s="1152"/>
      <c r="N223" s="384" t="s">
        <v>127</v>
      </c>
      <c r="O223" s="525">
        <v>10</v>
      </c>
      <c r="P223" s="1318">
        <v>10</v>
      </c>
      <c r="Q223" s="1258">
        <v>10</v>
      </c>
      <c r="R223" s="1077"/>
    </row>
    <row r="224" spans="1:21" ht="28.4" customHeight="1" x14ac:dyDescent="0.25">
      <c r="A224" s="55"/>
      <c r="B224" s="53"/>
      <c r="C224" s="1499"/>
      <c r="D224" s="1532" t="s">
        <v>137</v>
      </c>
      <c r="E224" s="1494" t="s">
        <v>262</v>
      </c>
      <c r="F224" s="1120"/>
      <c r="G224" s="1439"/>
      <c r="H224" s="1125"/>
      <c r="I224" s="1125"/>
      <c r="J224" s="1123"/>
      <c r="K224" s="1125"/>
      <c r="L224" s="1125"/>
      <c r="M224" s="1152"/>
      <c r="N224" s="1537" t="s">
        <v>121</v>
      </c>
      <c r="O224" s="526">
        <v>546</v>
      </c>
      <c r="P224" s="748">
        <v>506</v>
      </c>
      <c r="Q224" s="1258">
        <v>350</v>
      </c>
      <c r="R224" s="1077"/>
    </row>
    <row r="225" spans="1:18" ht="30.65" customHeight="1" x14ac:dyDescent="0.25">
      <c r="A225" s="55"/>
      <c r="B225" s="53"/>
      <c r="C225" s="1499"/>
      <c r="D225" s="1257" t="s">
        <v>130</v>
      </c>
      <c r="E225" s="1510"/>
      <c r="F225" s="1127"/>
      <c r="G225" s="1211"/>
      <c r="H225" s="1212"/>
      <c r="I225" s="1212"/>
      <c r="J225" s="1130"/>
      <c r="K225" s="1212"/>
      <c r="L225" s="1212"/>
      <c r="M225" s="1152"/>
      <c r="N225" s="1537" t="s">
        <v>98</v>
      </c>
      <c r="O225" s="529">
        <v>9.1</v>
      </c>
      <c r="P225" s="1319">
        <v>7.2</v>
      </c>
      <c r="Q225" s="1480">
        <v>8.5</v>
      </c>
      <c r="R225" s="1077"/>
    </row>
    <row r="226" spans="1:18" ht="13.5" customHeight="1" x14ac:dyDescent="0.25">
      <c r="A226" s="1497"/>
      <c r="B226" s="1508"/>
      <c r="C226" s="1506"/>
      <c r="D226" s="1659" t="s">
        <v>101</v>
      </c>
      <c r="E226" s="1493" t="s">
        <v>42</v>
      </c>
      <c r="F226" s="1213" t="s">
        <v>343</v>
      </c>
      <c r="G226" s="1442">
        <v>501.1</v>
      </c>
      <c r="H226" s="1125"/>
      <c r="I226" s="1125"/>
      <c r="J226" s="1123"/>
      <c r="K226" s="1135"/>
      <c r="L226" s="1135"/>
      <c r="M226" s="1246"/>
      <c r="N226" s="1752" t="s">
        <v>287</v>
      </c>
      <c r="O226" s="428">
        <v>100</v>
      </c>
      <c r="P226" s="1309"/>
      <c r="Q226" s="1076"/>
      <c r="R226" s="1077"/>
    </row>
    <row r="227" spans="1:18" ht="15.75" customHeight="1" x14ac:dyDescent="0.25">
      <c r="A227" s="1497"/>
      <c r="B227" s="1508"/>
      <c r="C227" s="1506"/>
      <c r="D227" s="1660"/>
      <c r="E227" s="1494" t="s">
        <v>178</v>
      </c>
      <c r="F227" s="1204" t="s">
        <v>348</v>
      </c>
      <c r="G227" s="1439">
        <v>88.6</v>
      </c>
      <c r="H227" s="1125"/>
      <c r="I227" s="1125"/>
      <c r="J227" s="1123"/>
      <c r="K227" s="1125"/>
      <c r="L227" s="1125"/>
      <c r="M227" s="1152"/>
      <c r="N227" s="1807"/>
      <c r="O227" s="524"/>
      <c r="P227" s="1320"/>
      <c r="Q227" s="1086"/>
      <c r="R227" s="1077"/>
    </row>
    <row r="228" spans="1:18" ht="15" customHeight="1" x14ac:dyDescent="0.25">
      <c r="A228" s="1497"/>
      <c r="B228" s="1508"/>
      <c r="C228" s="1506"/>
      <c r="D228" s="1661"/>
      <c r="E228" s="1494" t="s">
        <v>153</v>
      </c>
      <c r="F228" s="1204" t="s">
        <v>350</v>
      </c>
      <c r="G228" s="1439">
        <v>1004.3</v>
      </c>
      <c r="H228" s="1125"/>
      <c r="I228" s="1125"/>
      <c r="J228" s="1123"/>
      <c r="K228" s="1125"/>
      <c r="L228" s="1125"/>
      <c r="M228" s="1152"/>
      <c r="N228" s="1662" t="s">
        <v>121</v>
      </c>
      <c r="O228" s="825">
        <v>246</v>
      </c>
      <c r="P228" s="1357"/>
      <c r="Q228" s="1481"/>
      <c r="R228" s="1077"/>
    </row>
    <row r="229" spans="1:18" ht="15" customHeight="1" x14ac:dyDescent="0.25">
      <c r="A229" s="1497"/>
      <c r="B229" s="1508"/>
      <c r="C229" s="1506"/>
      <c r="D229" s="1500"/>
      <c r="E229" s="1494" t="s">
        <v>262</v>
      </c>
      <c r="F229" s="1204" t="s">
        <v>349</v>
      </c>
      <c r="G229" s="1439">
        <v>35.299999999999997</v>
      </c>
      <c r="H229" s="1125"/>
      <c r="I229" s="1125"/>
      <c r="J229" s="1123"/>
      <c r="K229" s="1125"/>
      <c r="L229" s="1125"/>
      <c r="M229" s="1152"/>
      <c r="N229" s="1663"/>
      <c r="O229" s="430"/>
      <c r="P229" s="1317"/>
      <c r="Q229" s="1359"/>
      <c r="R229" s="1077"/>
    </row>
    <row r="230" spans="1:18" ht="15" customHeight="1" x14ac:dyDescent="0.25">
      <c r="A230" s="1497"/>
      <c r="B230" s="1508"/>
      <c r="C230" s="1506"/>
      <c r="D230" s="1500"/>
      <c r="E230" s="1494"/>
      <c r="F230" s="1214" t="s">
        <v>351</v>
      </c>
      <c r="G230" s="1211">
        <v>398.8</v>
      </c>
      <c r="H230" s="1212"/>
      <c r="I230" s="1212"/>
      <c r="J230" s="1123"/>
      <c r="K230" s="1125"/>
      <c r="L230" s="1125"/>
      <c r="M230" s="1134"/>
      <c r="N230" s="1505" t="s">
        <v>179</v>
      </c>
      <c r="O230" s="826">
        <v>159</v>
      </c>
      <c r="P230" s="1358"/>
      <c r="Q230" s="1482"/>
      <c r="R230" s="1077"/>
    </row>
    <row r="231" spans="1:18" ht="24.75" customHeight="1" x14ac:dyDescent="0.25">
      <c r="A231" s="1657"/>
      <c r="B231" s="1658"/>
      <c r="C231" s="1681"/>
      <c r="D231" s="1682" t="s">
        <v>89</v>
      </c>
      <c r="E231" s="1678" t="s">
        <v>262</v>
      </c>
      <c r="F231" s="1131" t="s">
        <v>341</v>
      </c>
      <c r="G231" s="1437">
        <v>2</v>
      </c>
      <c r="H231" s="1135">
        <v>2</v>
      </c>
      <c r="I231" s="1135">
        <v>2</v>
      </c>
      <c r="J231" s="1113"/>
      <c r="K231" s="1135">
        <v>2</v>
      </c>
      <c r="L231" s="1135">
        <v>2</v>
      </c>
      <c r="M231" s="1246"/>
      <c r="N231" s="1495" t="s">
        <v>97</v>
      </c>
      <c r="O231" s="441">
        <v>1</v>
      </c>
      <c r="P231" s="1312">
        <v>1</v>
      </c>
      <c r="Q231" s="1354">
        <v>1</v>
      </c>
      <c r="R231" s="1077"/>
    </row>
    <row r="232" spans="1:18" ht="16.5" customHeight="1" x14ac:dyDescent="0.25">
      <c r="A232" s="1657"/>
      <c r="B232" s="1658"/>
      <c r="C232" s="1681"/>
      <c r="D232" s="1683"/>
      <c r="E232" s="1679"/>
      <c r="F232" s="1133"/>
      <c r="G232" s="1439"/>
      <c r="H232" s="1125"/>
      <c r="I232" s="1125"/>
      <c r="J232" s="1130"/>
      <c r="K232" s="1212"/>
      <c r="L232" s="1212"/>
      <c r="M232" s="1134"/>
      <c r="N232" s="1521"/>
      <c r="O232" s="442"/>
      <c r="P232" s="1314"/>
      <c r="Q232" s="750"/>
      <c r="R232" s="1077"/>
    </row>
    <row r="233" spans="1:18" ht="14.9" customHeight="1" x14ac:dyDescent="0.25">
      <c r="A233" s="1497"/>
      <c r="B233" s="1498"/>
      <c r="C233" s="63"/>
      <c r="D233" s="1636" t="s">
        <v>139</v>
      </c>
      <c r="E233" s="1493" t="s">
        <v>262</v>
      </c>
      <c r="F233" s="1120" t="s">
        <v>343</v>
      </c>
      <c r="G233" s="1437">
        <v>5</v>
      </c>
      <c r="H233" s="1135"/>
      <c r="I233" s="1135"/>
      <c r="J233" s="1113"/>
      <c r="K233" s="1119"/>
      <c r="L233" s="1118"/>
      <c r="M233" s="1113"/>
      <c r="N233" s="1680" t="s">
        <v>278</v>
      </c>
      <c r="O233" s="523">
        <v>29</v>
      </c>
      <c r="P233" s="1321">
        <v>36</v>
      </c>
      <c r="Q233" s="1360">
        <v>39</v>
      </c>
      <c r="R233" s="1077"/>
    </row>
    <row r="234" spans="1:18" ht="12.65" customHeight="1" x14ac:dyDescent="0.25">
      <c r="A234" s="1497"/>
      <c r="B234" s="1498"/>
      <c r="C234" s="63"/>
      <c r="D234" s="1637"/>
      <c r="E234" s="242" t="s">
        <v>178</v>
      </c>
      <c r="F234" s="1120" t="s">
        <v>341</v>
      </c>
      <c r="G234" s="1439">
        <v>45</v>
      </c>
      <c r="H234" s="1125">
        <v>50</v>
      </c>
      <c r="I234" s="1125">
        <v>50</v>
      </c>
      <c r="J234" s="1123"/>
      <c r="K234" s="1125">
        <v>55</v>
      </c>
      <c r="L234" s="1125">
        <v>55</v>
      </c>
      <c r="M234" s="1152"/>
      <c r="N234" s="1663"/>
      <c r="O234" s="524"/>
      <c r="P234" s="1320"/>
      <c r="Q234" s="1086"/>
      <c r="R234" s="1077"/>
    </row>
    <row r="235" spans="1:18" ht="17.899999999999999" customHeight="1" x14ac:dyDescent="0.25">
      <c r="A235" s="1497"/>
      <c r="B235" s="1498"/>
      <c r="C235" s="63"/>
      <c r="D235" s="1637"/>
      <c r="E235" s="1522"/>
      <c r="F235" s="1217" t="s">
        <v>341</v>
      </c>
      <c r="G235" s="1438">
        <v>7</v>
      </c>
      <c r="H235" s="1267">
        <v>7</v>
      </c>
      <c r="I235" s="1267">
        <v>7</v>
      </c>
      <c r="J235" s="1232"/>
      <c r="K235" s="1267">
        <v>7</v>
      </c>
      <c r="L235" s="1267">
        <v>7</v>
      </c>
      <c r="M235" s="1299"/>
      <c r="N235" s="381" t="s">
        <v>293</v>
      </c>
      <c r="O235" s="525">
        <v>100</v>
      </c>
      <c r="P235" s="1318">
        <v>100</v>
      </c>
      <c r="Q235" s="1258">
        <v>100</v>
      </c>
      <c r="R235" s="1077"/>
    </row>
    <row r="236" spans="1:18" ht="28.4" customHeight="1" x14ac:dyDescent="0.25">
      <c r="A236" s="18"/>
      <c r="B236" s="1508"/>
      <c r="C236" s="63"/>
      <c r="D236" s="1637"/>
      <c r="E236" s="184"/>
      <c r="F236" s="1120" t="s">
        <v>341</v>
      </c>
      <c r="G236" s="1439">
        <f>210-80</f>
        <v>130</v>
      </c>
      <c r="H236" s="1125">
        <v>130</v>
      </c>
      <c r="I236" s="1125">
        <v>130</v>
      </c>
      <c r="J236" s="1123"/>
      <c r="K236" s="1125">
        <v>130</v>
      </c>
      <c r="L236" s="1125">
        <v>130</v>
      </c>
      <c r="M236" s="1152"/>
      <c r="N236" s="1537" t="s">
        <v>294</v>
      </c>
      <c r="O236" s="495">
        <v>3</v>
      </c>
      <c r="P236" s="507">
        <v>3</v>
      </c>
      <c r="Q236" s="1361">
        <v>3</v>
      </c>
      <c r="R236" s="1077"/>
    </row>
    <row r="237" spans="1:18" ht="42.65" customHeight="1" x14ac:dyDescent="0.25">
      <c r="A237" s="18"/>
      <c r="B237" s="1508"/>
      <c r="C237" s="63"/>
      <c r="D237" s="1637"/>
      <c r="E237" s="184"/>
      <c r="F237" s="1120" t="s">
        <v>341</v>
      </c>
      <c r="G237" s="1439">
        <f>56-20</f>
        <v>36</v>
      </c>
      <c r="H237" s="1125">
        <v>36</v>
      </c>
      <c r="I237" s="1125">
        <v>36</v>
      </c>
      <c r="J237" s="1123"/>
      <c r="K237" s="1125">
        <v>36</v>
      </c>
      <c r="L237" s="1125">
        <v>36</v>
      </c>
      <c r="M237" s="1152"/>
      <c r="N237" s="1537" t="s">
        <v>295</v>
      </c>
      <c r="O237" s="526">
        <v>5</v>
      </c>
      <c r="P237" s="748">
        <v>5</v>
      </c>
      <c r="Q237" s="1258">
        <v>5</v>
      </c>
      <c r="R237" s="1077"/>
    </row>
    <row r="238" spans="1:18" ht="18" customHeight="1" x14ac:dyDescent="0.25">
      <c r="A238" s="18"/>
      <c r="B238" s="1508"/>
      <c r="C238" s="63"/>
      <c r="D238" s="1637"/>
      <c r="E238" s="1522"/>
      <c r="F238" s="1120" t="s">
        <v>341</v>
      </c>
      <c r="G238" s="1439">
        <v>8</v>
      </c>
      <c r="H238" s="1125">
        <v>8</v>
      </c>
      <c r="I238" s="1125">
        <v>8</v>
      </c>
      <c r="J238" s="1123"/>
      <c r="K238" s="1125">
        <v>8</v>
      </c>
      <c r="L238" s="1125">
        <v>8</v>
      </c>
      <c r="M238" s="1152"/>
      <c r="N238" s="1537" t="s">
        <v>71</v>
      </c>
      <c r="O238" s="525">
        <v>2</v>
      </c>
      <c r="P238" s="1318">
        <v>1</v>
      </c>
      <c r="Q238" s="1258">
        <v>1</v>
      </c>
      <c r="R238" s="1077"/>
    </row>
    <row r="239" spans="1:18" ht="30.65" customHeight="1" x14ac:dyDescent="0.25">
      <c r="A239" s="18"/>
      <c r="B239" s="1508"/>
      <c r="C239" s="63"/>
      <c r="D239" s="1490"/>
      <c r="E239" s="1522"/>
      <c r="F239" s="1133" t="s">
        <v>341</v>
      </c>
      <c r="G239" s="1211">
        <v>202</v>
      </c>
      <c r="H239" s="1212">
        <v>202</v>
      </c>
      <c r="I239" s="1212">
        <v>202</v>
      </c>
      <c r="J239" s="1130"/>
      <c r="K239" s="1212">
        <v>202</v>
      </c>
      <c r="L239" s="1212">
        <v>202</v>
      </c>
      <c r="M239" s="1130"/>
      <c r="N239" s="1537" t="s">
        <v>296</v>
      </c>
      <c r="O239" s="526">
        <v>1</v>
      </c>
      <c r="P239" s="748">
        <v>1</v>
      </c>
      <c r="Q239" s="974">
        <v>1</v>
      </c>
      <c r="R239" s="1077"/>
    </row>
    <row r="240" spans="1:18" ht="15.75" customHeight="1" thickBot="1" x14ac:dyDescent="0.3">
      <c r="A240" s="19"/>
      <c r="B240" s="91"/>
      <c r="C240" s="62"/>
      <c r="D240" s="967"/>
      <c r="E240" s="968"/>
      <c r="F240" s="16" t="s">
        <v>4</v>
      </c>
      <c r="G240" s="210">
        <f t="shared" ref="G240:M240" si="16">+G214+G215+G216+G217+G218+G219+G220</f>
        <v>4361.7</v>
      </c>
      <c r="H240" s="1136">
        <f t="shared" si="16"/>
        <v>1635</v>
      </c>
      <c r="I240" s="341">
        <f t="shared" si="16"/>
        <v>1635</v>
      </c>
      <c r="J240" s="1164">
        <f t="shared" si="16"/>
        <v>0</v>
      </c>
      <c r="K240" s="334">
        <f t="shared" si="16"/>
        <v>1640</v>
      </c>
      <c r="L240" s="1136">
        <f t="shared" si="16"/>
        <v>1640</v>
      </c>
      <c r="M240" s="1136">
        <f t="shared" si="16"/>
        <v>0</v>
      </c>
      <c r="N240" s="419"/>
      <c r="O240" s="971"/>
      <c r="P240" s="1436"/>
      <c r="Q240" s="1356"/>
      <c r="R240" s="1077"/>
    </row>
    <row r="241" spans="1:21" ht="15.65" customHeight="1" x14ac:dyDescent="0.25">
      <c r="A241" s="22" t="s">
        <v>3</v>
      </c>
      <c r="B241" s="50" t="s">
        <v>24</v>
      </c>
      <c r="C241" s="65" t="s">
        <v>5</v>
      </c>
      <c r="D241" s="1591" t="s">
        <v>102</v>
      </c>
      <c r="E241" s="1509" t="s">
        <v>178</v>
      </c>
      <c r="F241" s="209" t="s">
        <v>22</v>
      </c>
      <c r="G241" s="308">
        <v>58.3</v>
      </c>
      <c r="H241" s="1272">
        <v>37</v>
      </c>
      <c r="I241" s="1272">
        <v>37</v>
      </c>
      <c r="J241" s="1341"/>
      <c r="K241" s="1272">
        <v>67</v>
      </c>
      <c r="L241" s="1272">
        <v>67</v>
      </c>
      <c r="M241" s="132"/>
      <c r="N241" s="1511"/>
      <c r="O241" s="542"/>
      <c r="P241" s="545"/>
      <c r="Q241" s="1351"/>
      <c r="R241" s="1223" t="s">
        <v>22</v>
      </c>
      <c r="S241" s="1249">
        <f>+G243+G244+G245+G246+G248+G249+G250+G251+G252+G253</f>
        <v>58.3</v>
      </c>
      <c r="T241" s="1249">
        <f>+H243+H244+H245+H246+H248+H249+H250+H251+H252+H253</f>
        <v>37</v>
      </c>
      <c r="U241" s="1249">
        <f>+K243+K244+K245+K246+K248+K249+K250+K251+K252+K253</f>
        <v>67</v>
      </c>
    </row>
    <row r="242" spans="1:21" ht="15.65" customHeight="1" x14ac:dyDescent="0.25">
      <c r="A242" s="55"/>
      <c r="B242" s="53"/>
      <c r="C242" s="1499"/>
      <c r="D242" s="1593"/>
      <c r="E242" s="1494"/>
      <c r="F242" s="869" t="s">
        <v>48</v>
      </c>
      <c r="G242" s="170">
        <v>36.299999999999997</v>
      </c>
      <c r="H242" s="153"/>
      <c r="I242" s="153"/>
      <c r="J242" s="743"/>
      <c r="K242" s="153"/>
      <c r="L242" s="153"/>
      <c r="M242" s="39"/>
      <c r="N242" s="1521"/>
      <c r="O242" s="442"/>
      <c r="P242" s="450"/>
      <c r="Q242" s="750"/>
      <c r="R242" s="1223" t="s">
        <v>48</v>
      </c>
      <c r="S242" s="1249">
        <f>+G247</f>
        <v>36.299999999999997</v>
      </c>
      <c r="T242" s="1249">
        <f>+H247</f>
        <v>0</v>
      </c>
      <c r="U242" s="1249">
        <f>+K247</f>
        <v>0</v>
      </c>
    </row>
    <row r="243" spans="1:21" ht="53.25" customHeight="1" x14ac:dyDescent="0.25">
      <c r="A243" s="55"/>
      <c r="B243" s="53"/>
      <c r="C243" s="1499"/>
      <c r="D243" s="60" t="s">
        <v>144</v>
      </c>
      <c r="E243" s="850" t="s">
        <v>262</v>
      </c>
      <c r="F243" s="1142" t="s">
        <v>341</v>
      </c>
      <c r="G243" s="1454">
        <v>4</v>
      </c>
      <c r="H243" s="1280">
        <v>4</v>
      </c>
      <c r="I243" s="1280">
        <v>4</v>
      </c>
      <c r="J243" s="1347"/>
      <c r="K243" s="1280">
        <v>4</v>
      </c>
      <c r="L243" s="1280">
        <v>4</v>
      </c>
      <c r="M243" s="1167"/>
      <c r="N243" s="422" t="s">
        <v>95</v>
      </c>
      <c r="O243" s="539"/>
      <c r="P243" s="541"/>
      <c r="Q243" s="898">
        <v>1</v>
      </c>
      <c r="R243" s="1223"/>
      <c r="S243" s="1249">
        <f>+S241+S242</f>
        <v>94.6</v>
      </c>
      <c r="T243" s="1249">
        <f t="shared" ref="T243:U243" si="17">+T241+T242</f>
        <v>37</v>
      </c>
      <c r="U243" s="1249">
        <f t="shared" si="17"/>
        <v>67</v>
      </c>
    </row>
    <row r="244" spans="1:21" ht="53.25" customHeight="1" x14ac:dyDescent="0.25">
      <c r="A244" s="55"/>
      <c r="B244" s="53"/>
      <c r="C244" s="1499"/>
      <c r="D244" s="1486" t="s">
        <v>145</v>
      </c>
      <c r="E244" s="1494" t="s">
        <v>262</v>
      </c>
      <c r="F244" s="1120" t="s">
        <v>341</v>
      </c>
      <c r="G244" s="1455">
        <v>4</v>
      </c>
      <c r="H244" s="1281"/>
      <c r="I244" s="1281"/>
      <c r="J244" s="1348"/>
      <c r="K244" s="1281"/>
      <c r="L244" s="1281"/>
      <c r="M244" s="1170"/>
      <c r="N244" s="1521" t="s">
        <v>95</v>
      </c>
      <c r="O244" s="443">
        <v>1</v>
      </c>
      <c r="P244" s="451"/>
      <c r="Q244" s="744"/>
      <c r="R244" s="1223"/>
      <c r="S244" s="1249">
        <f>+S243-G254</f>
        <v>0</v>
      </c>
      <c r="T244" s="1249">
        <f>+T243-H254</f>
        <v>0</v>
      </c>
      <c r="U244" s="1249">
        <f>+U243-K254</f>
        <v>0</v>
      </c>
    </row>
    <row r="245" spans="1:21" ht="52.5" customHeight="1" x14ac:dyDescent="0.25">
      <c r="A245" s="55"/>
      <c r="B245" s="53"/>
      <c r="C245" s="1499"/>
      <c r="D245" s="60" t="s">
        <v>113</v>
      </c>
      <c r="E245" s="850" t="s">
        <v>262</v>
      </c>
      <c r="F245" s="1142" t="s">
        <v>341</v>
      </c>
      <c r="G245" s="1454">
        <v>4</v>
      </c>
      <c r="H245" s="1280">
        <v>4</v>
      </c>
      <c r="I245" s="1280">
        <v>4</v>
      </c>
      <c r="J245" s="1347"/>
      <c r="K245" s="1280">
        <v>4</v>
      </c>
      <c r="L245" s="1280">
        <v>4</v>
      </c>
      <c r="M245" s="1167"/>
      <c r="N245" s="422" t="s">
        <v>95</v>
      </c>
      <c r="O245" s="539"/>
      <c r="P245" s="541"/>
      <c r="Q245" s="898">
        <v>1</v>
      </c>
      <c r="R245" s="1077"/>
    </row>
    <row r="246" spans="1:21" ht="26.9" customHeight="1" x14ac:dyDescent="0.25">
      <c r="A246" s="55"/>
      <c r="B246" s="53"/>
      <c r="C246" s="1499"/>
      <c r="D246" s="1636" t="s">
        <v>146</v>
      </c>
      <c r="E246" s="1494" t="s">
        <v>262</v>
      </c>
      <c r="F246" s="1131" t="s">
        <v>341</v>
      </c>
      <c r="G246" s="1439">
        <v>25</v>
      </c>
      <c r="H246" s="1135">
        <v>25</v>
      </c>
      <c r="I246" s="1135">
        <v>25</v>
      </c>
      <c r="J246" s="1113"/>
      <c r="K246" s="1135">
        <v>25</v>
      </c>
      <c r="L246" s="1135">
        <v>25</v>
      </c>
      <c r="M246" s="1246"/>
      <c r="N246" s="1495" t="s">
        <v>95</v>
      </c>
      <c r="O246" s="1666">
        <v>1</v>
      </c>
      <c r="P246" s="1668"/>
      <c r="Q246" s="1670">
        <v>1</v>
      </c>
      <c r="R246" s="1077"/>
    </row>
    <row r="247" spans="1:21" ht="26.9" customHeight="1" x14ac:dyDescent="0.25">
      <c r="A247" s="55"/>
      <c r="B247" s="53"/>
      <c r="C247" s="1499"/>
      <c r="D247" s="1638"/>
      <c r="E247" s="1510"/>
      <c r="F247" s="1133" t="s">
        <v>343</v>
      </c>
      <c r="G247" s="1211">
        <v>36.299999999999997</v>
      </c>
      <c r="H247" s="1212"/>
      <c r="I247" s="1212"/>
      <c r="J247" s="1130"/>
      <c r="K247" s="1212"/>
      <c r="L247" s="1212"/>
      <c r="M247" s="1247"/>
      <c r="N247" s="1507"/>
      <c r="O247" s="1667"/>
      <c r="P247" s="1669"/>
      <c r="Q247" s="1671"/>
      <c r="R247" s="1077"/>
    </row>
    <row r="248" spans="1:21" ht="66.650000000000006" customHeight="1" x14ac:dyDescent="0.25">
      <c r="A248" s="55"/>
      <c r="B248" s="53"/>
      <c r="C248" s="1499"/>
      <c r="D248" s="1492" t="s">
        <v>151</v>
      </c>
      <c r="E248" s="1073" t="s">
        <v>262</v>
      </c>
      <c r="F248" s="1171" t="s">
        <v>341</v>
      </c>
      <c r="G248" s="1456">
        <v>4</v>
      </c>
      <c r="H248" s="1174"/>
      <c r="I248" s="1174"/>
      <c r="J248" s="1328"/>
      <c r="K248" s="1174"/>
      <c r="L248" s="1174"/>
      <c r="M248" s="1305"/>
      <c r="N248" s="422" t="s">
        <v>95</v>
      </c>
      <c r="O248" s="539">
        <v>1</v>
      </c>
      <c r="P248" s="541"/>
      <c r="Q248" s="898"/>
      <c r="R248" s="1077"/>
    </row>
    <row r="249" spans="1:21" ht="67.400000000000006" customHeight="1" x14ac:dyDescent="0.25">
      <c r="A249" s="55"/>
      <c r="B249" s="53"/>
      <c r="C249" s="1499"/>
      <c r="D249" s="1492" t="s">
        <v>277</v>
      </c>
      <c r="E249" s="1510" t="s">
        <v>276</v>
      </c>
      <c r="F249" s="1133" t="s">
        <v>341</v>
      </c>
      <c r="G249" s="1211">
        <v>4</v>
      </c>
      <c r="H249" s="1212">
        <v>4</v>
      </c>
      <c r="I249" s="1212">
        <v>4</v>
      </c>
      <c r="J249" s="1145"/>
      <c r="K249" s="1143">
        <v>4</v>
      </c>
      <c r="L249" s="1137">
        <v>4</v>
      </c>
      <c r="M249" s="1145"/>
      <c r="N249" s="422" t="s">
        <v>95</v>
      </c>
      <c r="O249" s="442"/>
      <c r="P249" s="450"/>
      <c r="Q249" s="898">
        <v>1</v>
      </c>
      <c r="R249" s="1077"/>
    </row>
    <row r="250" spans="1:21" ht="52.5" customHeight="1" x14ac:dyDescent="0.25">
      <c r="A250" s="55"/>
      <c r="B250" s="53"/>
      <c r="C250" s="1499"/>
      <c r="D250" s="1492" t="s">
        <v>255</v>
      </c>
      <c r="E250" s="1074" t="s">
        <v>276</v>
      </c>
      <c r="F250" s="1171" t="s">
        <v>341</v>
      </c>
      <c r="G250" s="1456">
        <v>7.5</v>
      </c>
      <c r="H250" s="1174"/>
      <c r="I250" s="1174"/>
      <c r="J250" s="1328"/>
      <c r="K250" s="1174"/>
      <c r="L250" s="1174"/>
      <c r="M250" s="1305"/>
      <c r="N250" s="422" t="s">
        <v>95</v>
      </c>
      <c r="O250" s="539">
        <v>1</v>
      </c>
      <c r="P250" s="541"/>
      <c r="Q250" s="898"/>
      <c r="R250" s="1077"/>
    </row>
    <row r="251" spans="1:21" ht="52.5" customHeight="1" x14ac:dyDescent="0.25">
      <c r="A251" s="55"/>
      <c r="B251" s="53"/>
      <c r="C251" s="1499"/>
      <c r="D251" s="1492" t="s">
        <v>256</v>
      </c>
      <c r="E251" s="1510" t="s">
        <v>276</v>
      </c>
      <c r="F251" s="1133" t="s">
        <v>341</v>
      </c>
      <c r="G251" s="1211">
        <v>2.8</v>
      </c>
      <c r="H251" s="1212"/>
      <c r="I251" s="1212"/>
      <c r="J251" s="1130"/>
      <c r="K251" s="1274"/>
      <c r="L251" s="1274"/>
      <c r="M251" s="1137"/>
      <c r="N251" s="422" t="s">
        <v>95</v>
      </c>
      <c r="O251" s="442">
        <v>1</v>
      </c>
      <c r="P251" s="450"/>
      <c r="Q251" s="898"/>
      <c r="R251" s="1077"/>
    </row>
    <row r="252" spans="1:21" ht="52.5" customHeight="1" x14ac:dyDescent="0.25">
      <c r="A252" s="55"/>
      <c r="B252" s="53"/>
      <c r="C252" s="1499"/>
      <c r="D252" s="1492" t="s">
        <v>257</v>
      </c>
      <c r="E252" s="1074" t="s">
        <v>276</v>
      </c>
      <c r="F252" s="1171" t="s">
        <v>341</v>
      </c>
      <c r="G252" s="1456">
        <v>3</v>
      </c>
      <c r="H252" s="1174"/>
      <c r="I252" s="1174"/>
      <c r="J252" s="1328"/>
      <c r="K252" s="1174"/>
      <c r="L252" s="1174"/>
      <c r="M252" s="1305"/>
      <c r="N252" s="422" t="s">
        <v>95</v>
      </c>
      <c r="O252" s="539">
        <v>1</v>
      </c>
      <c r="P252" s="541"/>
      <c r="Q252" s="898"/>
      <c r="R252" s="1077"/>
    </row>
    <row r="253" spans="1:21" ht="52.5" customHeight="1" x14ac:dyDescent="0.25">
      <c r="A253" s="55"/>
      <c r="B253" s="53"/>
      <c r="C253" s="1499"/>
      <c r="D253" s="1492" t="s">
        <v>335</v>
      </c>
      <c r="E253" s="1074" t="s">
        <v>276</v>
      </c>
      <c r="F253" s="1171" t="s">
        <v>341</v>
      </c>
      <c r="G253" s="1457"/>
      <c r="H253" s="1349"/>
      <c r="I253" s="1349"/>
      <c r="J253" s="1328"/>
      <c r="K253" s="1177">
        <v>30</v>
      </c>
      <c r="L253" s="1173">
        <v>30</v>
      </c>
      <c r="M253" s="1328"/>
      <c r="N253" s="422" t="s">
        <v>95</v>
      </c>
      <c r="O253" s="441"/>
      <c r="P253" s="449"/>
      <c r="Q253" s="898">
        <v>1</v>
      </c>
      <c r="R253" s="1077"/>
    </row>
    <row r="254" spans="1:21" ht="16.5" customHeight="1" thickBot="1" x14ac:dyDescent="0.3">
      <c r="A254" s="90"/>
      <c r="B254" s="54"/>
      <c r="C254" s="221"/>
      <c r="D254" s="224"/>
      <c r="E254" s="862"/>
      <c r="F254" s="16" t="s">
        <v>4</v>
      </c>
      <c r="G254" s="210">
        <f t="shared" ref="G254:M254" si="18">+G241+G242</f>
        <v>94.6</v>
      </c>
      <c r="H254" s="1136">
        <f t="shared" si="18"/>
        <v>37</v>
      </c>
      <c r="I254" s="1136">
        <f t="shared" si="18"/>
        <v>37</v>
      </c>
      <c r="J254" s="335">
        <f t="shared" si="18"/>
        <v>0</v>
      </c>
      <c r="K254" s="1136">
        <f t="shared" si="18"/>
        <v>67</v>
      </c>
      <c r="L254" s="1136">
        <f t="shared" si="18"/>
        <v>67</v>
      </c>
      <c r="M254" s="1136">
        <f t="shared" si="18"/>
        <v>0</v>
      </c>
      <c r="N254" s="1495"/>
      <c r="O254" s="441"/>
      <c r="P254" s="449"/>
      <c r="Q254" s="1354"/>
      <c r="R254" s="1077"/>
    </row>
    <row r="255" spans="1:21" ht="15.65" customHeight="1" thickBot="1" x14ac:dyDescent="0.3">
      <c r="A255" s="20" t="s">
        <v>3</v>
      </c>
      <c r="B255" s="4" t="s">
        <v>24</v>
      </c>
      <c r="C255" s="1672" t="s">
        <v>6</v>
      </c>
      <c r="D255" s="1673"/>
      <c r="E255" s="1673"/>
      <c r="F255" s="1674"/>
      <c r="G255" s="211">
        <f t="shared" ref="G255:M255" si="19">G254+G240</f>
        <v>4456.3</v>
      </c>
      <c r="H255" s="1282">
        <f t="shared" si="19"/>
        <v>1672</v>
      </c>
      <c r="I255" s="1282">
        <f t="shared" si="19"/>
        <v>1672</v>
      </c>
      <c r="J255" s="300">
        <f t="shared" si="19"/>
        <v>0</v>
      </c>
      <c r="K255" s="339">
        <f t="shared" si="19"/>
        <v>1707</v>
      </c>
      <c r="L255" s="1282">
        <f t="shared" si="19"/>
        <v>1707</v>
      </c>
      <c r="M255" s="1282">
        <f t="shared" si="19"/>
        <v>0</v>
      </c>
      <c r="N255" s="1675"/>
      <c r="O255" s="1676"/>
      <c r="P255" s="1676"/>
      <c r="Q255" s="1677"/>
      <c r="R255" s="1077"/>
    </row>
    <row r="256" spans="1:21" ht="15.65" customHeight="1" thickBot="1" x14ac:dyDescent="0.3">
      <c r="A256" s="20" t="s">
        <v>3</v>
      </c>
      <c r="B256" s="4" t="s">
        <v>31</v>
      </c>
      <c r="C256" s="1587" t="s">
        <v>40</v>
      </c>
      <c r="D256" s="1588"/>
      <c r="E256" s="1588"/>
      <c r="F256" s="1588"/>
      <c r="G256" s="1458"/>
      <c r="H256" s="1488"/>
      <c r="I256" s="1488"/>
      <c r="J256" s="1488"/>
      <c r="K256" s="1488"/>
      <c r="L256" s="1488"/>
      <c r="M256" s="1488"/>
      <c r="N256" s="1801"/>
      <c r="O256" s="1802"/>
      <c r="P256" s="1802"/>
      <c r="Q256" s="1803"/>
      <c r="R256" s="1077"/>
    </row>
    <row r="257" spans="1:21" ht="15.65" customHeight="1" x14ac:dyDescent="0.25">
      <c r="A257" s="22" t="s">
        <v>3</v>
      </c>
      <c r="B257" s="50" t="s">
        <v>31</v>
      </c>
      <c r="C257" s="65" t="s">
        <v>3</v>
      </c>
      <c r="D257" s="1591" t="s">
        <v>164</v>
      </c>
      <c r="E257" s="1509"/>
      <c r="F257" s="795" t="s">
        <v>22</v>
      </c>
      <c r="G257" s="308">
        <v>300</v>
      </c>
      <c r="H257" s="1272">
        <v>300</v>
      </c>
      <c r="I257" s="1272">
        <v>300</v>
      </c>
      <c r="J257" s="1341"/>
      <c r="K257" s="1272">
        <v>260</v>
      </c>
      <c r="L257" s="1272">
        <v>260</v>
      </c>
      <c r="M257" s="132"/>
      <c r="N257" s="1511"/>
      <c r="O257" s="542"/>
      <c r="P257" s="545"/>
      <c r="Q257" s="126"/>
      <c r="R257" s="1223" t="s">
        <v>22</v>
      </c>
      <c r="S257" s="1249">
        <f>+G261+G263+G267</f>
        <v>300</v>
      </c>
      <c r="T257" s="1249">
        <f>+H261+H263+H267</f>
        <v>300</v>
      </c>
      <c r="U257" s="1249">
        <f>+K261+K263+K267</f>
        <v>260</v>
      </c>
    </row>
    <row r="258" spans="1:21" ht="15.65" customHeight="1" x14ac:dyDescent="0.25">
      <c r="A258" s="81"/>
      <c r="B258" s="53"/>
      <c r="C258" s="82"/>
      <c r="D258" s="1592"/>
      <c r="E258" s="1494"/>
      <c r="F258" s="196" t="s">
        <v>203</v>
      </c>
      <c r="G258" s="170">
        <v>400</v>
      </c>
      <c r="H258" s="153">
        <v>400</v>
      </c>
      <c r="I258" s="153">
        <v>400</v>
      </c>
      <c r="J258" s="743"/>
      <c r="K258" s="153">
        <v>400</v>
      </c>
      <c r="L258" s="153">
        <v>400</v>
      </c>
      <c r="M258" s="39"/>
      <c r="N258" s="1521"/>
      <c r="O258" s="443"/>
      <c r="P258" s="451"/>
      <c r="Q258" s="87"/>
      <c r="R258" s="1223" t="s">
        <v>203</v>
      </c>
      <c r="S258" s="1249">
        <f>+G268</f>
        <v>400</v>
      </c>
      <c r="T258" s="1249">
        <f>+H268</f>
        <v>400</v>
      </c>
      <c r="U258" s="1249">
        <f>+K268</f>
        <v>400</v>
      </c>
    </row>
    <row r="259" spans="1:21" ht="15.65" customHeight="1" x14ac:dyDescent="0.25">
      <c r="A259" s="81"/>
      <c r="B259" s="53"/>
      <c r="C259" s="82"/>
      <c r="D259" s="1592"/>
      <c r="E259" s="1494"/>
      <c r="F259" s="1105" t="s">
        <v>48</v>
      </c>
      <c r="G259" s="170">
        <v>65.8</v>
      </c>
      <c r="H259" s="153"/>
      <c r="I259" s="153"/>
      <c r="J259" s="743"/>
      <c r="K259" s="153"/>
      <c r="L259" s="153"/>
      <c r="M259" s="39"/>
      <c r="N259" s="1521"/>
      <c r="O259" s="443"/>
      <c r="P259" s="451"/>
      <c r="Q259" s="87"/>
      <c r="R259" s="1223" t="s">
        <v>48</v>
      </c>
      <c r="S259" s="1252">
        <f>+G262+G264+G265</f>
        <v>65.8</v>
      </c>
      <c r="T259" s="1252">
        <f>+H262+H264+H265</f>
        <v>0</v>
      </c>
      <c r="U259" s="1252">
        <f>+K262+K264+K265</f>
        <v>0</v>
      </c>
    </row>
    <row r="260" spans="1:21" ht="15.65" customHeight="1" x14ac:dyDescent="0.25">
      <c r="A260" s="81"/>
      <c r="B260" s="53"/>
      <c r="C260" s="82"/>
      <c r="D260" s="1593"/>
      <c r="E260" s="1510"/>
      <c r="F260" s="869" t="s">
        <v>314</v>
      </c>
      <c r="G260" s="40">
        <v>594.79999999999995</v>
      </c>
      <c r="H260" s="164"/>
      <c r="I260" s="164"/>
      <c r="J260" s="741"/>
      <c r="K260" s="164"/>
      <c r="L260" s="164"/>
      <c r="M260" s="38"/>
      <c r="N260" s="1507"/>
      <c r="O260" s="442"/>
      <c r="P260" s="450"/>
      <c r="Q260" s="93"/>
      <c r="R260" s="1223" t="s">
        <v>314</v>
      </c>
      <c r="S260" s="1249">
        <f>+G269</f>
        <v>594.79999999999995</v>
      </c>
      <c r="T260" s="1249">
        <f>+H269</f>
        <v>0</v>
      </c>
      <c r="U260" s="1249">
        <f>+K269</f>
        <v>0</v>
      </c>
    </row>
    <row r="261" spans="1:21" s="27" customFormat="1" ht="20.9" customHeight="1" x14ac:dyDescent="0.25">
      <c r="A261" s="1621"/>
      <c r="B261" s="1623"/>
      <c r="C261" s="1625"/>
      <c r="D261" s="1627" t="s">
        <v>116</v>
      </c>
      <c r="E261" s="289" t="s">
        <v>262</v>
      </c>
      <c r="F261" s="1178" t="s">
        <v>341</v>
      </c>
      <c r="G261" s="1459">
        <v>290</v>
      </c>
      <c r="H261" s="1283">
        <v>290</v>
      </c>
      <c r="I261" s="1283">
        <v>290</v>
      </c>
      <c r="J261" s="1350"/>
      <c r="K261" s="1181">
        <v>50</v>
      </c>
      <c r="L261" s="1181">
        <v>50</v>
      </c>
      <c r="M261" s="1193"/>
      <c r="N261" s="897" t="s">
        <v>115</v>
      </c>
      <c r="O261" s="863">
        <f>285+230</f>
        <v>515</v>
      </c>
      <c r="P261" s="900">
        <v>285</v>
      </c>
      <c r="Q261" s="163">
        <v>250</v>
      </c>
      <c r="R261" s="1479"/>
      <c r="S261" s="1249">
        <f>+S257+S258+S259+S260</f>
        <v>1360.6</v>
      </c>
      <c r="T261" s="1249">
        <f t="shared" ref="T261:U261" si="20">+T257+T258+T259+T260</f>
        <v>700</v>
      </c>
      <c r="U261" s="1249">
        <f t="shared" si="20"/>
        <v>660</v>
      </c>
    </row>
    <row r="262" spans="1:21" s="27" customFormat="1" ht="19.399999999999999" customHeight="1" x14ac:dyDescent="0.25">
      <c r="A262" s="1622"/>
      <c r="B262" s="1624"/>
      <c r="C262" s="1626"/>
      <c r="D262" s="1628"/>
      <c r="E262" s="1510" t="s">
        <v>178</v>
      </c>
      <c r="F262" s="1182" t="s">
        <v>343</v>
      </c>
      <c r="G262" s="1460">
        <v>39.299999999999997</v>
      </c>
      <c r="H262" s="1284"/>
      <c r="I262" s="1284"/>
      <c r="J262" s="1185"/>
      <c r="K262" s="1284"/>
      <c r="L262" s="1284"/>
      <c r="M262" s="1306"/>
      <c r="N262" s="894"/>
      <c r="O262" s="543"/>
      <c r="P262" s="546"/>
      <c r="Q262" s="423"/>
      <c r="R262" s="1479"/>
      <c r="S262" s="1249">
        <f>+S261-G270</f>
        <v>0</v>
      </c>
      <c r="T262" s="1249">
        <f>+T261-H270</f>
        <v>0</v>
      </c>
      <c r="U262" s="1249">
        <f>+U261-K270</f>
        <v>0</v>
      </c>
    </row>
    <row r="263" spans="1:21" ht="17.25" customHeight="1" x14ac:dyDescent="0.25">
      <c r="A263" s="1497"/>
      <c r="B263" s="1498"/>
      <c r="C263" s="63"/>
      <c r="D263" s="1655" t="s">
        <v>336</v>
      </c>
      <c r="E263" s="1493" t="s">
        <v>262</v>
      </c>
      <c r="F263" s="1186" t="s">
        <v>341</v>
      </c>
      <c r="G263" s="1459">
        <v>10</v>
      </c>
      <c r="H263" s="1283">
        <v>10</v>
      </c>
      <c r="I263" s="1283">
        <v>10</v>
      </c>
      <c r="J263" s="1196"/>
      <c r="K263" s="1283">
        <v>10</v>
      </c>
      <c r="L263" s="1283">
        <v>10</v>
      </c>
      <c r="M263" s="1187"/>
      <c r="N263" s="1664" t="s">
        <v>150</v>
      </c>
      <c r="O263" s="544">
        <v>12</v>
      </c>
      <c r="P263" s="547">
        <v>10</v>
      </c>
      <c r="Q263" s="127">
        <v>10</v>
      </c>
      <c r="R263" s="1077"/>
    </row>
    <row r="264" spans="1:21" ht="37.5" customHeight="1" x14ac:dyDescent="0.25">
      <c r="A264" s="18"/>
      <c r="B264" s="1498"/>
      <c r="C264" s="64"/>
      <c r="D264" s="1656"/>
      <c r="E264" s="1510" t="s">
        <v>178</v>
      </c>
      <c r="F264" s="1182" t="s">
        <v>343</v>
      </c>
      <c r="G264" s="1461">
        <v>0.6</v>
      </c>
      <c r="H264" s="1285"/>
      <c r="I264" s="1285"/>
      <c r="J264" s="1190"/>
      <c r="K264" s="1285"/>
      <c r="L264" s="1285"/>
      <c r="M264" s="1307"/>
      <c r="N264" s="1665"/>
      <c r="O264" s="544"/>
      <c r="P264" s="547"/>
      <c r="Q264" s="127"/>
      <c r="R264" s="1077"/>
    </row>
    <row r="265" spans="1:21" ht="15.65" customHeight="1" x14ac:dyDescent="0.25">
      <c r="A265" s="1497"/>
      <c r="B265" s="1498"/>
      <c r="C265" s="63"/>
      <c r="D265" s="1586" t="s">
        <v>84</v>
      </c>
      <c r="E265" s="1494" t="s">
        <v>178</v>
      </c>
      <c r="F265" s="1186" t="s">
        <v>343</v>
      </c>
      <c r="G265" s="1462">
        <v>25.9</v>
      </c>
      <c r="H265" s="1181"/>
      <c r="I265" s="1181"/>
      <c r="J265" s="1350"/>
      <c r="K265" s="1181"/>
      <c r="L265" s="1181"/>
      <c r="M265" s="1193"/>
      <c r="N265" s="1504" t="s">
        <v>71</v>
      </c>
      <c r="O265" s="441">
        <v>1</v>
      </c>
      <c r="P265" s="449"/>
      <c r="Q265" s="89"/>
      <c r="R265" s="1077"/>
    </row>
    <row r="266" spans="1:21" ht="15.65" customHeight="1" x14ac:dyDescent="0.25">
      <c r="A266" s="18"/>
      <c r="B266" s="1498"/>
      <c r="C266" s="64"/>
      <c r="D266" s="1586"/>
      <c r="E266" s="1494" t="s">
        <v>42</v>
      </c>
      <c r="F266" s="1194"/>
      <c r="G266" s="1462"/>
      <c r="H266" s="1181"/>
      <c r="I266" s="1181"/>
      <c r="J266" s="1350"/>
      <c r="K266" s="1181"/>
      <c r="L266" s="1181"/>
      <c r="M266" s="1193"/>
      <c r="N266" s="1505"/>
      <c r="O266" s="443"/>
      <c r="P266" s="451"/>
      <c r="Q266" s="87"/>
      <c r="R266" s="1077"/>
    </row>
    <row r="267" spans="1:21" ht="15.65" customHeight="1" x14ac:dyDescent="0.25">
      <c r="A267" s="18"/>
      <c r="B267" s="1498"/>
      <c r="C267" s="64"/>
      <c r="D267" s="1586"/>
      <c r="E267" s="1494" t="s">
        <v>262</v>
      </c>
      <c r="F267" s="1195" t="s">
        <v>341</v>
      </c>
      <c r="G267" s="1460"/>
      <c r="H267" s="1284"/>
      <c r="I267" s="1284"/>
      <c r="J267" s="1185"/>
      <c r="K267" s="1284">
        <v>200</v>
      </c>
      <c r="L267" s="1284">
        <v>200</v>
      </c>
      <c r="M267" s="1308"/>
      <c r="N267" s="396" t="s">
        <v>289</v>
      </c>
      <c r="O267" s="527"/>
      <c r="P267" s="534"/>
      <c r="Q267" s="204">
        <v>15</v>
      </c>
      <c r="R267" s="1077"/>
    </row>
    <row r="268" spans="1:21" ht="28.4" customHeight="1" x14ac:dyDescent="0.25">
      <c r="A268" s="1497"/>
      <c r="B268" s="1498"/>
      <c r="C268" s="63"/>
      <c r="D268" s="1655" t="s">
        <v>204</v>
      </c>
      <c r="E268" s="1493" t="s">
        <v>262</v>
      </c>
      <c r="F268" s="1186" t="s">
        <v>344</v>
      </c>
      <c r="G268" s="1459">
        <v>400</v>
      </c>
      <c r="H268" s="1283">
        <v>400</v>
      </c>
      <c r="I268" s="1283">
        <v>400</v>
      </c>
      <c r="J268" s="1196"/>
      <c r="K268" s="1283">
        <v>400</v>
      </c>
      <c r="L268" s="1283">
        <v>400</v>
      </c>
      <c r="M268" s="1306"/>
      <c r="N268" s="1505" t="s">
        <v>205</v>
      </c>
      <c r="O268" s="443">
        <v>100</v>
      </c>
      <c r="P268" s="451">
        <v>100</v>
      </c>
      <c r="Q268" s="87">
        <v>100</v>
      </c>
      <c r="R268" s="1077"/>
    </row>
    <row r="269" spans="1:21" ht="43.5" customHeight="1" x14ac:dyDescent="0.25">
      <c r="A269" s="18"/>
      <c r="B269" s="1498"/>
      <c r="C269" s="1506"/>
      <c r="D269" s="1586"/>
      <c r="E269" s="1494"/>
      <c r="F269" s="1195" t="s">
        <v>345</v>
      </c>
      <c r="G269" s="1460">
        <v>594.79999999999995</v>
      </c>
      <c r="H269" s="1284"/>
      <c r="I269" s="1284"/>
      <c r="J269" s="1185"/>
      <c r="K269" s="1284"/>
      <c r="L269" s="1284"/>
      <c r="M269" s="1197"/>
      <c r="N269" s="367"/>
      <c r="O269" s="442"/>
      <c r="P269" s="450"/>
      <c r="Q269" s="93"/>
      <c r="R269" s="1077"/>
    </row>
    <row r="270" spans="1:21" ht="15" customHeight="1" thickBot="1" x14ac:dyDescent="0.3">
      <c r="A270" s="90" t="s">
        <v>3</v>
      </c>
      <c r="B270" s="54" t="s">
        <v>31</v>
      </c>
      <c r="C270" s="1603" t="s">
        <v>6</v>
      </c>
      <c r="D270" s="1604"/>
      <c r="E270" s="1604"/>
      <c r="F270" s="1605"/>
      <c r="G270" s="312">
        <f t="shared" ref="G270:M270" si="21">+G257+G258+G259+G260</f>
        <v>1360.6</v>
      </c>
      <c r="H270" s="1286">
        <f t="shared" si="21"/>
        <v>700</v>
      </c>
      <c r="I270" s="1286">
        <f t="shared" si="21"/>
        <v>700</v>
      </c>
      <c r="J270" s="1428">
        <f t="shared" si="21"/>
        <v>0</v>
      </c>
      <c r="K270" s="351">
        <f t="shared" si="21"/>
        <v>660</v>
      </c>
      <c r="L270" s="1286">
        <f t="shared" si="21"/>
        <v>660</v>
      </c>
      <c r="M270" s="1286">
        <f t="shared" si="21"/>
        <v>0</v>
      </c>
      <c r="N270" s="1606"/>
      <c r="O270" s="1607"/>
      <c r="P270" s="1607"/>
      <c r="Q270" s="1608"/>
      <c r="R270" s="1077"/>
    </row>
    <row r="271" spans="1:21" ht="15" customHeight="1" thickBot="1" x14ac:dyDescent="0.3">
      <c r="A271" s="21" t="s">
        <v>3</v>
      </c>
      <c r="B271" s="1609" t="s">
        <v>7</v>
      </c>
      <c r="C271" s="1610"/>
      <c r="D271" s="1610"/>
      <c r="E271" s="1610"/>
      <c r="F271" s="1611"/>
      <c r="G271" s="313">
        <f t="shared" ref="G271:M271" si="22">G270+G255+G212+G188</f>
        <v>20391.099999999999</v>
      </c>
      <c r="H271" s="1287">
        <f t="shared" si="22"/>
        <v>19668.099999999999</v>
      </c>
      <c r="I271" s="1413">
        <f t="shared" si="22"/>
        <v>19268.099999999999</v>
      </c>
      <c r="J271" s="1413">
        <f t="shared" si="22"/>
        <v>-400</v>
      </c>
      <c r="K271" s="1471">
        <f t="shared" si="22"/>
        <v>22724.5</v>
      </c>
      <c r="L271" s="1472">
        <f t="shared" si="22"/>
        <v>22324.5</v>
      </c>
      <c r="M271" s="1413">
        <f t="shared" si="22"/>
        <v>-400</v>
      </c>
      <c r="N271" s="1612"/>
      <c r="O271" s="1613"/>
      <c r="P271" s="1613"/>
      <c r="Q271" s="1614"/>
      <c r="R271" s="1077"/>
    </row>
    <row r="272" spans="1:21" ht="15" customHeight="1" thickBot="1" x14ac:dyDescent="0.3">
      <c r="A272" s="15" t="s">
        <v>33</v>
      </c>
      <c r="B272" s="1615" t="s">
        <v>46</v>
      </c>
      <c r="C272" s="1616"/>
      <c r="D272" s="1616"/>
      <c r="E272" s="1616"/>
      <c r="F272" s="1617"/>
      <c r="G272" s="1463">
        <f t="shared" ref="G272:K272" si="23">SUM(G271)</f>
        <v>20391.099999999999</v>
      </c>
      <c r="H272" s="1288">
        <f t="shared" si="23"/>
        <v>19668.099999999999</v>
      </c>
      <c r="I272" s="1414">
        <f t="shared" ref="I272:J272" si="24">SUM(I271)</f>
        <v>19268.099999999999</v>
      </c>
      <c r="J272" s="1414">
        <f t="shared" si="24"/>
        <v>-400</v>
      </c>
      <c r="K272" s="353">
        <f t="shared" si="23"/>
        <v>22724.5</v>
      </c>
      <c r="L272" s="1415">
        <f t="shared" ref="L272:M272" si="25">SUM(L271)</f>
        <v>22324.5</v>
      </c>
      <c r="M272" s="1473">
        <f t="shared" si="25"/>
        <v>-400</v>
      </c>
      <c r="N272" s="1618"/>
      <c r="O272" s="1619"/>
      <c r="P272" s="1619"/>
      <c r="Q272" s="1620"/>
      <c r="R272" s="1077"/>
    </row>
    <row r="273" spans="1:41" s="6" customFormat="1" ht="14.9" customHeight="1" x14ac:dyDescent="0.25">
      <c r="A273" s="1651" t="s">
        <v>356</v>
      </c>
      <c r="B273" s="1651"/>
      <c r="C273" s="1651"/>
      <c r="D273" s="1651"/>
      <c r="E273" s="1651"/>
      <c r="F273" s="1651"/>
      <c r="G273" s="1651"/>
      <c r="H273" s="1651"/>
      <c r="I273" s="1651"/>
      <c r="J273" s="1651"/>
      <c r="K273" s="1651"/>
      <c r="L273" s="1651"/>
      <c r="M273" s="1651"/>
      <c r="N273" s="1651"/>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row>
    <row r="274" spans="1:41" s="5" customFormat="1" ht="14.9" customHeight="1" x14ac:dyDescent="0.25">
      <c r="A274" s="73"/>
      <c r="B274" s="80"/>
      <c r="C274" s="80"/>
      <c r="D274" s="80"/>
      <c r="E274" s="80"/>
      <c r="F274" s="80"/>
      <c r="G274" s="159"/>
      <c r="H274" s="159"/>
      <c r="I274" s="159"/>
      <c r="J274" s="159"/>
      <c r="K274" s="159"/>
      <c r="L274" s="159"/>
      <c r="M274" s="159"/>
      <c r="N274" s="80"/>
      <c r="O274" s="123"/>
      <c r="P274" s="123"/>
      <c r="Q274" s="123"/>
      <c r="R274" s="2"/>
      <c r="S274" s="2"/>
      <c r="T274" s="2"/>
      <c r="U274" s="2"/>
      <c r="V274" s="2"/>
      <c r="W274" s="2"/>
      <c r="X274" s="2"/>
    </row>
    <row r="275" spans="1:41" s="6" customFormat="1" ht="16.399999999999999" customHeight="1" thickBot="1" x14ac:dyDescent="0.3">
      <c r="A275" s="1629" t="s">
        <v>11</v>
      </c>
      <c r="B275" s="1629"/>
      <c r="C275" s="1629"/>
      <c r="D275" s="1629"/>
      <c r="E275" s="1629"/>
      <c r="F275" s="1629"/>
      <c r="G275" s="1629"/>
      <c r="H275" s="1629"/>
      <c r="I275" s="1629"/>
      <c r="J275" s="1629"/>
      <c r="K275" s="1629"/>
      <c r="L275" s="301"/>
      <c r="M275" s="301"/>
      <c r="N275" s="12"/>
      <c r="O275" s="135"/>
      <c r="P275" s="135"/>
      <c r="Q275" s="135"/>
      <c r="R275" s="2"/>
      <c r="S275" s="2"/>
      <c r="T275" s="2"/>
      <c r="U275" s="2"/>
      <c r="V275" s="2"/>
      <c r="W275" s="2"/>
      <c r="X275" s="2"/>
    </row>
    <row r="276" spans="1:41" ht="90.65" customHeight="1" thickBot="1" x14ac:dyDescent="0.3">
      <c r="A276" s="1652" t="s">
        <v>8</v>
      </c>
      <c r="B276" s="1653"/>
      <c r="C276" s="1653"/>
      <c r="D276" s="1653"/>
      <c r="E276" s="1653"/>
      <c r="F276" s="1654"/>
      <c r="G276" s="1464" t="s">
        <v>224</v>
      </c>
      <c r="H276" s="1298" t="s">
        <v>318</v>
      </c>
      <c r="I276" s="555" t="s">
        <v>359</v>
      </c>
      <c r="J276" s="1393" t="s">
        <v>358</v>
      </c>
      <c r="K276" s="554" t="s">
        <v>225</v>
      </c>
      <c r="L276" s="554" t="s">
        <v>362</v>
      </c>
      <c r="M276" s="556" t="s">
        <v>358</v>
      </c>
      <c r="N276" s="1"/>
      <c r="O276" s="1"/>
      <c r="P276" s="1"/>
      <c r="Q276" s="1"/>
    </row>
    <row r="277" spans="1:41" ht="14.25" customHeight="1" x14ac:dyDescent="0.25">
      <c r="A277" s="1597" t="s">
        <v>357</v>
      </c>
      <c r="B277" s="1598"/>
      <c r="C277" s="1598"/>
      <c r="D277" s="1598"/>
      <c r="E277" s="1598"/>
      <c r="F277" s="1599"/>
      <c r="G277" s="71">
        <f t="shared" ref="G277:M277" si="26">G278+G289+G290+G291+G292+G293+G294+G288</f>
        <v>20368.2</v>
      </c>
      <c r="H277" s="1289">
        <f t="shared" si="26"/>
        <v>19192.099999999999</v>
      </c>
      <c r="I277" s="1289">
        <f t="shared" si="26"/>
        <v>18792.099999999999</v>
      </c>
      <c r="J277" s="1417">
        <f t="shared" si="26"/>
        <v>-400</v>
      </c>
      <c r="K277" s="572">
        <f t="shared" si="26"/>
        <v>19879.5</v>
      </c>
      <c r="L277" s="572">
        <f t="shared" si="26"/>
        <v>19479.5</v>
      </c>
      <c r="M277" s="1422">
        <f t="shared" si="26"/>
        <v>-400</v>
      </c>
    </row>
    <row r="278" spans="1:41" ht="14.25" customHeight="1" x14ac:dyDescent="0.25">
      <c r="A278" s="1600" t="s">
        <v>65</v>
      </c>
      <c r="B278" s="1601"/>
      <c r="C278" s="1601"/>
      <c r="D278" s="1601"/>
      <c r="E278" s="1601"/>
      <c r="F278" s="1602"/>
      <c r="G278" s="35">
        <f t="shared" ref="G278:M278" si="27">SUM(G279:G287)</f>
        <v>14249.1</v>
      </c>
      <c r="H278" s="1290">
        <f t="shared" si="27"/>
        <v>19192.099999999999</v>
      </c>
      <c r="I278" s="1290">
        <f t="shared" si="27"/>
        <v>18792.099999999999</v>
      </c>
      <c r="J278" s="1418">
        <f t="shared" si="27"/>
        <v>-400</v>
      </c>
      <c r="K278" s="1421">
        <f t="shared" si="27"/>
        <v>19879.5</v>
      </c>
      <c r="L278" s="1421">
        <f t="shared" si="27"/>
        <v>19479.5</v>
      </c>
      <c r="M278" s="1423">
        <f t="shared" si="27"/>
        <v>-400</v>
      </c>
      <c r="N278" s="61"/>
    </row>
    <row r="279" spans="1:41" ht="14.25" customHeight="1" x14ac:dyDescent="0.25">
      <c r="A279" s="1648" t="s">
        <v>16</v>
      </c>
      <c r="B279" s="1649"/>
      <c r="C279" s="1649"/>
      <c r="D279" s="1649"/>
      <c r="E279" s="1649"/>
      <c r="F279" s="1650"/>
      <c r="G279" s="40">
        <f>SUMIF(F16:F272,"SB",G16:G272)</f>
        <v>12438</v>
      </c>
      <c r="H279" s="164">
        <f>SUMIF(F16:F272,"SB",H16:H272)</f>
        <v>15791.5</v>
      </c>
      <c r="I279" s="164">
        <f>SUMIF(F16:F272,"SB",I16:I272)</f>
        <v>15391.5</v>
      </c>
      <c r="J279" s="1409">
        <f>SUMIF(F16:F272,"SB",J16:J272)</f>
        <v>-400</v>
      </c>
      <c r="K279" s="1416">
        <f>SUMIF(F16:F272,"SB",K16:K272)</f>
        <v>19443.8</v>
      </c>
      <c r="L279" s="1416">
        <f>SUMIF(F16:F272,"SB",L16:L272)</f>
        <v>19043.8</v>
      </c>
      <c r="M279" s="1419">
        <f>SUMIF(F16:F272,"SB",M16:M272)</f>
        <v>-400</v>
      </c>
      <c r="N279" s="9"/>
      <c r="O279" s="160"/>
      <c r="P279" s="160"/>
      <c r="Q279" s="160"/>
    </row>
    <row r="280" spans="1:41" ht="27.65" customHeight="1" x14ac:dyDescent="0.25">
      <c r="A280" s="1630" t="s">
        <v>17</v>
      </c>
      <c r="B280" s="1631"/>
      <c r="C280" s="1631"/>
      <c r="D280" s="1631"/>
      <c r="E280" s="1631"/>
      <c r="F280" s="1632"/>
      <c r="G280" s="44">
        <f>SUMIF(F16:F272,"SB(SP)",G16:G272)</f>
        <v>35.700000000000003</v>
      </c>
      <c r="H280" s="1291">
        <f>SUMIF(F16:F272,"SB(SP)",H16:H272)</f>
        <v>35.700000000000003</v>
      </c>
      <c r="I280" s="1291">
        <f>SUMIF(F16:F272,"SB(SP)",I16:I272)</f>
        <v>35.700000000000003</v>
      </c>
      <c r="J280" s="1388"/>
      <c r="K280" s="565">
        <f>SUMIF(F16:F272,"SB(SP)",K16:K272)</f>
        <v>35.700000000000003</v>
      </c>
      <c r="L280" s="565">
        <f>SUMIF(F16:F272,"SB(SP)",L16:L272)</f>
        <v>35.700000000000003</v>
      </c>
      <c r="M280" s="1394"/>
      <c r="N280" s="13"/>
    </row>
    <row r="281" spans="1:41" ht="14.25" customHeight="1" x14ac:dyDescent="0.25">
      <c r="A281" s="1645" t="s">
        <v>206</v>
      </c>
      <c r="B281" s="1646"/>
      <c r="C281" s="1646"/>
      <c r="D281" s="1646"/>
      <c r="E281" s="1646"/>
      <c r="F281" s="1647"/>
      <c r="G281" s="40">
        <f>SUMIF(F16:F272,"SB(SPI)",G16:G272)</f>
        <v>400</v>
      </c>
      <c r="H281" s="164">
        <f>SUMIF(F16:F272,"SB(SPI)",H16:H272)</f>
        <v>400</v>
      </c>
      <c r="I281" s="164">
        <f>SUMIF(F16:F272,"SB(SPI)",I16:I272)</f>
        <v>400</v>
      </c>
      <c r="J281" s="741"/>
      <c r="K281" s="316">
        <f>SUMIF(F16:F272,"SB(SPI)",K16:K272)</f>
        <v>400</v>
      </c>
      <c r="L281" s="316">
        <f>SUMIF(F16:F272,"SB(SPI)",L16:L272)</f>
        <v>400</v>
      </c>
      <c r="M281" s="596"/>
      <c r="N281" s="13"/>
    </row>
    <row r="282" spans="1:41" ht="12.75" customHeight="1" x14ac:dyDescent="0.25">
      <c r="A282" s="1630" t="s">
        <v>54</v>
      </c>
      <c r="B282" s="1631"/>
      <c r="C282" s="1631"/>
      <c r="D282" s="1631"/>
      <c r="E282" s="1631"/>
      <c r="F282" s="1632"/>
      <c r="G282" s="44">
        <f>SUMIF(F16:F272,"SB(VR)",G16:G272)</f>
        <v>0</v>
      </c>
      <c r="H282" s="1291">
        <f>SUMIF(F16:F272,"SB(VR)",H16:H272)</f>
        <v>0</v>
      </c>
      <c r="I282" s="1291">
        <f>SUMIF(F16:F272,"SB(VR)",I16:I272)</f>
        <v>0</v>
      </c>
      <c r="J282" s="1388"/>
      <c r="K282" s="565">
        <f>SUMIF(F16:F272,"SB(VR)",K16:K272)</f>
        <v>0</v>
      </c>
      <c r="L282" s="565">
        <f>SUMIF(F16:F272,"SB(VR)",L16:L272)</f>
        <v>0</v>
      </c>
      <c r="M282" s="1397"/>
      <c r="N282" s="11"/>
    </row>
    <row r="283" spans="1:41" x14ac:dyDescent="0.25">
      <c r="A283" s="1630" t="s">
        <v>18</v>
      </c>
      <c r="B283" s="1631"/>
      <c r="C283" s="1631"/>
      <c r="D283" s="1631"/>
      <c r="E283" s="1631"/>
      <c r="F283" s="1632"/>
      <c r="G283" s="44">
        <f>SUMIF(F16:F272,"SB(P)",G16:G272)</f>
        <v>0</v>
      </c>
      <c r="H283" s="1291">
        <f>SUMIF(F16:F272,"SB(P)",H16:H272)</f>
        <v>2964.9</v>
      </c>
      <c r="I283" s="1291">
        <f>SUMIF(F16:F272,"SB(P)",I16:I272)</f>
        <v>2964.9</v>
      </c>
      <c r="J283" s="1388"/>
      <c r="K283" s="565">
        <f>SUMIF(F16:F272,"SB(P)",K16:K272)</f>
        <v>0</v>
      </c>
      <c r="L283" s="565">
        <f>SUMIF(F16:F272,"SB(P)",L16:L272)</f>
        <v>0</v>
      </c>
      <c r="M283" s="1397"/>
      <c r="N283" s="11"/>
    </row>
    <row r="284" spans="1:41" ht="27" customHeight="1" x14ac:dyDescent="0.25">
      <c r="A284" s="1630" t="s">
        <v>208</v>
      </c>
      <c r="B284" s="1631"/>
      <c r="C284" s="1631"/>
      <c r="D284" s="1631"/>
      <c r="E284" s="1631"/>
      <c r="F284" s="1632"/>
      <c r="G284" s="44">
        <f>SUMIF(F16:F272,"SB(K)",G16:G272)</f>
        <v>0</v>
      </c>
      <c r="H284" s="1291">
        <f>SUMIF(F16:F272,"SB(K)",H16:H272)</f>
        <v>0</v>
      </c>
      <c r="I284" s="1291">
        <f>SUMIF(F16:F272,"SB(K)",I16:I272)</f>
        <v>0</v>
      </c>
      <c r="J284" s="1388"/>
      <c r="K284" s="565">
        <f>SUMIF(F16:F272,"SB(K)",K16:K272)</f>
        <v>0</v>
      </c>
      <c r="L284" s="565">
        <f>SUMIF(F16:F272,"SB(K)",L16:L272)</f>
        <v>0</v>
      </c>
      <c r="M284" s="1397"/>
      <c r="N284" s="11"/>
    </row>
    <row r="285" spans="1:41" x14ac:dyDescent="0.25">
      <c r="A285" s="1630" t="s">
        <v>68</v>
      </c>
      <c r="B285" s="1631"/>
      <c r="C285" s="1631"/>
      <c r="D285" s="1631"/>
      <c r="E285" s="1631"/>
      <c r="F285" s="1632"/>
      <c r="G285" s="44">
        <f>SUMIF(F16:F272,"SB(VB)",G16:G272)</f>
        <v>118.8</v>
      </c>
      <c r="H285" s="1291">
        <f>SUMIF(F16:F272,"SB(VB)",H16:H272)</f>
        <v>0</v>
      </c>
      <c r="I285" s="1291">
        <f>SUMIF(F16:F272,"SB(VB)",I16:I272)</f>
        <v>0</v>
      </c>
      <c r="J285" s="1388"/>
      <c r="K285" s="565">
        <f>SUMIF(F16:F272,"SB(VB)",K16:K272)</f>
        <v>0</v>
      </c>
      <c r="L285" s="565">
        <f>SUMIF(F16:F272,"SB(VB)",L16:L272)</f>
        <v>0</v>
      </c>
      <c r="M285" s="1397"/>
    </row>
    <row r="286" spans="1:41" x14ac:dyDescent="0.25">
      <c r="A286" s="1645" t="s">
        <v>106</v>
      </c>
      <c r="B286" s="1646"/>
      <c r="C286" s="1646"/>
      <c r="D286" s="1646"/>
      <c r="E286" s="1646"/>
      <c r="F286" s="1647"/>
      <c r="G286" s="44">
        <f>SUMIF(F16:F272,"SB(KPP)",G16:G272)</f>
        <v>200</v>
      </c>
      <c r="H286" s="1291">
        <f>SUMIF(F16:F272,"SB(KPP)",H16:H272)</f>
        <v>0</v>
      </c>
      <c r="I286" s="1291">
        <f>SUMIF(F16:F272,"SB(KPP)",I16:I272)</f>
        <v>0</v>
      </c>
      <c r="J286" s="1388"/>
      <c r="K286" s="565">
        <f>SUMIF(F16:F272,"SB(KPP)",K16:K272)</f>
        <v>0</v>
      </c>
      <c r="L286" s="565">
        <f>SUMIF(F16:F272,"SB(KPP)",L16:L272)</f>
        <v>0</v>
      </c>
      <c r="M286" s="1397"/>
      <c r="N286" s="25"/>
      <c r="O286" s="136"/>
      <c r="P286" s="136"/>
      <c r="Q286" s="136"/>
    </row>
    <row r="287" spans="1:41" ht="27" customHeight="1" x14ac:dyDescent="0.25">
      <c r="A287" s="1594" t="s">
        <v>201</v>
      </c>
      <c r="B287" s="1595"/>
      <c r="C287" s="1595"/>
      <c r="D287" s="1595"/>
      <c r="E287" s="1595"/>
      <c r="F287" s="1596"/>
      <c r="G287" s="44">
        <f>SUMIF(F16:F272,"SB(ES)",G16:G272)</f>
        <v>1056.5999999999999</v>
      </c>
      <c r="H287" s="1291">
        <f>SUMIF(F16:F272,"SB(ES)",H16:H272)</f>
        <v>0</v>
      </c>
      <c r="I287" s="1291">
        <f>SUMIF(F16:F272,"SB(ES)",I16:I272)</f>
        <v>0</v>
      </c>
      <c r="J287" s="1388"/>
      <c r="K287" s="565">
        <f>SUMIF(F16:F272,"SB(ES)",K16:K272)</f>
        <v>0</v>
      </c>
      <c r="L287" s="565">
        <f>SUMIF(F16:F272,"SB(ES)",L16:L272)</f>
        <v>0</v>
      </c>
      <c r="M287" s="1397"/>
    </row>
    <row r="288" spans="1:41" ht="14.25" customHeight="1" x14ac:dyDescent="0.25">
      <c r="A288" s="1639" t="s">
        <v>49</v>
      </c>
      <c r="B288" s="1640"/>
      <c r="C288" s="1640"/>
      <c r="D288" s="1640"/>
      <c r="E288" s="1640"/>
      <c r="F288" s="1641"/>
      <c r="G288" s="57">
        <f>SUMIF(F16:F272,"SB(L)",G16:G272)</f>
        <v>4429.6000000000004</v>
      </c>
      <c r="H288" s="1292">
        <f>SUMIF(F16:F272,"SB(L)",H16:H272)</f>
        <v>0</v>
      </c>
      <c r="I288" s="1292">
        <f>SUMIF(F16:F272,"SB(L)",I16:I272)</f>
        <v>0</v>
      </c>
      <c r="J288" s="1389"/>
      <c r="K288" s="566">
        <f>SUMIF(F16:F272,"SB(L)",K16:K272)</f>
        <v>0</v>
      </c>
      <c r="L288" s="566">
        <f>SUMIF(F16:F272,"SB(L)",L16:L272)</f>
        <v>0</v>
      </c>
      <c r="M288" s="1398"/>
    </row>
    <row r="289" spans="1:17" x14ac:dyDescent="0.25">
      <c r="A289" s="1639" t="s">
        <v>66</v>
      </c>
      <c r="B289" s="1640"/>
      <c r="C289" s="1640"/>
      <c r="D289" s="1640"/>
      <c r="E289" s="1640"/>
      <c r="F289" s="1641"/>
      <c r="G289" s="37">
        <f>SUMIF(F16:F272,"SB(SPL)",G16:G272)</f>
        <v>2.9</v>
      </c>
      <c r="H289" s="1293">
        <f>SUMIF(F16:F272,"SB(SPL)",H16:H272)</f>
        <v>0</v>
      </c>
      <c r="I289" s="1293">
        <f>SUMIF(F16:F272,"SB(SPL)",I16:I272)</f>
        <v>0</v>
      </c>
      <c r="J289" s="1006"/>
      <c r="K289" s="567">
        <f>SUMIF(F16:F272,"SB(SPL)",K16:K272)</f>
        <v>0</v>
      </c>
      <c r="L289" s="567">
        <f>SUMIF(F16:F272,"SB(SPL)",L16:L272)</f>
        <v>0</v>
      </c>
      <c r="M289" s="1399"/>
    </row>
    <row r="290" spans="1:17" ht="27.65" customHeight="1" x14ac:dyDescent="0.25">
      <c r="A290" s="1639" t="s">
        <v>200</v>
      </c>
      <c r="B290" s="1640"/>
      <c r="C290" s="1640"/>
      <c r="D290" s="1640"/>
      <c r="E290" s="1640"/>
      <c r="F290" s="1641"/>
      <c r="G290" s="37">
        <f>SUMIF(F16:F272,"SB(VBL)",G16:G272)</f>
        <v>88.7</v>
      </c>
      <c r="H290" s="1293">
        <f>SUMIF(F16:F272,"SB(VBL)",H16:H272)</f>
        <v>0</v>
      </c>
      <c r="I290" s="1293">
        <f>SUMIF(G16:G272,"SB(VBL)",I16:I272)</f>
        <v>0</v>
      </c>
      <c r="J290" s="1006"/>
      <c r="K290" s="567">
        <f>SUMIF(F16:F272,"SB(VBL)",K16:K272)</f>
        <v>0</v>
      </c>
      <c r="L290" s="567">
        <f>SUMIF(F16:F272,"SB(VBL)",L16:L272)</f>
        <v>0</v>
      </c>
      <c r="M290" s="1399"/>
    </row>
    <row r="291" spans="1:17" ht="26.9" customHeight="1" x14ac:dyDescent="0.25">
      <c r="A291" s="1639" t="s">
        <v>199</v>
      </c>
      <c r="B291" s="1640"/>
      <c r="C291" s="1640"/>
      <c r="D291" s="1640"/>
      <c r="E291" s="1640"/>
      <c r="F291" s="1641"/>
      <c r="G291" s="37">
        <f>SUMIF(F16:F272,"SB(ESL)",G16:G272)</f>
        <v>1003.1</v>
      </c>
      <c r="H291" s="1293">
        <f>SUMIF(F16:F272,"SB(ESL)",H16:H272)</f>
        <v>0</v>
      </c>
      <c r="I291" s="1293">
        <f>SUMIF(F16:F272,"SB(ESL)",I16:I272)</f>
        <v>0</v>
      </c>
      <c r="J291" s="1006"/>
      <c r="K291" s="567">
        <f>SUMIF(F16:F272,"SB(ESL)",K16:K272)</f>
        <v>0</v>
      </c>
      <c r="L291" s="567">
        <f>SUMIF(F16:F272,"SB(ESL)",L16:L272)</f>
        <v>0</v>
      </c>
      <c r="M291" s="1399"/>
    </row>
    <row r="292" spans="1:17" ht="13.4" customHeight="1" x14ac:dyDescent="0.25">
      <c r="A292" s="1639" t="s">
        <v>315</v>
      </c>
      <c r="B292" s="1640"/>
      <c r="C292" s="1640"/>
      <c r="D292" s="1640"/>
      <c r="E292" s="1640"/>
      <c r="F292" s="1641"/>
      <c r="G292" s="37">
        <f>SUMIF(F16:F272,"SB(SPIL)",G16:G272)</f>
        <v>594.79999999999995</v>
      </c>
      <c r="H292" s="1294">
        <f>SUMIF(F16:F272,"SB(SPIL)",H16:H272)</f>
        <v>0</v>
      </c>
      <c r="I292" s="577">
        <f>SUMIF(F16:F272,"SB(SPIL)",I16:I272)</f>
        <v>0</v>
      </c>
      <c r="J292" s="1006"/>
      <c r="K292" s="567">
        <f>SUMIF(F16:F272,"SB(SPIL)",K16:K272)</f>
        <v>0</v>
      </c>
      <c r="L292" s="567">
        <f>SUMIF(F16:F272,"SB(SPIL)",L16:L272)</f>
        <v>0</v>
      </c>
      <c r="M292" s="1006"/>
    </row>
    <row r="293" spans="1:17" x14ac:dyDescent="0.25">
      <c r="A293" s="1639" t="s">
        <v>69</v>
      </c>
      <c r="B293" s="1640"/>
      <c r="C293" s="1640"/>
      <c r="D293" s="1640"/>
      <c r="E293" s="1640"/>
      <c r="F293" s="1641"/>
      <c r="G293" s="37">
        <f>SUMIF(F16:F272,"SB(ŽPL)",G16:G272)</f>
        <v>0</v>
      </c>
      <c r="H293" s="1293">
        <f>SUMIF(F16:F272,"SB(ŽPL)",H16:H272)</f>
        <v>0</v>
      </c>
      <c r="I293" s="1293">
        <f>SUMIF(G16:G272,"SB(ŽPL)",I16:I272)</f>
        <v>0</v>
      </c>
      <c r="J293" s="1006"/>
      <c r="K293" s="567">
        <f>SUMIF(F16:F272,"SB(ŽPL)",K16:K272)</f>
        <v>0</v>
      </c>
      <c r="L293" s="567">
        <f>SUMIF(F16:F272,"SB(ŽPL)",L16:L272)</f>
        <v>0</v>
      </c>
      <c r="M293" s="1395"/>
    </row>
    <row r="294" spans="1:17" ht="12" customHeight="1" x14ac:dyDescent="0.25">
      <c r="A294" s="1639" t="s">
        <v>67</v>
      </c>
      <c r="B294" s="1640"/>
      <c r="C294" s="1640"/>
      <c r="D294" s="1640"/>
      <c r="E294" s="1640"/>
      <c r="F294" s="1641"/>
      <c r="G294" s="57">
        <f>SUMIF(F16:F272,"SB(VRL)",G16:G272)</f>
        <v>0</v>
      </c>
      <c r="H294" s="1292">
        <f>SUMIF(F16:F272,"SB(VRL)",H16:H272)</f>
        <v>0</v>
      </c>
      <c r="I294" s="1292">
        <f>SUMIF(F16:F272,"SB(VRL)",I16:I272)</f>
        <v>0</v>
      </c>
      <c r="J294" s="1389"/>
      <c r="K294" s="566">
        <f>SUMIF(F16:F272,"SB(VRL)",K16:K272)</f>
        <v>0</v>
      </c>
      <c r="L294" s="566">
        <f>SUMIF(F16:F272,"SB(VRL)",L16:L272)</f>
        <v>0</v>
      </c>
      <c r="M294" s="1331"/>
    </row>
    <row r="295" spans="1:17" x14ac:dyDescent="0.25">
      <c r="A295" s="1642" t="s">
        <v>13</v>
      </c>
      <c r="B295" s="1643"/>
      <c r="C295" s="1643"/>
      <c r="D295" s="1643"/>
      <c r="E295" s="1643"/>
      <c r="F295" s="1644"/>
      <c r="G295" s="76">
        <f t="shared" ref="G295:K295" si="28">SUM(G296:G299)</f>
        <v>22.9</v>
      </c>
      <c r="H295" s="1295">
        <f t="shared" si="28"/>
        <v>476</v>
      </c>
      <c r="I295" s="1295">
        <f t="shared" ref="I295" ca="1" si="29">SUM(I296:I299)</f>
        <v>476</v>
      </c>
      <c r="J295" s="1390"/>
      <c r="K295" s="568">
        <f t="shared" si="28"/>
        <v>2845</v>
      </c>
      <c r="L295" s="568">
        <f t="shared" ref="L295" si="30">SUM(L296:L299)</f>
        <v>2845</v>
      </c>
      <c r="M295" s="1396"/>
    </row>
    <row r="296" spans="1:17" x14ac:dyDescent="0.25">
      <c r="A296" s="1804" t="s">
        <v>86</v>
      </c>
      <c r="B296" s="1805"/>
      <c r="C296" s="1805"/>
      <c r="D296" s="1805"/>
      <c r="E296" s="1805"/>
      <c r="F296" s="1806"/>
      <c r="G296" s="44">
        <f>SUMIF(F16:F272,"KVJUD",G16:G272)</f>
        <v>0</v>
      </c>
      <c r="H296" s="1291">
        <f>SUMIF(F16:F272,"KVJUD",H16:H272)</f>
        <v>0</v>
      </c>
      <c r="I296" s="1291">
        <f ca="1">SUMIF(F15:F272,"KVJUD",I16:I272)</f>
        <v>0</v>
      </c>
      <c r="J296" s="1388"/>
      <c r="K296" s="565">
        <f>SUMIF(F16:F272,"KVJUD",K16:K272)</f>
        <v>0</v>
      </c>
      <c r="L296" s="565">
        <f>SUMIF(F16:F272,"KVJUD",L16:L272)</f>
        <v>0</v>
      </c>
      <c r="M296" s="1397"/>
    </row>
    <row r="297" spans="1:17" ht="13.5" customHeight="1" x14ac:dyDescent="0.25">
      <c r="A297" s="1630" t="s">
        <v>20</v>
      </c>
      <c r="B297" s="1631"/>
      <c r="C297" s="1631"/>
      <c r="D297" s="1631"/>
      <c r="E297" s="1631"/>
      <c r="F297" s="1632"/>
      <c r="G297" s="44">
        <f>SUMIF(F16:F272,"LRVB",G16:G272)</f>
        <v>0</v>
      </c>
      <c r="H297" s="1291">
        <f>SUMIF(F16:F272,"LRVB",H16:H272)</f>
        <v>0</v>
      </c>
      <c r="I297" s="1291">
        <f>SUMIF(F16:F272,"LRVB",I16:I272)</f>
        <v>0</v>
      </c>
      <c r="J297" s="1388"/>
      <c r="K297" s="565">
        <f>SUMIF(F16:F272,"LRVB",K16:K272)</f>
        <v>0</v>
      </c>
      <c r="L297" s="565">
        <f>SUMIF(F16:F272,"LRVB",L16:L272)</f>
        <v>0</v>
      </c>
      <c r="M297" s="1397"/>
    </row>
    <row r="298" spans="1:17" ht="14.25" customHeight="1" x14ac:dyDescent="0.25">
      <c r="A298" s="1594" t="s">
        <v>19</v>
      </c>
      <c r="B298" s="1595"/>
      <c r="C298" s="1595"/>
      <c r="D298" s="1595"/>
      <c r="E298" s="1595"/>
      <c r="F298" s="1596"/>
      <c r="G298" s="36">
        <f>SUMIF(F16:F272,"ES",G16:G272)</f>
        <v>0</v>
      </c>
      <c r="H298" s="1296">
        <f>SUMIF(F16:F272,"ES",H16:H272)</f>
        <v>426</v>
      </c>
      <c r="I298" s="1296">
        <f>SUMIF(F16:F272,"ES",I16:I272)</f>
        <v>426</v>
      </c>
      <c r="J298" s="1391"/>
      <c r="K298" s="569">
        <f>SUMIF(F16:F272,"ES",K16:K272)</f>
        <v>2795</v>
      </c>
      <c r="L298" s="569">
        <f>SUMIF(F16:F272,"ES",L16:L272)</f>
        <v>2795</v>
      </c>
      <c r="M298" s="1400"/>
    </row>
    <row r="299" spans="1:17" ht="15.75" customHeight="1" x14ac:dyDescent="0.25">
      <c r="A299" s="1630" t="s">
        <v>21</v>
      </c>
      <c r="B299" s="1631"/>
      <c r="C299" s="1631"/>
      <c r="D299" s="1631"/>
      <c r="E299" s="1631"/>
      <c r="F299" s="1632"/>
      <c r="G299" s="44">
        <f>SUMIF(F16:F272,"Kt",G16:G272)</f>
        <v>22.9</v>
      </c>
      <c r="H299" s="1291">
        <f>SUMIF(F16:F272,"Kt",H16:H272)</f>
        <v>50</v>
      </c>
      <c r="I299" s="1291">
        <f>SUMIF(F16:F272,"Kt",I16:I272)</f>
        <v>50</v>
      </c>
      <c r="J299" s="1388"/>
      <c r="K299" s="565">
        <f>SUMIF(F16:F272,"Kt",K16:K272)</f>
        <v>50</v>
      </c>
      <c r="L299" s="565">
        <f>SUMIF(F16:F272,"Kt",L16:L272)</f>
        <v>50</v>
      </c>
      <c r="M299" s="1426"/>
    </row>
    <row r="300" spans="1:17" ht="15" customHeight="1" thickBot="1" x14ac:dyDescent="0.3">
      <c r="A300" s="1633" t="s">
        <v>14</v>
      </c>
      <c r="B300" s="1634"/>
      <c r="C300" s="1634"/>
      <c r="D300" s="1634"/>
      <c r="E300" s="1634"/>
      <c r="F300" s="1635"/>
      <c r="G300" s="72">
        <f t="shared" ref="G300:M300" si="31">SUM(G277,G295)</f>
        <v>20391.099999999999</v>
      </c>
      <c r="H300" s="1297">
        <f t="shared" si="31"/>
        <v>19668.099999999999</v>
      </c>
      <c r="I300" s="1297">
        <f t="shared" ca="1" si="31"/>
        <v>19268.099999999999</v>
      </c>
      <c r="J300" s="1420">
        <f t="shared" si="31"/>
        <v>-400</v>
      </c>
      <c r="K300" s="1425">
        <f t="shared" si="31"/>
        <v>22724.5</v>
      </c>
      <c r="L300" s="1425">
        <f t="shared" si="31"/>
        <v>22324.5</v>
      </c>
      <c r="M300" s="1424">
        <f t="shared" si="31"/>
        <v>-400</v>
      </c>
      <c r="N300" s="1077"/>
      <c r="O300" s="137"/>
      <c r="P300" s="137"/>
      <c r="Q300" s="137"/>
    </row>
    <row r="301" spans="1:17" x14ac:dyDescent="0.25">
      <c r="F301" s="263"/>
      <c r="G301" s="264"/>
      <c r="H301" s="264"/>
      <c r="I301" s="264"/>
      <c r="J301" s="264"/>
      <c r="K301" s="264"/>
      <c r="L301" s="264"/>
      <c r="M301" s="1392"/>
      <c r="N301" s="5"/>
      <c r="O301" s="1"/>
      <c r="P301" s="1"/>
      <c r="Q301" s="1"/>
    </row>
    <row r="302" spans="1:17" x14ac:dyDescent="0.25">
      <c r="G302" s="74"/>
      <c r="H302" s="74"/>
      <c r="I302" s="74"/>
      <c r="J302" s="74"/>
      <c r="K302" s="74"/>
      <c r="L302" s="74"/>
      <c r="M302" s="74"/>
      <c r="N302" s="5"/>
      <c r="O302" s="138"/>
      <c r="P302" s="138"/>
      <c r="Q302" s="138"/>
    </row>
    <row r="303" spans="1:17" x14ac:dyDescent="0.25">
      <c r="G303" s="10"/>
      <c r="H303" s="10"/>
      <c r="I303" s="10"/>
      <c r="J303" s="10"/>
      <c r="K303" s="10"/>
      <c r="L303" s="10"/>
      <c r="M303" s="10"/>
    </row>
    <row r="304" spans="1:17" x14ac:dyDescent="0.25">
      <c r="G304" s="10"/>
      <c r="H304" s="10"/>
      <c r="I304" s="10"/>
      <c r="J304" s="10"/>
      <c r="K304" s="10"/>
      <c r="L304" s="10"/>
      <c r="M304" s="10"/>
    </row>
    <row r="305" spans="1:48" s="14" customFormat="1" x14ac:dyDescent="0.25">
      <c r="A305" s="3"/>
      <c r="B305" s="3"/>
      <c r="C305" s="3"/>
      <c r="D305" s="3"/>
      <c r="E305" s="8"/>
      <c r="G305" s="736"/>
      <c r="H305" s="736"/>
      <c r="I305" s="736"/>
      <c r="J305" s="736"/>
      <c r="K305" s="736"/>
      <c r="L305" s="736"/>
      <c r="M305" s="736"/>
      <c r="N305" s="3"/>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row>
    <row r="306" spans="1:48" s="14" customFormat="1" x14ac:dyDescent="0.25">
      <c r="A306" s="3"/>
      <c r="B306" s="3"/>
      <c r="C306" s="3"/>
      <c r="D306" s="3"/>
      <c r="E306" s="8"/>
      <c r="G306" s="3"/>
      <c r="H306" s="3"/>
      <c r="I306" s="3"/>
      <c r="J306" s="3"/>
      <c r="K306" s="3"/>
      <c r="L306" s="3"/>
      <c r="M306" s="3"/>
      <c r="N306" s="10"/>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row>
    <row r="307" spans="1:48" s="14" customFormat="1" x14ac:dyDescent="0.25">
      <c r="A307" s="3"/>
      <c r="B307" s="3"/>
      <c r="C307" s="3"/>
      <c r="D307" s="3"/>
      <c r="E307" s="8"/>
      <c r="G307" s="10"/>
      <c r="H307" s="10"/>
      <c r="I307" s="10"/>
      <c r="J307" s="10"/>
      <c r="K307" s="10"/>
      <c r="L307" s="10"/>
      <c r="M307" s="10"/>
      <c r="N307" s="3"/>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row>
  </sheetData>
  <mergeCells count="195">
    <mergeCell ref="N1:Q1"/>
    <mergeCell ref="N2:Q2"/>
    <mergeCell ref="A4:Q4"/>
    <mergeCell ref="A5:Q5"/>
    <mergeCell ref="A6:Q6"/>
    <mergeCell ref="P8:Q8"/>
    <mergeCell ref="D16:D26"/>
    <mergeCell ref="N16:N26"/>
    <mergeCell ref="A12:Q12"/>
    <mergeCell ref="A13:Q13"/>
    <mergeCell ref="B14:Q14"/>
    <mergeCell ref="C15:Q15"/>
    <mergeCell ref="G9:G11"/>
    <mergeCell ref="H9:H11"/>
    <mergeCell ref="K9:K11"/>
    <mergeCell ref="N10:N11"/>
    <mergeCell ref="J9:J11"/>
    <mergeCell ref="M9:M11"/>
    <mergeCell ref="N9:Q9"/>
    <mergeCell ref="A9:A11"/>
    <mergeCell ref="B9:B11"/>
    <mergeCell ref="C9:C11"/>
    <mergeCell ref="D9:D11"/>
    <mergeCell ref="E9:E11"/>
    <mergeCell ref="F9:F11"/>
    <mergeCell ref="D40:D44"/>
    <mergeCell ref="N42:N44"/>
    <mergeCell ref="D45:D48"/>
    <mergeCell ref="N45:N48"/>
    <mergeCell ref="D49:D52"/>
    <mergeCell ref="D53:D56"/>
    <mergeCell ref="D27:D31"/>
    <mergeCell ref="N27:N28"/>
    <mergeCell ref="N29:N30"/>
    <mergeCell ref="D32:D36"/>
    <mergeCell ref="N32:N36"/>
    <mergeCell ref="D37:D39"/>
    <mergeCell ref="N37:N38"/>
    <mergeCell ref="I9:I11"/>
    <mergeCell ref="L9:L11"/>
    <mergeCell ref="D74:E74"/>
    <mergeCell ref="D75:D76"/>
    <mergeCell ref="A77:A79"/>
    <mergeCell ref="B77:B79"/>
    <mergeCell ref="C77:C79"/>
    <mergeCell ref="D77:D79"/>
    <mergeCell ref="N57:N60"/>
    <mergeCell ref="D61:D63"/>
    <mergeCell ref="N61:N63"/>
    <mergeCell ref="D64:D65"/>
    <mergeCell ref="D68:D70"/>
    <mergeCell ref="A71:A73"/>
    <mergeCell ref="B71:B73"/>
    <mergeCell ref="C71:C73"/>
    <mergeCell ref="D71:D73"/>
    <mergeCell ref="D98:D101"/>
    <mergeCell ref="D102:D103"/>
    <mergeCell ref="A104:A107"/>
    <mergeCell ref="B104:B107"/>
    <mergeCell ref="C104:C107"/>
    <mergeCell ref="D104:D107"/>
    <mergeCell ref="D80:D83"/>
    <mergeCell ref="E82:E86"/>
    <mergeCell ref="A94:A97"/>
    <mergeCell ref="B94:B97"/>
    <mergeCell ref="C94:C97"/>
    <mergeCell ref="D94:D97"/>
    <mergeCell ref="A124:A126"/>
    <mergeCell ref="B124:B126"/>
    <mergeCell ref="D124:D126"/>
    <mergeCell ref="D127:D128"/>
    <mergeCell ref="D131:D132"/>
    <mergeCell ref="N133:N134"/>
    <mergeCell ref="D108:E108"/>
    <mergeCell ref="D109:D110"/>
    <mergeCell ref="N109:N110"/>
    <mergeCell ref="D111:D116"/>
    <mergeCell ref="N116:N117"/>
    <mergeCell ref="D120:D123"/>
    <mergeCell ref="A141:A142"/>
    <mergeCell ref="B141:B142"/>
    <mergeCell ref="C141:C142"/>
    <mergeCell ref="D141:D142"/>
    <mergeCell ref="N143:N144"/>
    <mergeCell ref="O143:O144"/>
    <mergeCell ref="O133:O134"/>
    <mergeCell ref="P133:P134"/>
    <mergeCell ref="Q133:Q134"/>
    <mergeCell ref="D136:D138"/>
    <mergeCell ref="A139:A140"/>
    <mergeCell ref="B139:B140"/>
    <mergeCell ref="C139:C140"/>
    <mergeCell ref="D139:D140"/>
    <mergeCell ref="D149:D150"/>
    <mergeCell ref="D151:D152"/>
    <mergeCell ref="D153:D154"/>
    <mergeCell ref="N153:N154"/>
    <mergeCell ref="D155:D156"/>
    <mergeCell ref="N155:N156"/>
    <mergeCell ref="P143:P144"/>
    <mergeCell ref="Q143:Q144"/>
    <mergeCell ref="N145:N146"/>
    <mergeCell ref="O145:O146"/>
    <mergeCell ref="P145:P146"/>
    <mergeCell ref="Q145:Q146"/>
    <mergeCell ref="A160:A161"/>
    <mergeCell ref="B160:B161"/>
    <mergeCell ref="C160:C161"/>
    <mergeCell ref="D160:D161"/>
    <mergeCell ref="A158:A159"/>
    <mergeCell ref="B158:B159"/>
    <mergeCell ref="C158:C159"/>
    <mergeCell ref="D158:D159"/>
    <mergeCell ref="E158:E159"/>
    <mergeCell ref="D162:D164"/>
    <mergeCell ref="C188:F188"/>
    <mergeCell ref="D190:D191"/>
    <mergeCell ref="D192:D194"/>
    <mergeCell ref="N188:Q188"/>
    <mergeCell ref="C189:Q189"/>
    <mergeCell ref="O158:O159"/>
    <mergeCell ref="P158:P159"/>
    <mergeCell ref="Q158:Q159"/>
    <mergeCell ref="N158:N159"/>
    <mergeCell ref="D221:D222"/>
    <mergeCell ref="D226:D228"/>
    <mergeCell ref="N226:N227"/>
    <mergeCell ref="N228:N229"/>
    <mergeCell ref="C213:Q213"/>
    <mergeCell ref="D195:D199"/>
    <mergeCell ref="N195:N196"/>
    <mergeCell ref="N197:N198"/>
    <mergeCell ref="N200:N201"/>
    <mergeCell ref="C212:F212"/>
    <mergeCell ref="N212:Q212"/>
    <mergeCell ref="N233:N234"/>
    <mergeCell ref="D241:D242"/>
    <mergeCell ref="D246:D247"/>
    <mergeCell ref="O246:O247"/>
    <mergeCell ref="P246:P247"/>
    <mergeCell ref="Q246:Q247"/>
    <mergeCell ref="A231:A232"/>
    <mergeCell ref="B231:B232"/>
    <mergeCell ref="C231:C232"/>
    <mergeCell ref="D231:D232"/>
    <mergeCell ref="E231:E232"/>
    <mergeCell ref="D233:D238"/>
    <mergeCell ref="D263:D264"/>
    <mergeCell ref="N263:N264"/>
    <mergeCell ref="D265:D267"/>
    <mergeCell ref="D268:D269"/>
    <mergeCell ref="C270:F270"/>
    <mergeCell ref="C255:F255"/>
    <mergeCell ref="C256:F256"/>
    <mergeCell ref="D257:D260"/>
    <mergeCell ref="A261:A262"/>
    <mergeCell ref="B261:B262"/>
    <mergeCell ref="C261:C262"/>
    <mergeCell ref="D261:D262"/>
    <mergeCell ref="A287:F287"/>
    <mergeCell ref="A276:F276"/>
    <mergeCell ref="A277:F277"/>
    <mergeCell ref="A278:F278"/>
    <mergeCell ref="A279:F279"/>
    <mergeCell ref="A280:F280"/>
    <mergeCell ref="A281:F281"/>
    <mergeCell ref="B271:F271"/>
    <mergeCell ref="B272:F272"/>
    <mergeCell ref="A273:N273"/>
    <mergeCell ref="A275:K275"/>
    <mergeCell ref="N272:Q272"/>
    <mergeCell ref="O10:Q10"/>
    <mergeCell ref="D214:D216"/>
    <mergeCell ref="A300:F300"/>
    <mergeCell ref="N255:Q255"/>
    <mergeCell ref="N256:Q256"/>
    <mergeCell ref="N270:Q270"/>
    <mergeCell ref="N271:Q271"/>
    <mergeCell ref="A294:F294"/>
    <mergeCell ref="A295:F295"/>
    <mergeCell ref="A296:F296"/>
    <mergeCell ref="A297:F297"/>
    <mergeCell ref="A298:F298"/>
    <mergeCell ref="A299:F299"/>
    <mergeCell ref="A288:F288"/>
    <mergeCell ref="A289:F289"/>
    <mergeCell ref="A290:F290"/>
    <mergeCell ref="A291:F291"/>
    <mergeCell ref="A292:F292"/>
    <mergeCell ref="A293:F293"/>
    <mergeCell ref="A282:F282"/>
    <mergeCell ref="A283:F283"/>
    <mergeCell ref="A284:F284"/>
    <mergeCell ref="A285:F285"/>
    <mergeCell ref="A286:F286"/>
  </mergeCells>
  <printOptions horizontalCentered="1"/>
  <pageMargins left="0.78740157480314965" right="0.39370078740157483" top="0.39370078740157483" bottom="0.39370078740157483" header="0" footer="0"/>
  <pageSetup paperSize="9" scale="56" orientation="portrait" r:id="rId1"/>
  <rowBreaks count="3" manualBreakCount="3">
    <brk id="88" max="16" man="1"/>
    <brk id="157" max="16" man="1"/>
    <brk id="223" max="16" man="1"/>
  </rowBreaks>
  <colBreaks count="1" manualBreakCount="1">
    <brk id="17" max="301"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307"/>
  <sheetViews>
    <sheetView topLeftCell="B1" zoomScaleNormal="100" zoomScaleSheetLayoutView="90" workbookViewId="0">
      <selection activeCell="T21" sqref="T21"/>
    </sheetView>
  </sheetViews>
  <sheetFormatPr defaultColWidth="9.1796875" defaultRowHeight="13" x14ac:dyDescent="0.25"/>
  <cols>
    <col min="1" max="4" width="2.81640625" style="3" customWidth="1"/>
    <col min="5" max="5" width="32" style="3" customWidth="1"/>
    <col min="6" max="6" width="4.1796875" style="8" customWidth="1"/>
    <col min="7" max="7" width="13.1796875" style="79" customWidth="1"/>
    <col min="8" max="8" width="8.1796875" style="14" customWidth="1"/>
    <col min="9" max="12" width="10.81640625" style="3" customWidth="1"/>
    <col min="13" max="13" width="38.453125" style="3" customWidth="1"/>
    <col min="14" max="17" width="6.1796875" style="14" customWidth="1"/>
    <col min="18" max="21" width="9.1796875" style="2"/>
    <col min="22" max="22" width="12.1796875" style="2" customWidth="1"/>
    <col min="23" max="16384" width="9.1796875" style="2"/>
  </cols>
  <sheetData>
    <row r="1" spans="1:17" ht="15.5" x14ac:dyDescent="0.25">
      <c r="G1" s="56"/>
      <c r="M1" s="1894" t="s">
        <v>337</v>
      </c>
      <c r="N1" s="1894"/>
      <c r="O1" s="1894"/>
      <c r="P1" s="1894"/>
      <c r="Q1" s="1894"/>
    </row>
    <row r="2" spans="1:17" ht="16.399999999999999" customHeight="1" x14ac:dyDescent="0.25">
      <c r="G2" s="56"/>
      <c r="I2" s="14"/>
      <c r="J2" s="14"/>
      <c r="K2" s="14"/>
      <c r="L2" s="14"/>
      <c r="M2" s="201"/>
      <c r="N2" s="201"/>
      <c r="O2" s="201"/>
      <c r="P2" s="201"/>
      <c r="Q2" s="201"/>
    </row>
    <row r="3" spans="1:17" s="3" customFormat="1" ht="15" customHeight="1" x14ac:dyDescent="0.25">
      <c r="A3" s="1762" t="s">
        <v>230</v>
      </c>
      <c r="B3" s="1762"/>
      <c r="C3" s="1762"/>
      <c r="D3" s="1762"/>
      <c r="E3" s="1762"/>
      <c r="F3" s="1762"/>
      <c r="G3" s="1762"/>
      <c r="H3" s="1762"/>
      <c r="I3" s="1762"/>
      <c r="J3" s="1762"/>
      <c r="K3" s="1762"/>
      <c r="L3" s="1762"/>
      <c r="M3" s="1762"/>
      <c r="N3" s="1762"/>
      <c r="O3" s="1762"/>
      <c r="P3" s="1762"/>
      <c r="Q3" s="1762"/>
    </row>
    <row r="4" spans="1:17" ht="15" customHeight="1" x14ac:dyDescent="0.25">
      <c r="A4" s="1763" t="s">
        <v>23</v>
      </c>
      <c r="B4" s="1763"/>
      <c r="C4" s="1763"/>
      <c r="D4" s="1763"/>
      <c r="E4" s="1763"/>
      <c r="F4" s="1763"/>
      <c r="G4" s="1763"/>
      <c r="H4" s="1763"/>
      <c r="I4" s="1763"/>
      <c r="J4" s="1763"/>
      <c r="K4" s="1763"/>
      <c r="L4" s="1763"/>
      <c r="M4" s="1763"/>
      <c r="N4" s="1763"/>
      <c r="O4" s="1763"/>
      <c r="P4" s="1763"/>
      <c r="Q4" s="1763"/>
    </row>
    <row r="5" spans="1:17" ht="15.5" x14ac:dyDescent="0.25">
      <c r="A5" s="1764" t="s">
        <v>76</v>
      </c>
      <c r="B5" s="1764"/>
      <c r="C5" s="1764"/>
      <c r="D5" s="1764"/>
      <c r="E5" s="1764"/>
      <c r="F5" s="1764"/>
      <c r="G5" s="1764"/>
      <c r="H5" s="1764"/>
      <c r="I5" s="1764"/>
      <c r="J5" s="1764"/>
      <c r="K5" s="1764"/>
      <c r="L5" s="1764"/>
      <c r="M5" s="1764"/>
      <c r="N5" s="1764"/>
      <c r="O5" s="1764"/>
      <c r="P5" s="1764"/>
      <c r="Q5" s="1764"/>
    </row>
    <row r="6" spans="1:17" ht="15.5" x14ac:dyDescent="0.25">
      <c r="F6" s="951"/>
      <c r="H6" s="935"/>
      <c r="M6" s="934"/>
      <c r="N6" s="934"/>
      <c r="O6" s="935"/>
      <c r="P6" s="935"/>
      <c r="Q6" s="935"/>
    </row>
    <row r="7" spans="1:17" ht="18" customHeight="1" thickBot="1" x14ac:dyDescent="0.35">
      <c r="F7" s="951"/>
      <c r="H7" s="137"/>
      <c r="M7" s="934"/>
      <c r="N7" s="934"/>
      <c r="O7" s="2"/>
      <c r="P7" s="1765" t="s">
        <v>73</v>
      </c>
      <c r="Q7" s="1765"/>
    </row>
    <row r="8" spans="1:17" s="27" customFormat="1" ht="24.75" customHeight="1" thickBot="1" x14ac:dyDescent="0.3">
      <c r="A8" s="1766" t="s">
        <v>15</v>
      </c>
      <c r="B8" s="1736" t="s">
        <v>0</v>
      </c>
      <c r="C8" s="1736" t="s">
        <v>1</v>
      </c>
      <c r="D8" s="1736" t="s">
        <v>58</v>
      </c>
      <c r="E8" s="1769" t="s">
        <v>10</v>
      </c>
      <c r="F8" s="1736" t="s">
        <v>221</v>
      </c>
      <c r="G8" s="1888" t="s">
        <v>222</v>
      </c>
      <c r="H8" s="1739" t="s">
        <v>2</v>
      </c>
      <c r="I8" s="1821" t="s">
        <v>223</v>
      </c>
      <c r="J8" s="1742" t="s">
        <v>224</v>
      </c>
      <c r="K8" s="1745" t="s">
        <v>318</v>
      </c>
      <c r="L8" s="1785" t="s">
        <v>225</v>
      </c>
      <c r="M8" s="1788" t="s">
        <v>9</v>
      </c>
      <c r="N8" s="1789"/>
      <c r="O8" s="1789"/>
      <c r="P8" s="1789"/>
      <c r="Q8" s="1790"/>
    </row>
    <row r="9" spans="1:17" s="27" customFormat="1" ht="18.75" customHeight="1" x14ac:dyDescent="0.25">
      <c r="A9" s="1767"/>
      <c r="B9" s="1737"/>
      <c r="C9" s="1737"/>
      <c r="D9" s="1737"/>
      <c r="E9" s="1770"/>
      <c r="F9" s="1737"/>
      <c r="G9" s="1889"/>
      <c r="H9" s="1740"/>
      <c r="I9" s="1822"/>
      <c r="J9" s="1743"/>
      <c r="K9" s="1746"/>
      <c r="L9" s="1786"/>
      <c r="M9" s="1791" t="s">
        <v>10</v>
      </c>
      <c r="N9" s="1891" t="s">
        <v>226</v>
      </c>
      <c r="O9" s="1793" t="s">
        <v>213</v>
      </c>
      <c r="P9" s="1793"/>
      <c r="Q9" s="1794"/>
    </row>
    <row r="10" spans="1:17" s="27" customFormat="1" ht="141.65" customHeight="1" thickBot="1" x14ac:dyDescent="0.3">
      <c r="A10" s="1768"/>
      <c r="B10" s="1738"/>
      <c r="C10" s="1738"/>
      <c r="D10" s="1738"/>
      <c r="E10" s="1771"/>
      <c r="F10" s="1738"/>
      <c r="G10" s="1890"/>
      <c r="H10" s="1741"/>
      <c r="I10" s="1895"/>
      <c r="J10" s="1744"/>
      <c r="K10" s="1747"/>
      <c r="L10" s="1787"/>
      <c r="M10" s="1792"/>
      <c r="N10" s="1892"/>
      <c r="O10" s="548" t="s">
        <v>227</v>
      </c>
      <c r="P10" s="549" t="s">
        <v>228</v>
      </c>
      <c r="Q10" s="550" t="s">
        <v>229</v>
      </c>
    </row>
    <row r="11" spans="1:17" s="7" customFormat="1" ht="15" customHeight="1" x14ac:dyDescent="0.25">
      <c r="A11" s="1795" t="s">
        <v>50</v>
      </c>
      <c r="B11" s="1796"/>
      <c r="C11" s="1796"/>
      <c r="D11" s="1796"/>
      <c r="E11" s="1796"/>
      <c r="F11" s="1796"/>
      <c r="G11" s="1796"/>
      <c r="H11" s="1796"/>
      <c r="I11" s="1796"/>
      <c r="J11" s="1796"/>
      <c r="K11" s="1796"/>
      <c r="L11" s="1796"/>
      <c r="M11" s="1796"/>
      <c r="N11" s="1796"/>
      <c r="O11" s="1796"/>
      <c r="P11" s="1796"/>
      <c r="Q11" s="1797"/>
    </row>
    <row r="12" spans="1:17" s="7" customFormat="1" ht="14.25" customHeight="1" x14ac:dyDescent="0.25">
      <c r="A12" s="1772" t="s">
        <v>41</v>
      </c>
      <c r="B12" s="1773"/>
      <c r="C12" s="1773"/>
      <c r="D12" s="1773"/>
      <c r="E12" s="1773"/>
      <c r="F12" s="1773"/>
      <c r="G12" s="1773"/>
      <c r="H12" s="1773"/>
      <c r="I12" s="1773"/>
      <c r="J12" s="1773"/>
      <c r="K12" s="1773"/>
      <c r="L12" s="1773"/>
      <c r="M12" s="1773"/>
      <c r="N12" s="1773"/>
      <c r="O12" s="1774"/>
      <c r="P12" s="1774"/>
      <c r="Q12" s="1775"/>
    </row>
    <row r="13" spans="1:17" ht="15" customHeight="1" x14ac:dyDescent="0.25">
      <c r="A13" s="425" t="s">
        <v>3</v>
      </c>
      <c r="B13" s="1776" t="s">
        <v>51</v>
      </c>
      <c r="C13" s="1777"/>
      <c r="D13" s="1777"/>
      <c r="E13" s="1777"/>
      <c r="F13" s="1777"/>
      <c r="G13" s="1777"/>
      <c r="H13" s="1777"/>
      <c r="I13" s="1777"/>
      <c r="J13" s="1777"/>
      <c r="K13" s="1777"/>
      <c r="L13" s="1777"/>
      <c r="M13" s="1777"/>
      <c r="N13" s="1777"/>
      <c r="O13" s="1778"/>
      <c r="P13" s="1778"/>
      <c r="Q13" s="1779"/>
    </row>
    <row r="14" spans="1:17" ht="15.75" customHeight="1" x14ac:dyDescent="0.25">
      <c r="A14" s="23" t="s">
        <v>3</v>
      </c>
      <c r="B14" s="24" t="s">
        <v>3</v>
      </c>
      <c r="C14" s="1780" t="s">
        <v>38</v>
      </c>
      <c r="D14" s="1781"/>
      <c r="E14" s="1781"/>
      <c r="F14" s="1781"/>
      <c r="G14" s="1781"/>
      <c r="H14" s="1781"/>
      <c r="I14" s="1781"/>
      <c r="J14" s="1781"/>
      <c r="K14" s="1781"/>
      <c r="L14" s="1781"/>
      <c r="M14" s="1781"/>
      <c r="N14" s="1781"/>
      <c r="O14" s="1774"/>
      <c r="P14" s="1774"/>
      <c r="Q14" s="1775"/>
    </row>
    <row r="15" spans="1:17" ht="12" customHeight="1" x14ac:dyDescent="0.25">
      <c r="A15" s="176" t="s">
        <v>3</v>
      </c>
      <c r="B15" s="182" t="s">
        <v>3</v>
      </c>
      <c r="C15" s="178" t="s">
        <v>3</v>
      </c>
      <c r="D15" s="195"/>
      <c r="E15" s="1592" t="s">
        <v>70</v>
      </c>
      <c r="F15" s="83"/>
      <c r="G15" s="1854"/>
      <c r="H15" s="75"/>
      <c r="I15" s="229"/>
      <c r="J15" s="314"/>
      <c r="K15" s="167"/>
      <c r="L15" s="167"/>
      <c r="M15" s="1783"/>
      <c r="N15" s="360"/>
      <c r="O15" s="426"/>
      <c r="P15" s="289"/>
      <c r="Q15" s="140"/>
    </row>
    <row r="16" spans="1:17" ht="12" customHeight="1" x14ac:dyDescent="0.25">
      <c r="A16" s="176"/>
      <c r="B16" s="182"/>
      <c r="C16" s="178"/>
      <c r="D16" s="195"/>
      <c r="E16" s="1782"/>
      <c r="F16" s="171"/>
      <c r="G16" s="1855"/>
      <c r="H16" s="196"/>
      <c r="I16" s="170"/>
      <c r="J16" s="315"/>
      <c r="K16" s="321"/>
      <c r="L16" s="39"/>
      <c r="M16" s="1784"/>
      <c r="N16" s="361"/>
      <c r="O16" s="427"/>
      <c r="P16" s="290"/>
      <c r="Q16" s="109"/>
    </row>
    <row r="17" spans="1:17" ht="18.75" customHeight="1" x14ac:dyDescent="0.25">
      <c r="A17" s="176"/>
      <c r="B17" s="182"/>
      <c r="C17" s="178"/>
      <c r="D17" s="195"/>
      <c r="E17" s="1592"/>
      <c r="F17" s="255"/>
      <c r="G17" s="1856"/>
      <c r="H17" s="192"/>
      <c r="I17" s="170"/>
      <c r="J17" s="315"/>
      <c r="K17" s="321"/>
      <c r="L17" s="39"/>
      <c r="M17" s="1784"/>
      <c r="N17" s="361"/>
      <c r="O17" s="427"/>
      <c r="P17" s="290"/>
      <c r="Q17" s="109"/>
    </row>
    <row r="18" spans="1:17" ht="16.5" customHeight="1" x14ac:dyDescent="0.25">
      <c r="A18" s="176"/>
      <c r="B18" s="182"/>
      <c r="C18" s="178"/>
      <c r="D18" s="147" t="s">
        <v>3</v>
      </c>
      <c r="E18" s="1636" t="s">
        <v>100</v>
      </c>
      <c r="F18" s="844" t="s">
        <v>178</v>
      </c>
      <c r="G18" s="1857" t="s">
        <v>168</v>
      </c>
      <c r="H18" s="196" t="s">
        <v>48</v>
      </c>
      <c r="I18" s="708">
        <f>30.4+58.9</f>
        <v>89.3</v>
      </c>
      <c r="J18" s="448">
        <v>500</v>
      </c>
      <c r="K18" s="456"/>
      <c r="L18" s="710"/>
      <c r="M18" s="358" t="s">
        <v>71</v>
      </c>
      <c r="N18" s="362">
        <v>1</v>
      </c>
      <c r="O18" s="432"/>
      <c r="P18" s="434"/>
      <c r="Q18" s="141"/>
    </row>
    <row r="19" spans="1:17" ht="28.5" customHeight="1" x14ac:dyDescent="0.25">
      <c r="A19" s="176"/>
      <c r="B19" s="182"/>
      <c r="C19" s="178"/>
      <c r="D19" s="148"/>
      <c r="E19" s="1637"/>
      <c r="F19" s="242" t="s">
        <v>153</v>
      </c>
      <c r="G19" s="1850"/>
      <c r="H19" s="705" t="s">
        <v>22</v>
      </c>
      <c r="I19" s="303"/>
      <c r="J19" s="936"/>
      <c r="K19" s="874">
        <v>222.6</v>
      </c>
      <c r="L19" s="937">
        <f>4867-150-400</f>
        <v>4317</v>
      </c>
      <c r="M19" s="384" t="s">
        <v>285</v>
      </c>
      <c r="N19" s="583"/>
      <c r="O19" s="475">
        <v>10</v>
      </c>
      <c r="P19" s="486">
        <v>30</v>
      </c>
      <c r="Q19" s="276">
        <v>75</v>
      </c>
    </row>
    <row r="20" spans="1:17" ht="27.65" customHeight="1" x14ac:dyDescent="0.25">
      <c r="A20" s="695"/>
      <c r="B20" s="696"/>
      <c r="C20" s="697"/>
      <c r="D20" s="148"/>
      <c r="E20" s="1637"/>
      <c r="F20" s="242" t="s">
        <v>262</v>
      </c>
      <c r="G20" s="691" t="s">
        <v>303</v>
      </c>
      <c r="H20" s="706" t="s">
        <v>220</v>
      </c>
      <c r="I20" s="307"/>
      <c r="J20" s="315"/>
      <c r="K20" s="679"/>
      <c r="L20" s="659"/>
      <c r="M20" s="704" t="s">
        <v>286</v>
      </c>
      <c r="N20" s="608"/>
      <c r="O20" s="594"/>
      <c r="P20" s="723"/>
      <c r="Q20" s="662">
        <v>30</v>
      </c>
    </row>
    <row r="21" spans="1:17" ht="15" customHeight="1" x14ac:dyDescent="0.25">
      <c r="A21" s="176"/>
      <c r="B21" s="182"/>
      <c r="C21" s="178"/>
      <c r="D21" s="148"/>
      <c r="E21" s="1637"/>
      <c r="F21" s="242" t="s">
        <v>136</v>
      </c>
      <c r="G21" s="1852"/>
      <c r="H21" s="196" t="s">
        <v>183</v>
      </c>
      <c r="I21" s="307"/>
      <c r="J21" s="331"/>
      <c r="K21" s="679">
        <v>2964.9</v>
      </c>
      <c r="L21" s="711"/>
      <c r="M21" s="714"/>
      <c r="N21" s="714"/>
      <c r="O21" s="715"/>
      <c r="P21" s="716"/>
      <c r="Q21" s="717"/>
    </row>
    <row r="22" spans="1:17" ht="15.65" customHeight="1" x14ac:dyDescent="0.25">
      <c r="A22" s="176"/>
      <c r="B22" s="182"/>
      <c r="C22" s="178"/>
      <c r="D22" s="148"/>
      <c r="E22" s="1637"/>
      <c r="F22" s="250" t="s">
        <v>42</v>
      </c>
      <c r="G22" s="1852"/>
      <c r="H22" s="707" t="s">
        <v>279</v>
      </c>
      <c r="I22" s="170"/>
      <c r="J22" s="315"/>
      <c r="K22" s="626"/>
      <c r="L22" s="712">
        <v>1275</v>
      </c>
      <c r="M22" s="718"/>
      <c r="N22" s="719"/>
      <c r="O22" s="720"/>
      <c r="P22" s="721"/>
      <c r="Q22" s="722"/>
    </row>
    <row r="23" spans="1:17" ht="13.4" customHeight="1" x14ac:dyDescent="0.25">
      <c r="A23" s="176"/>
      <c r="B23" s="182"/>
      <c r="C23" s="178"/>
      <c r="D23" s="1885" t="s">
        <v>5</v>
      </c>
      <c r="E23" s="1636" t="s">
        <v>114</v>
      </c>
      <c r="F23" s="254" t="s">
        <v>178</v>
      </c>
      <c r="G23" s="1851" t="s">
        <v>168</v>
      </c>
      <c r="H23" s="75" t="s">
        <v>22</v>
      </c>
      <c r="I23" s="229">
        <f>563.3-0.7-5+39.1-300+188-3.4</f>
        <v>481.3</v>
      </c>
      <c r="J23" s="314"/>
      <c r="K23" s="320"/>
      <c r="L23" s="710"/>
      <c r="M23" s="1753" t="s">
        <v>287</v>
      </c>
      <c r="N23" s="362">
        <v>90</v>
      </c>
      <c r="O23" s="428">
        <v>100</v>
      </c>
      <c r="P23" s="434"/>
      <c r="Q23" s="94"/>
    </row>
    <row r="24" spans="1:17" ht="13.5" customHeight="1" x14ac:dyDescent="0.25">
      <c r="A24" s="176"/>
      <c r="B24" s="182"/>
      <c r="C24" s="178"/>
      <c r="D24" s="1886"/>
      <c r="E24" s="1637"/>
      <c r="F24" s="242" t="s">
        <v>153</v>
      </c>
      <c r="G24" s="1852"/>
      <c r="H24" s="724" t="s">
        <v>48</v>
      </c>
      <c r="I24" s="307"/>
      <c r="J24" s="331">
        <v>135.80000000000001</v>
      </c>
      <c r="K24" s="679"/>
      <c r="L24" s="680"/>
      <c r="M24" s="1754"/>
      <c r="N24" s="363"/>
      <c r="O24" s="429"/>
      <c r="P24" s="435"/>
      <c r="Q24" s="88"/>
    </row>
    <row r="25" spans="1:17" ht="13.5" customHeight="1" x14ac:dyDescent="0.25">
      <c r="A25" s="176"/>
      <c r="B25" s="182"/>
      <c r="C25" s="178"/>
      <c r="D25" s="1886"/>
      <c r="E25" s="1637"/>
      <c r="F25" s="242" t="s">
        <v>136</v>
      </c>
      <c r="G25" s="1850" t="s">
        <v>304</v>
      </c>
      <c r="H25" s="724" t="s">
        <v>132</v>
      </c>
      <c r="I25" s="307">
        <f>204.6+5.8-66.2</f>
        <v>144.19999999999999</v>
      </c>
      <c r="J25" s="315">
        <v>5.6</v>
      </c>
      <c r="K25" s="679"/>
      <c r="L25" s="39"/>
      <c r="M25" s="1754"/>
      <c r="N25" s="363"/>
      <c r="O25" s="429"/>
      <c r="P25" s="435"/>
      <c r="Q25" s="88"/>
    </row>
    <row r="26" spans="1:17" ht="13.5" customHeight="1" x14ac:dyDescent="0.25">
      <c r="A26" s="176"/>
      <c r="B26" s="182"/>
      <c r="C26" s="178"/>
      <c r="D26" s="1886"/>
      <c r="E26" s="1637"/>
      <c r="F26" s="250" t="s">
        <v>42</v>
      </c>
      <c r="G26" s="1850"/>
      <c r="H26" s="724" t="s">
        <v>197</v>
      </c>
      <c r="I26" s="307">
        <v>66.2</v>
      </c>
      <c r="J26" s="709">
        <v>53.4</v>
      </c>
      <c r="K26" s="679"/>
      <c r="L26" s="659"/>
      <c r="M26" s="1754"/>
      <c r="N26" s="363"/>
      <c r="O26" s="429"/>
      <c r="P26" s="435"/>
      <c r="Q26" s="88"/>
    </row>
    <row r="27" spans="1:17" ht="13.5" customHeight="1" x14ac:dyDescent="0.25">
      <c r="A27" s="176"/>
      <c r="B27" s="182"/>
      <c r="C27" s="178"/>
      <c r="D27" s="1886"/>
      <c r="E27" s="1637"/>
      <c r="F27" s="242" t="s">
        <v>262</v>
      </c>
      <c r="G27" s="1850"/>
      <c r="H27" s="724" t="s">
        <v>183</v>
      </c>
      <c r="I27" s="170">
        <f>1500+12</f>
        <v>1512</v>
      </c>
      <c r="J27" s="331"/>
      <c r="K27" s="679"/>
      <c r="L27" s="659"/>
      <c r="M27" s="1754"/>
      <c r="N27" s="363"/>
      <c r="O27" s="429"/>
      <c r="P27" s="435"/>
      <c r="Q27" s="88"/>
    </row>
    <row r="28" spans="1:17" ht="15.75" customHeight="1" x14ac:dyDescent="0.25">
      <c r="A28" s="176"/>
      <c r="B28" s="182"/>
      <c r="C28" s="178"/>
      <c r="D28" s="1886"/>
      <c r="E28" s="1637"/>
      <c r="F28" s="161"/>
      <c r="G28" s="1850"/>
      <c r="H28" s="706" t="s">
        <v>133</v>
      </c>
      <c r="I28" s="307">
        <f>2522.7-0.6+65.3-952.9</f>
        <v>1634.5</v>
      </c>
      <c r="J28" s="709">
        <v>52</v>
      </c>
      <c r="K28" s="679"/>
      <c r="L28" s="659"/>
      <c r="M28" s="1754"/>
      <c r="N28" s="363"/>
      <c r="O28" s="429"/>
      <c r="P28" s="435"/>
      <c r="Q28" s="88"/>
    </row>
    <row r="29" spans="1:17" ht="15.75" customHeight="1" x14ac:dyDescent="0.25">
      <c r="A29" s="1014"/>
      <c r="B29" s="1015"/>
      <c r="C29" s="1016"/>
      <c r="D29" s="1019"/>
      <c r="E29" s="1013"/>
      <c r="F29" s="161"/>
      <c r="G29" s="1018"/>
      <c r="H29" s="196" t="s">
        <v>198</v>
      </c>
      <c r="I29" s="307">
        <v>952.9</v>
      </c>
      <c r="J29" s="709">
        <v>604.29999999999995</v>
      </c>
      <c r="K29" s="327"/>
      <c r="L29" s="659"/>
      <c r="M29" s="1017"/>
      <c r="N29" s="363"/>
      <c r="O29" s="429"/>
      <c r="P29" s="435"/>
      <c r="Q29" s="88"/>
    </row>
    <row r="30" spans="1:17" ht="15.75" customHeight="1" x14ac:dyDescent="0.25">
      <c r="A30" s="176"/>
      <c r="B30" s="182"/>
      <c r="C30" s="178"/>
      <c r="D30" s="198"/>
      <c r="E30" s="175"/>
      <c r="F30" s="162"/>
      <c r="G30" s="215"/>
      <c r="H30" s="724" t="s">
        <v>207</v>
      </c>
      <c r="I30" s="305">
        <f>300-188</f>
        <v>112</v>
      </c>
      <c r="J30" s="725"/>
      <c r="K30" s="626"/>
      <c r="L30" s="726"/>
      <c r="M30" s="359"/>
      <c r="N30" s="364"/>
      <c r="O30" s="431"/>
      <c r="P30" s="437"/>
      <c r="Q30" s="96"/>
    </row>
    <row r="31" spans="1:17" ht="15" customHeight="1" x14ac:dyDescent="0.25">
      <c r="A31" s="176"/>
      <c r="B31" s="182"/>
      <c r="C31" s="178"/>
      <c r="D31" s="1885" t="s">
        <v>24</v>
      </c>
      <c r="E31" s="1636" t="s">
        <v>138</v>
      </c>
      <c r="F31" s="250" t="s">
        <v>178</v>
      </c>
      <c r="G31" s="1851" t="s">
        <v>168</v>
      </c>
      <c r="H31" s="735" t="s">
        <v>133</v>
      </c>
      <c r="I31" s="708">
        <f>220.2+197-16-147.6</f>
        <v>253.6</v>
      </c>
      <c r="J31" s="314">
        <v>0.3</v>
      </c>
      <c r="K31" s="456"/>
      <c r="L31" s="710"/>
      <c r="M31" s="1752" t="s">
        <v>163</v>
      </c>
      <c r="N31" s="88">
        <v>100</v>
      </c>
      <c r="O31" s="429"/>
      <c r="P31" s="435"/>
      <c r="Q31" s="88"/>
    </row>
    <row r="32" spans="1:17" ht="13.5" customHeight="1" x14ac:dyDescent="0.25">
      <c r="A32" s="176"/>
      <c r="B32" s="182"/>
      <c r="C32" s="178"/>
      <c r="D32" s="1886"/>
      <c r="E32" s="1637"/>
      <c r="F32" s="191" t="s">
        <v>136</v>
      </c>
      <c r="G32" s="1852"/>
      <c r="H32" s="196" t="s">
        <v>198</v>
      </c>
      <c r="I32" s="170">
        <v>16</v>
      </c>
      <c r="J32" s="331"/>
      <c r="K32" s="757"/>
      <c r="L32" s="680"/>
      <c r="M32" s="1750"/>
      <c r="N32" s="365"/>
      <c r="O32" s="292"/>
      <c r="P32" s="438"/>
      <c r="Q32" s="365"/>
    </row>
    <row r="33" spans="1:17" ht="13.5" customHeight="1" x14ac:dyDescent="0.25">
      <c r="A33" s="176"/>
      <c r="B33" s="182"/>
      <c r="C33" s="178"/>
      <c r="D33" s="1886"/>
      <c r="E33" s="1637"/>
      <c r="F33" s="250" t="s">
        <v>42</v>
      </c>
      <c r="G33" s="1831" t="s">
        <v>305</v>
      </c>
      <c r="H33" s="724" t="s">
        <v>48</v>
      </c>
      <c r="I33" s="307">
        <f>69.4+67.5-37.5</f>
        <v>99.4</v>
      </c>
      <c r="J33" s="315">
        <v>1.3</v>
      </c>
      <c r="K33" s="757"/>
      <c r="L33" s="680"/>
      <c r="M33" s="370"/>
      <c r="N33" s="88"/>
      <c r="O33" s="429"/>
      <c r="P33" s="435"/>
      <c r="Q33" s="88"/>
    </row>
    <row r="34" spans="1:17" ht="15" customHeight="1" x14ac:dyDescent="0.25">
      <c r="A34" s="176"/>
      <c r="B34" s="182"/>
      <c r="C34" s="178"/>
      <c r="D34" s="1886"/>
      <c r="E34" s="1637"/>
      <c r="F34" s="216"/>
      <c r="G34" s="1831"/>
      <c r="H34" s="706" t="s">
        <v>132</v>
      </c>
      <c r="I34" s="307">
        <f>19.4+17.5-1.4-13</f>
        <v>22.5</v>
      </c>
      <c r="J34" s="709">
        <v>0.1</v>
      </c>
      <c r="K34" s="321"/>
      <c r="L34" s="680"/>
      <c r="M34" s="371"/>
      <c r="N34" s="88"/>
      <c r="O34" s="429"/>
      <c r="P34" s="435"/>
      <c r="Q34" s="88"/>
    </row>
    <row r="35" spans="1:17" ht="14.25" customHeight="1" x14ac:dyDescent="0.25">
      <c r="A35" s="176"/>
      <c r="B35" s="182"/>
      <c r="C35" s="178"/>
      <c r="D35" s="1887"/>
      <c r="E35" s="1637"/>
      <c r="F35" s="216"/>
      <c r="G35" s="1832"/>
      <c r="H35" s="192" t="s">
        <v>197</v>
      </c>
      <c r="I35" s="602">
        <v>1.4</v>
      </c>
      <c r="J35" s="503"/>
      <c r="K35" s="519"/>
      <c r="L35" s="166"/>
      <c r="M35" s="371"/>
      <c r="N35" s="88"/>
      <c r="O35" s="429"/>
      <c r="P35" s="435"/>
      <c r="Q35" s="88"/>
    </row>
    <row r="36" spans="1:17" ht="16.5" customHeight="1" x14ac:dyDescent="0.25">
      <c r="A36" s="176"/>
      <c r="B36" s="182"/>
      <c r="C36" s="178"/>
      <c r="D36" s="195" t="s">
        <v>31</v>
      </c>
      <c r="E36" s="1748" t="s">
        <v>119</v>
      </c>
      <c r="F36" s="254" t="s">
        <v>178</v>
      </c>
      <c r="G36" s="727" t="s">
        <v>168</v>
      </c>
      <c r="H36" s="729" t="s">
        <v>48</v>
      </c>
      <c r="I36" s="729">
        <v>60</v>
      </c>
      <c r="J36" s="501">
        <v>58.3</v>
      </c>
      <c r="K36" s="202"/>
      <c r="L36" s="731"/>
      <c r="M36" s="372" t="s">
        <v>71</v>
      </c>
      <c r="N36" s="143">
        <v>1</v>
      </c>
      <c r="O36" s="432">
        <v>1</v>
      </c>
      <c r="P36" s="439"/>
      <c r="Q36" s="143"/>
    </row>
    <row r="37" spans="1:17" ht="16.399999999999999" customHeight="1" x14ac:dyDescent="0.25">
      <c r="A37" s="176"/>
      <c r="B37" s="182"/>
      <c r="C37" s="178"/>
      <c r="D37" s="195"/>
      <c r="E37" s="1748"/>
      <c r="F37" s="242" t="s">
        <v>153</v>
      </c>
      <c r="G37" s="1831" t="s">
        <v>305</v>
      </c>
      <c r="H37" s="677" t="s">
        <v>22</v>
      </c>
      <c r="I37" s="46">
        <v>3.4</v>
      </c>
      <c r="J37" s="318"/>
      <c r="K37" s="733">
        <v>75</v>
      </c>
      <c r="L37" s="734">
        <v>268.3</v>
      </c>
      <c r="M37" s="810" t="s">
        <v>288</v>
      </c>
      <c r="N37" s="88"/>
      <c r="O37" s="429"/>
      <c r="P37" s="435">
        <v>10</v>
      </c>
      <c r="Q37" s="88">
        <v>50</v>
      </c>
    </row>
    <row r="38" spans="1:17" ht="15" customHeight="1" x14ac:dyDescent="0.25">
      <c r="A38" s="176"/>
      <c r="B38" s="182"/>
      <c r="C38" s="178"/>
      <c r="D38" s="195"/>
      <c r="E38" s="1749"/>
      <c r="F38" s="242" t="s">
        <v>136</v>
      </c>
      <c r="G38" s="1831"/>
      <c r="H38" s="676" t="s">
        <v>279</v>
      </c>
      <c r="I38" s="676"/>
      <c r="J38" s="673"/>
      <c r="K38" s="730">
        <v>426</v>
      </c>
      <c r="L38" s="732">
        <v>1520</v>
      </c>
      <c r="M38" s="1750"/>
      <c r="N38" s="363"/>
      <c r="O38" s="429"/>
      <c r="P38" s="435"/>
      <c r="Q38" s="682"/>
    </row>
    <row r="39" spans="1:17" ht="15" customHeight="1" x14ac:dyDescent="0.25">
      <c r="A39" s="695"/>
      <c r="B39" s="696"/>
      <c r="C39" s="697"/>
      <c r="D39" s="694"/>
      <c r="E39" s="1749"/>
      <c r="F39" s="171" t="s">
        <v>262</v>
      </c>
      <c r="G39" s="692"/>
      <c r="H39" s="119"/>
      <c r="I39" s="46"/>
      <c r="J39" s="318"/>
      <c r="K39" s="325"/>
      <c r="L39" s="108"/>
      <c r="M39" s="1750"/>
      <c r="N39" s="88"/>
      <c r="O39" s="429"/>
      <c r="P39" s="435"/>
      <c r="Q39" s="88"/>
    </row>
    <row r="40" spans="1:17" ht="14.9" customHeight="1" x14ac:dyDescent="0.25">
      <c r="A40" s="176"/>
      <c r="B40" s="182"/>
      <c r="C40" s="178"/>
      <c r="D40" s="194"/>
      <c r="E40" s="1749"/>
      <c r="F40" s="252" t="s">
        <v>42</v>
      </c>
      <c r="G40" s="728"/>
      <c r="H40" s="45"/>
      <c r="I40" s="40"/>
      <c r="J40" s="316"/>
      <c r="K40" s="164"/>
      <c r="L40" s="38"/>
      <c r="M40" s="1751"/>
      <c r="N40" s="96"/>
      <c r="O40" s="431"/>
      <c r="P40" s="437"/>
      <c r="Q40" s="96"/>
    </row>
    <row r="41" spans="1:17" ht="14.25" customHeight="1" x14ac:dyDescent="0.25">
      <c r="A41" s="176"/>
      <c r="B41" s="182"/>
      <c r="C41" s="178"/>
      <c r="D41" s="195" t="s">
        <v>32</v>
      </c>
      <c r="E41" s="1636" t="s">
        <v>99</v>
      </c>
      <c r="F41" s="253" t="s">
        <v>178</v>
      </c>
      <c r="G41" s="248" t="s">
        <v>168</v>
      </c>
      <c r="H41" s="729" t="s">
        <v>183</v>
      </c>
      <c r="I41" s="46">
        <f>195-64.4-12</f>
        <v>118.6</v>
      </c>
      <c r="J41" s="318"/>
      <c r="K41" s="753"/>
      <c r="L41" s="731"/>
      <c r="M41" s="1752" t="s">
        <v>162</v>
      </c>
      <c r="N41" s="88">
        <v>100</v>
      </c>
      <c r="O41" s="429"/>
      <c r="P41" s="435"/>
      <c r="Q41" s="88"/>
    </row>
    <row r="42" spans="1:17" ht="14.25" customHeight="1" x14ac:dyDescent="0.25">
      <c r="A42" s="176"/>
      <c r="B42" s="182"/>
      <c r="C42" s="178"/>
      <c r="D42" s="195"/>
      <c r="E42" s="1637"/>
      <c r="F42" s="172" t="s">
        <v>153</v>
      </c>
      <c r="G42" s="1831" t="s">
        <v>305</v>
      </c>
      <c r="H42" s="706" t="s">
        <v>198</v>
      </c>
      <c r="I42" s="677">
        <v>135</v>
      </c>
      <c r="J42" s="673"/>
      <c r="K42" s="325"/>
      <c r="L42" s="108"/>
      <c r="M42" s="1750"/>
      <c r="N42" s="88"/>
      <c r="O42" s="429"/>
      <c r="P42" s="435"/>
      <c r="Q42" s="88"/>
    </row>
    <row r="43" spans="1:17" ht="14.25" customHeight="1" x14ac:dyDescent="0.25">
      <c r="A43" s="978"/>
      <c r="B43" s="980"/>
      <c r="C43" s="981"/>
      <c r="D43" s="979"/>
      <c r="E43" s="1637"/>
      <c r="F43" s="172"/>
      <c r="G43" s="1831"/>
      <c r="H43" s="46" t="s">
        <v>22</v>
      </c>
      <c r="I43" s="751"/>
      <c r="J43" s="673"/>
      <c r="K43" s="752"/>
      <c r="L43" s="734"/>
      <c r="M43" s="1750"/>
      <c r="N43" s="88"/>
      <c r="O43" s="429"/>
      <c r="P43" s="435"/>
      <c r="Q43" s="88"/>
    </row>
    <row r="44" spans="1:17" ht="14.25" customHeight="1" x14ac:dyDescent="0.25">
      <c r="A44" s="176"/>
      <c r="B44" s="182"/>
      <c r="C44" s="178"/>
      <c r="D44" s="195"/>
      <c r="E44" s="1637"/>
      <c r="F44" s="191" t="s">
        <v>136</v>
      </c>
      <c r="G44" s="1831"/>
      <c r="H44" s="676" t="s">
        <v>48</v>
      </c>
      <c r="I44" s="751">
        <f>40.2-35.6</f>
        <v>4.5999999999999996</v>
      </c>
      <c r="J44" s="673">
        <v>4.5999999999999996</v>
      </c>
      <c r="K44" s="752"/>
      <c r="L44" s="734"/>
      <c r="M44" s="1750"/>
      <c r="N44" s="88"/>
      <c r="O44" s="429"/>
      <c r="P44" s="435"/>
      <c r="Q44" s="88"/>
    </row>
    <row r="45" spans="1:17" ht="14.25" customHeight="1" x14ac:dyDescent="0.25">
      <c r="A45" s="176"/>
      <c r="B45" s="182"/>
      <c r="C45" s="178"/>
      <c r="D45" s="195"/>
      <c r="E45" s="1637"/>
      <c r="F45" s="250" t="s">
        <v>42</v>
      </c>
      <c r="G45" s="1832"/>
      <c r="H45" s="678" t="s">
        <v>197</v>
      </c>
      <c r="I45" s="40">
        <v>11.9</v>
      </c>
      <c r="J45" s="725"/>
      <c r="K45" s="164"/>
      <c r="L45" s="38"/>
      <c r="M45" s="1750"/>
      <c r="N45" s="88"/>
      <c r="O45" s="431"/>
      <c r="P45" s="437"/>
      <c r="Q45" s="88"/>
    </row>
    <row r="46" spans="1:17" ht="15" customHeight="1" x14ac:dyDescent="0.25">
      <c r="A46" s="176"/>
      <c r="B46" s="177"/>
      <c r="C46" s="63"/>
      <c r="D46" s="1866" t="s">
        <v>25</v>
      </c>
      <c r="E46" s="1636" t="s">
        <v>152</v>
      </c>
      <c r="F46" s="251" t="s">
        <v>178</v>
      </c>
      <c r="G46" s="1851" t="s">
        <v>170</v>
      </c>
      <c r="H46" s="754" t="s">
        <v>48</v>
      </c>
      <c r="I46" s="708">
        <v>24</v>
      </c>
      <c r="J46" s="314">
        <v>24</v>
      </c>
      <c r="K46" s="167"/>
      <c r="L46" s="710"/>
      <c r="M46" s="366" t="s">
        <v>312</v>
      </c>
      <c r="N46" s="89">
        <v>10</v>
      </c>
      <c r="O46" s="441">
        <v>100</v>
      </c>
      <c r="P46" s="449"/>
      <c r="Q46" s="585"/>
    </row>
    <row r="47" spans="1:17" ht="15" customHeight="1" x14ac:dyDescent="0.25">
      <c r="A47" s="695"/>
      <c r="B47" s="698"/>
      <c r="C47" s="63"/>
      <c r="D47" s="1877"/>
      <c r="E47" s="1637"/>
      <c r="F47" s="845" t="s">
        <v>262</v>
      </c>
      <c r="G47" s="1852"/>
      <c r="H47" s="689" t="s">
        <v>22</v>
      </c>
      <c r="I47" s="303"/>
      <c r="J47" s="755"/>
      <c r="K47" s="756">
        <v>141</v>
      </c>
      <c r="L47" s="39"/>
      <c r="M47" s="700" t="s">
        <v>289</v>
      </c>
      <c r="N47" s="747"/>
      <c r="O47" s="748"/>
      <c r="P47" s="749">
        <v>100</v>
      </c>
      <c r="Q47" s="744"/>
    </row>
    <row r="48" spans="1:17" ht="15" customHeight="1" x14ac:dyDescent="0.25">
      <c r="A48" s="695"/>
      <c r="B48" s="698"/>
      <c r="C48" s="63"/>
      <c r="D48" s="1877"/>
      <c r="E48" s="1637"/>
      <c r="F48" s="845" t="s">
        <v>42</v>
      </c>
      <c r="G48" s="1852"/>
      <c r="H48" s="17"/>
      <c r="I48" s="170"/>
      <c r="J48" s="315"/>
      <c r="K48" s="153"/>
      <c r="L48" s="39"/>
      <c r="M48" s="701"/>
      <c r="N48" s="87"/>
      <c r="O48" s="443"/>
      <c r="P48" s="451"/>
      <c r="Q48" s="744"/>
    </row>
    <row r="49" spans="1:17" ht="15" customHeight="1" x14ac:dyDescent="0.25">
      <c r="A49" s="176"/>
      <c r="B49" s="177"/>
      <c r="C49" s="63"/>
      <c r="D49" s="1867"/>
      <c r="E49" s="1638"/>
      <c r="F49" s="290" t="s">
        <v>209</v>
      </c>
      <c r="G49" s="1853"/>
      <c r="H49" s="2"/>
      <c r="I49" s="256"/>
      <c r="J49" s="326"/>
      <c r="K49" s="745"/>
      <c r="M49" s="713"/>
      <c r="N49" s="713"/>
      <c r="O49" s="165"/>
      <c r="P49" s="745"/>
      <c r="Q49" s="750"/>
    </row>
    <row r="50" spans="1:17" ht="14.15" customHeight="1" x14ac:dyDescent="0.25">
      <c r="A50" s="176"/>
      <c r="B50" s="177"/>
      <c r="C50" s="64"/>
      <c r="D50" s="1866" t="s">
        <v>33</v>
      </c>
      <c r="E50" s="1636" t="s">
        <v>85</v>
      </c>
      <c r="F50" s="587" t="s">
        <v>178</v>
      </c>
      <c r="G50" s="1857" t="s">
        <v>169</v>
      </c>
      <c r="H50" s="29" t="s">
        <v>22</v>
      </c>
      <c r="I50" s="229">
        <f>158.2-27.1-10.9</f>
        <v>120.2</v>
      </c>
      <c r="J50" s="314"/>
      <c r="K50" s="456"/>
      <c r="L50" s="710"/>
      <c r="M50" s="1680" t="s">
        <v>96</v>
      </c>
      <c r="N50" s="746">
        <v>100</v>
      </c>
      <c r="O50" s="441"/>
      <c r="P50" s="451"/>
      <c r="Q50" s="87"/>
    </row>
    <row r="51" spans="1:17" ht="14.15" customHeight="1" x14ac:dyDescent="0.25">
      <c r="A51" s="176"/>
      <c r="B51" s="177"/>
      <c r="C51" s="64"/>
      <c r="D51" s="1877"/>
      <c r="E51" s="1637"/>
      <c r="F51" s="588" t="s">
        <v>153</v>
      </c>
      <c r="G51" s="1850"/>
      <c r="H51" s="706" t="s">
        <v>195</v>
      </c>
      <c r="I51" s="740">
        <v>22.9</v>
      </c>
      <c r="J51" s="709">
        <v>22.9</v>
      </c>
      <c r="K51" s="153"/>
      <c r="L51" s="310"/>
      <c r="M51" s="1730"/>
      <c r="N51" s="87"/>
      <c r="O51" s="443"/>
      <c r="P51" s="451"/>
      <c r="Q51" s="1001"/>
    </row>
    <row r="52" spans="1:17" ht="14.15" customHeight="1" x14ac:dyDescent="0.3">
      <c r="A52" s="176"/>
      <c r="B52" s="177"/>
      <c r="C52" s="64"/>
      <c r="D52" s="1877"/>
      <c r="E52" s="1637"/>
      <c r="F52" s="172" t="s">
        <v>136</v>
      </c>
      <c r="G52" s="1850"/>
      <c r="H52" s="17"/>
      <c r="I52" s="740"/>
      <c r="J52" s="709"/>
      <c r="K52" s="327"/>
      <c r="L52" s="659"/>
      <c r="M52" s="1000" t="s">
        <v>313</v>
      </c>
      <c r="N52" s="747"/>
      <c r="O52" s="526">
        <v>1</v>
      </c>
      <c r="P52" s="533"/>
      <c r="Q52" s="87"/>
    </row>
    <row r="53" spans="1:17" ht="14.15" customHeight="1" x14ac:dyDescent="0.25">
      <c r="A53" s="176"/>
      <c r="B53" s="177"/>
      <c r="C53" s="178"/>
      <c r="D53" s="1867"/>
      <c r="E53" s="1638"/>
      <c r="F53" s="252" t="s">
        <v>42</v>
      </c>
      <c r="G53" s="1850"/>
      <c r="H53" s="690"/>
      <c r="I53" s="256"/>
      <c r="J53" s="165"/>
      <c r="K53" s="326"/>
      <c r="L53" s="304"/>
      <c r="M53" s="369"/>
      <c r="N53" s="93"/>
      <c r="O53" s="442"/>
      <c r="P53" s="450"/>
      <c r="Q53" s="93"/>
    </row>
    <row r="54" spans="1:17" ht="14.15" customHeight="1" x14ac:dyDescent="0.25">
      <c r="A54" s="271"/>
      <c r="B54" s="272"/>
      <c r="C54" s="63"/>
      <c r="D54" s="270" t="s">
        <v>26</v>
      </c>
      <c r="E54" s="1010" t="s">
        <v>216</v>
      </c>
      <c r="F54" s="251" t="s">
        <v>178</v>
      </c>
      <c r="G54" s="1850"/>
      <c r="H54" s="75" t="s">
        <v>22</v>
      </c>
      <c r="I54" s="229">
        <f>300-153.4</f>
        <v>146.6</v>
      </c>
      <c r="J54" s="872">
        <v>300</v>
      </c>
      <c r="K54" s="167">
        <v>525.79999999999995</v>
      </c>
      <c r="L54" s="710"/>
      <c r="M54" s="1728" t="s">
        <v>288</v>
      </c>
      <c r="N54" s="87">
        <v>15</v>
      </c>
      <c r="O54" s="443">
        <v>40</v>
      </c>
      <c r="P54" s="451">
        <v>100</v>
      </c>
      <c r="Q54" s="87"/>
    </row>
    <row r="55" spans="1:17" ht="14.15" customHeight="1" x14ac:dyDescent="0.25">
      <c r="A55" s="817"/>
      <c r="B55" s="818"/>
      <c r="C55" s="63"/>
      <c r="D55" s="819"/>
      <c r="E55" s="815"/>
      <c r="F55" s="588" t="s">
        <v>262</v>
      </c>
      <c r="G55" s="1850"/>
      <c r="H55" s="724" t="s">
        <v>48</v>
      </c>
      <c r="I55" s="740"/>
      <c r="J55" s="315">
        <v>111.6</v>
      </c>
      <c r="K55" s="327"/>
      <c r="L55" s="39"/>
      <c r="M55" s="1734"/>
      <c r="N55" s="87"/>
      <c r="O55" s="443"/>
      <c r="P55" s="451"/>
      <c r="Q55" s="87"/>
    </row>
    <row r="56" spans="1:17" ht="14.15" customHeight="1" x14ac:dyDescent="0.25">
      <c r="A56" s="271"/>
      <c r="B56" s="272"/>
      <c r="C56" s="63"/>
      <c r="D56" s="270"/>
      <c r="E56" s="268"/>
      <c r="F56" s="171" t="s">
        <v>136</v>
      </c>
      <c r="G56" s="1850"/>
      <c r="H56" s="196"/>
      <c r="I56" s="170"/>
      <c r="J56" s="315"/>
      <c r="K56" s="153"/>
      <c r="L56" s="39"/>
      <c r="M56" s="1734"/>
      <c r="N56" s="87"/>
      <c r="O56" s="443"/>
      <c r="P56" s="451"/>
      <c r="Q56" s="87"/>
    </row>
    <row r="57" spans="1:17" ht="14.15" customHeight="1" x14ac:dyDescent="0.25">
      <c r="A57" s="271"/>
      <c r="B57" s="272"/>
      <c r="C57" s="63"/>
      <c r="D57" s="270"/>
      <c r="E57" s="268"/>
      <c r="F57" s="252" t="s">
        <v>42</v>
      </c>
      <c r="G57" s="1850"/>
      <c r="H57" s="192"/>
      <c r="I57" s="40"/>
      <c r="J57" s="316"/>
      <c r="K57" s="164"/>
      <c r="L57" s="38"/>
      <c r="M57" s="1735"/>
      <c r="N57" s="87"/>
      <c r="O57" s="443"/>
      <c r="P57" s="451"/>
      <c r="Q57" s="87"/>
    </row>
    <row r="58" spans="1:17" ht="15" customHeight="1" x14ac:dyDescent="0.25">
      <c r="A58" s="176"/>
      <c r="B58" s="177"/>
      <c r="C58" s="63"/>
      <c r="D58" s="193" t="s">
        <v>53</v>
      </c>
      <c r="E58" s="1636" t="s">
        <v>186</v>
      </c>
      <c r="F58" s="251" t="s">
        <v>178</v>
      </c>
      <c r="G58" s="1850"/>
      <c r="H58" s="75" t="s">
        <v>22</v>
      </c>
      <c r="I58" s="708">
        <f>200-100+27.1</f>
        <v>127.1</v>
      </c>
      <c r="J58" s="314">
        <v>189.1</v>
      </c>
      <c r="K58" s="167"/>
      <c r="L58" s="710"/>
      <c r="M58" s="1728" t="s">
        <v>288</v>
      </c>
      <c r="N58" s="98">
        <v>25</v>
      </c>
      <c r="O58" s="444">
        <v>100</v>
      </c>
      <c r="P58" s="452"/>
      <c r="Q58" s="98"/>
    </row>
    <row r="59" spans="1:17" ht="15.75" customHeight="1" x14ac:dyDescent="0.25">
      <c r="A59" s="176"/>
      <c r="B59" s="177"/>
      <c r="C59" s="63"/>
      <c r="D59" s="195"/>
      <c r="E59" s="1637"/>
      <c r="F59" s="171" t="s">
        <v>136</v>
      </c>
      <c r="G59" s="1850"/>
      <c r="H59" s="724" t="s">
        <v>48</v>
      </c>
      <c r="I59" s="170"/>
      <c r="J59" s="709">
        <v>51.2</v>
      </c>
      <c r="K59" s="327"/>
      <c r="L59" s="39"/>
      <c r="M59" s="1734"/>
      <c r="N59" s="205"/>
      <c r="O59" s="445"/>
      <c r="P59" s="453"/>
      <c r="Q59" s="205"/>
    </row>
    <row r="60" spans="1:17" ht="16.5" customHeight="1" x14ac:dyDescent="0.25">
      <c r="A60" s="176"/>
      <c r="B60" s="177"/>
      <c r="C60" s="63"/>
      <c r="D60" s="194"/>
      <c r="E60" s="1638"/>
      <c r="F60" s="252" t="s">
        <v>42</v>
      </c>
      <c r="G60" s="1850"/>
      <c r="H60" s="192"/>
      <c r="I60" s="40"/>
      <c r="J60" s="316"/>
      <c r="K60" s="164"/>
      <c r="L60" s="38"/>
      <c r="M60" s="1735"/>
      <c r="N60" s="157"/>
      <c r="O60" s="446"/>
      <c r="P60" s="454"/>
      <c r="Q60" s="157"/>
    </row>
    <row r="61" spans="1:17" ht="16.5" customHeight="1" x14ac:dyDescent="0.25">
      <c r="A61" s="283"/>
      <c r="B61" s="286"/>
      <c r="C61" s="63"/>
      <c r="D61" s="144" t="s">
        <v>105</v>
      </c>
      <c r="E61" s="1636" t="s">
        <v>232</v>
      </c>
      <c r="F61" s="289" t="s">
        <v>233</v>
      </c>
      <c r="G61" s="278"/>
      <c r="H61" s="29" t="s">
        <v>48</v>
      </c>
      <c r="I61" s="229"/>
      <c r="J61" s="314">
        <v>500</v>
      </c>
      <c r="L61" s="1008"/>
      <c r="M61" s="821" t="s">
        <v>288</v>
      </c>
      <c r="N61" s="29"/>
      <c r="O61" s="513">
        <v>20</v>
      </c>
      <c r="P61" s="449">
        <v>50</v>
      </c>
      <c r="Q61" s="259">
        <v>90</v>
      </c>
    </row>
    <row r="62" spans="1:17" ht="15.65" customHeight="1" x14ac:dyDescent="0.25">
      <c r="A62" s="817"/>
      <c r="B62" s="818"/>
      <c r="C62" s="63"/>
      <c r="D62" s="819"/>
      <c r="E62" s="1637"/>
      <c r="F62" s="845" t="s">
        <v>178</v>
      </c>
      <c r="G62" s="822"/>
      <c r="H62" s="724" t="s">
        <v>22</v>
      </c>
      <c r="I62" s="740"/>
      <c r="J62" s="709"/>
      <c r="K62" s="327">
        <f>1500-400</f>
        <v>1100</v>
      </c>
      <c r="L62" s="659">
        <v>1178.3</v>
      </c>
      <c r="M62" s="823"/>
      <c r="N62" s="17"/>
      <c r="O62" s="166"/>
      <c r="P62" s="827"/>
      <c r="Q62" s="604"/>
    </row>
    <row r="63" spans="1:17" ht="15.65" customHeight="1" x14ac:dyDescent="0.25">
      <c r="A63" s="1054"/>
      <c r="B63" s="1058"/>
      <c r="C63" s="63"/>
      <c r="D63" s="1062"/>
      <c r="E63" s="1044"/>
      <c r="F63" s="588" t="s">
        <v>42</v>
      </c>
      <c r="G63" s="1039"/>
      <c r="H63" s="196"/>
      <c r="I63" s="170"/>
      <c r="J63" s="871"/>
      <c r="K63" s="321"/>
      <c r="L63" s="743"/>
      <c r="M63" s="1041"/>
      <c r="N63" s="17"/>
      <c r="O63" s="166"/>
      <c r="P63" s="827"/>
      <c r="Q63" s="604"/>
    </row>
    <row r="64" spans="1:17" ht="15.65" customHeight="1" x14ac:dyDescent="0.25">
      <c r="A64" s="817"/>
      <c r="B64" s="818"/>
      <c r="C64" s="63"/>
      <c r="D64" s="816"/>
      <c r="E64" s="815"/>
      <c r="F64" s="588" t="s">
        <v>262</v>
      </c>
      <c r="G64" s="822"/>
      <c r="H64" s="192"/>
      <c r="I64" s="170"/>
      <c r="J64" s="316"/>
      <c r="K64" s="322"/>
      <c r="L64" s="741"/>
      <c r="M64" s="824"/>
      <c r="N64" s="17"/>
      <c r="O64" s="166"/>
      <c r="P64" s="450"/>
      <c r="Q64" s="604"/>
    </row>
    <row r="65" spans="1:17" ht="19.399999999999999" customHeight="1" x14ac:dyDescent="0.25">
      <c r="A65" s="617"/>
      <c r="B65" s="618"/>
      <c r="C65" s="63"/>
      <c r="D65" s="144" t="s">
        <v>157</v>
      </c>
      <c r="E65" s="1636" t="s">
        <v>261</v>
      </c>
      <c r="F65" s="289" t="s">
        <v>42</v>
      </c>
      <c r="G65" s="930"/>
      <c r="H65" s="29" t="s">
        <v>48</v>
      </c>
      <c r="I65" s="708"/>
      <c r="J65" s="872">
        <v>625</v>
      </c>
      <c r="K65" s="1009"/>
      <c r="M65" s="823" t="s">
        <v>288</v>
      </c>
      <c r="N65" s="29"/>
      <c r="O65" s="513">
        <v>25</v>
      </c>
      <c r="P65" s="886">
        <v>60</v>
      </c>
      <c r="Q65" s="259">
        <v>100</v>
      </c>
    </row>
    <row r="66" spans="1:17" ht="19.399999999999999" customHeight="1" x14ac:dyDescent="0.25">
      <c r="A66" s="817"/>
      <c r="B66" s="818"/>
      <c r="C66" s="63"/>
      <c r="D66" s="144"/>
      <c r="E66" s="1637"/>
      <c r="F66" s="845" t="s">
        <v>178</v>
      </c>
      <c r="G66" s="930"/>
      <c r="H66" s="724" t="s">
        <v>22</v>
      </c>
      <c r="I66" s="170"/>
      <c r="J66" s="901"/>
      <c r="K66" s="321">
        <v>895.2</v>
      </c>
      <c r="L66" s="659">
        <v>1139.2</v>
      </c>
      <c r="M66" s="823"/>
      <c r="N66" s="17"/>
      <c r="O66" s="166"/>
      <c r="P66" s="827"/>
      <c r="Q66" s="604"/>
    </row>
    <row r="67" spans="1:17" ht="19.399999999999999" customHeight="1" x14ac:dyDescent="0.25">
      <c r="A67" s="617"/>
      <c r="B67" s="618"/>
      <c r="C67" s="63"/>
      <c r="D67" s="144"/>
      <c r="E67" s="1638"/>
      <c r="F67" s="938" t="s">
        <v>262</v>
      </c>
      <c r="G67" s="931"/>
      <c r="H67" s="869"/>
      <c r="I67" s="170"/>
      <c r="J67" s="316"/>
      <c r="K67" s="322"/>
      <c r="L67" s="741"/>
      <c r="M67" s="616"/>
      <c r="N67" s="203"/>
      <c r="O67" s="166"/>
      <c r="P67" s="450"/>
      <c r="Q67" s="605"/>
    </row>
    <row r="68" spans="1:17" ht="27.65" customHeight="1" x14ac:dyDescent="0.25">
      <c r="A68" s="1657"/>
      <c r="B68" s="1733"/>
      <c r="C68" s="1700"/>
      <c r="D68" s="1866" t="s">
        <v>156</v>
      </c>
      <c r="E68" s="1636" t="s">
        <v>310</v>
      </c>
      <c r="F68" s="887" t="s">
        <v>153</v>
      </c>
      <c r="G68" s="1012" t="s">
        <v>309</v>
      </c>
      <c r="H68" s="890"/>
      <c r="I68" s="708"/>
      <c r="J68" s="314"/>
      <c r="K68" s="873"/>
      <c r="L68" s="596"/>
      <c r="M68" s="901" t="s">
        <v>321</v>
      </c>
      <c r="N68" s="362"/>
      <c r="O68" s="428">
        <v>100</v>
      </c>
      <c r="P68" s="439"/>
      <c r="Q68" s="141"/>
    </row>
    <row r="69" spans="1:17" ht="15.65" customHeight="1" x14ac:dyDescent="0.25">
      <c r="A69" s="1657"/>
      <c r="B69" s="1733"/>
      <c r="C69" s="1700"/>
      <c r="D69" s="1877"/>
      <c r="E69" s="1637"/>
      <c r="F69" s="888" t="s">
        <v>178</v>
      </c>
      <c r="G69" s="1850" t="s">
        <v>316</v>
      </c>
      <c r="H69" s="724" t="s">
        <v>195</v>
      </c>
      <c r="I69" s="170"/>
      <c r="J69" s="709"/>
      <c r="K69" s="321">
        <v>50</v>
      </c>
      <c r="L69" s="659">
        <v>50</v>
      </c>
      <c r="M69" s="1067" t="s">
        <v>71</v>
      </c>
      <c r="N69" s="1068"/>
      <c r="O69" s="433"/>
      <c r="P69" s="1069"/>
      <c r="Q69" s="682">
        <v>1</v>
      </c>
    </row>
    <row r="70" spans="1:17" ht="15.65" customHeight="1" x14ac:dyDescent="0.25">
      <c r="A70" s="1657"/>
      <c r="B70" s="1733"/>
      <c r="C70" s="1700"/>
      <c r="D70" s="1867"/>
      <c r="E70" s="1638"/>
      <c r="F70" s="171" t="s">
        <v>262</v>
      </c>
      <c r="G70" s="1871"/>
      <c r="H70" s="889"/>
      <c r="I70" s="40"/>
      <c r="J70" s="164"/>
      <c r="K70" s="164"/>
      <c r="L70" s="164"/>
      <c r="M70" s="891"/>
      <c r="N70" s="891"/>
      <c r="O70" s="892"/>
      <c r="P70" s="437"/>
      <c r="Q70" s="893"/>
    </row>
    <row r="71" spans="1:17" ht="15" customHeight="1" x14ac:dyDescent="0.25">
      <c r="A71" s="176"/>
      <c r="B71" s="177"/>
      <c r="C71" s="63"/>
      <c r="D71" s="1884" t="s">
        <v>177</v>
      </c>
      <c r="E71" s="1732"/>
      <c r="F71" s="1732"/>
      <c r="G71" s="1732"/>
      <c r="H71" s="169"/>
      <c r="I71" s="86"/>
      <c r="J71" s="86"/>
      <c r="K71" s="86"/>
      <c r="L71" s="86"/>
      <c r="M71" s="374"/>
      <c r="N71" s="375"/>
      <c r="O71" s="447"/>
      <c r="P71" s="455"/>
      <c r="Q71" s="206"/>
    </row>
    <row r="72" spans="1:17" ht="15.65" customHeight="1" x14ac:dyDescent="0.25">
      <c r="A72" s="176"/>
      <c r="B72" s="177"/>
      <c r="C72" s="178"/>
      <c r="D72" s="195" t="s">
        <v>158</v>
      </c>
      <c r="E72" s="1637" t="s">
        <v>77</v>
      </c>
      <c r="F72" s="589" t="s">
        <v>262</v>
      </c>
      <c r="G72" s="1857" t="s">
        <v>171</v>
      </c>
      <c r="H72" s="29" t="s">
        <v>22</v>
      </c>
      <c r="I72" s="229">
        <f>146.8+15.4</f>
        <v>162.19999999999999</v>
      </c>
      <c r="J72" s="314">
        <v>160.5</v>
      </c>
      <c r="K72" s="320">
        <v>160.5</v>
      </c>
      <c r="L72" s="39">
        <v>160.5</v>
      </c>
      <c r="M72" s="376" t="s">
        <v>118</v>
      </c>
      <c r="N72" s="207">
        <v>3.9</v>
      </c>
      <c r="O72" s="448">
        <v>3.9</v>
      </c>
      <c r="P72" s="456">
        <v>3.9</v>
      </c>
      <c r="Q72" s="207">
        <v>3.9</v>
      </c>
    </row>
    <row r="73" spans="1:17" ht="15.65" customHeight="1" x14ac:dyDescent="0.25">
      <c r="A73" s="176"/>
      <c r="B73" s="177"/>
      <c r="C73" s="178"/>
      <c r="D73" s="195"/>
      <c r="E73" s="1637"/>
      <c r="F73" s="820"/>
      <c r="G73" s="1850"/>
      <c r="H73" s="17"/>
      <c r="I73" s="170"/>
      <c r="J73" s="315"/>
      <c r="K73" s="321"/>
      <c r="L73" s="39"/>
      <c r="M73" s="377" t="s">
        <v>135</v>
      </c>
      <c r="N73" s="110">
        <v>377</v>
      </c>
      <c r="O73" s="457">
        <v>387</v>
      </c>
      <c r="P73" s="462">
        <v>387</v>
      </c>
      <c r="Q73" s="110">
        <v>387</v>
      </c>
    </row>
    <row r="74" spans="1:17" ht="15.65" customHeight="1" x14ac:dyDescent="0.25">
      <c r="A74" s="1657"/>
      <c r="B74" s="1658"/>
      <c r="C74" s="1700"/>
      <c r="D74" s="1866" t="s">
        <v>159</v>
      </c>
      <c r="E74" s="1636" t="s">
        <v>27</v>
      </c>
      <c r="F74" s="589" t="s">
        <v>262</v>
      </c>
      <c r="G74" s="1850"/>
      <c r="H74" s="75" t="s">
        <v>22</v>
      </c>
      <c r="I74" s="229">
        <v>49.4</v>
      </c>
      <c r="J74" s="314">
        <v>74.2</v>
      </c>
      <c r="K74" s="320">
        <v>74.2</v>
      </c>
      <c r="L74" s="43">
        <v>74.2</v>
      </c>
      <c r="M74" s="376" t="s">
        <v>29</v>
      </c>
      <c r="N74" s="143">
        <v>7</v>
      </c>
      <c r="O74" s="432">
        <v>8</v>
      </c>
      <c r="P74" s="439">
        <v>8</v>
      </c>
      <c r="Q74" s="143">
        <v>8</v>
      </c>
    </row>
    <row r="75" spans="1:17" ht="15.65" customHeight="1" x14ac:dyDescent="0.25">
      <c r="A75" s="1657"/>
      <c r="B75" s="1658"/>
      <c r="C75" s="1700"/>
      <c r="D75" s="1877"/>
      <c r="E75" s="1637"/>
      <c r="F75" s="589"/>
      <c r="G75" s="1850"/>
      <c r="H75" s="196"/>
      <c r="I75" s="170"/>
      <c r="J75" s="315"/>
      <c r="K75" s="321"/>
      <c r="L75" s="39"/>
      <c r="M75" s="378" t="s">
        <v>263</v>
      </c>
      <c r="N75" s="88">
        <v>3</v>
      </c>
      <c r="O75" s="429">
        <v>6</v>
      </c>
      <c r="P75" s="435">
        <v>6</v>
      </c>
      <c r="Q75" s="88">
        <v>6</v>
      </c>
    </row>
    <row r="76" spans="1:17" ht="15.65" customHeight="1" x14ac:dyDescent="0.25">
      <c r="A76" s="1657"/>
      <c r="B76" s="1658"/>
      <c r="C76" s="1700"/>
      <c r="D76" s="1877"/>
      <c r="E76" s="1637"/>
      <c r="F76" s="104"/>
      <c r="G76" s="1850"/>
      <c r="H76" s="707" t="s">
        <v>22</v>
      </c>
      <c r="I76" s="625"/>
      <c r="J76" s="725">
        <v>27.5</v>
      </c>
      <c r="K76" s="626">
        <v>14.8</v>
      </c>
      <c r="L76" s="726"/>
      <c r="M76" s="629" t="s">
        <v>235</v>
      </c>
      <c r="N76" s="590"/>
      <c r="O76" s="493">
        <v>2</v>
      </c>
      <c r="P76" s="624">
        <v>1</v>
      </c>
      <c r="Q76" s="591"/>
    </row>
    <row r="77" spans="1:17" ht="18" customHeight="1" x14ac:dyDescent="0.25">
      <c r="A77" s="176"/>
      <c r="B77" s="177"/>
      <c r="C77" s="178"/>
      <c r="D77" s="1866" t="s">
        <v>160</v>
      </c>
      <c r="E77" s="1636" t="s">
        <v>28</v>
      </c>
      <c r="F77" s="254" t="s">
        <v>262</v>
      </c>
      <c r="G77" s="631"/>
      <c r="H77" s="735" t="s">
        <v>22</v>
      </c>
      <c r="I77" s="229">
        <f>89.7-60.4-15.4</f>
        <v>13.9</v>
      </c>
      <c r="J77" s="448">
        <v>178.4</v>
      </c>
      <c r="K77" s="456">
        <v>106.3</v>
      </c>
      <c r="L77" s="710">
        <v>119.8</v>
      </c>
      <c r="M77" s="379" t="s">
        <v>107</v>
      </c>
      <c r="N77" s="94"/>
      <c r="O77" s="428"/>
      <c r="P77" s="434"/>
      <c r="Q77" s="94"/>
    </row>
    <row r="78" spans="1:17" ht="26.15" customHeight="1" x14ac:dyDescent="0.25">
      <c r="A78" s="176"/>
      <c r="B78" s="177"/>
      <c r="C78" s="178"/>
      <c r="D78" s="1877"/>
      <c r="E78" s="1686"/>
      <c r="F78" s="103"/>
      <c r="G78" s="155"/>
      <c r="H78" s="706" t="s">
        <v>48</v>
      </c>
      <c r="I78" s="740">
        <v>45.9</v>
      </c>
      <c r="J78" s="331">
        <v>20.2</v>
      </c>
      <c r="K78" s="321"/>
      <c r="L78" s="39"/>
      <c r="M78" s="380" t="s">
        <v>108</v>
      </c>
      <c r="N78" s="95">
        <v>20</v>
      </c>
      <c r="O78" s="430">
        <v>50</v>
      </c>
      <c r="P78" s="436">
        <v>50</v>
      </c>
      <c r="Q78" s="95">
        <v>50</v>
      </c>
    </row>
    <row r="79" spans="1:17" ht="25.5" customHeight="1" x14ac:dyDescent="0.25">
      <c r="A79" s="176"/>
      <c r="B79" s="177"/>
      <c r="C79" s="178"/>
      <c r="D79" s="1877"/>
      <c r="E79" s="1686"/>
      <c r="F79" s="1731"/>
      <c r="G79" s="113"/>
      <c r="H79" s="196"/>
      <c r="I79" s="740"/>
      <c r="J79" s="315"/>
      <c r="K79" s="327"/>
      <c r="L79" s="659"/>
      <c r="M79" s="381" t="s">
        <v>92</v>
      </c>
      <c r="N79" s="95">
        <v>30</v>
      </c>
      <c r="O79" s="430">
        <v>30</v>
      </c>
      <c r="P79" s="436">
        <v>30</v>
      </c>
      <c r="Q79" s="95">
        <v>30</v>
      </c>
    </row>
    <row r="80" spans="1:17" ht="15" customHeight="1" x14ac:dyDescent="0.25">
      <c r="A80" s="176"/>
      <c r="B80" s="177"/>
      <c r="C80" s="178"/>
      <c r="D80" s="1877"/>
      <c r="E80" s="1686"/>
      <c r="F80" s="1731"/>
      <c r="G80" s="113"/>
      <c r="H80" s="196"/>
      <c r="I80" s="170"/>
      <c r="J80" s="315"/>
      <c r="K80" s="321"/>
      <c r="L80" s="39"/>
      <c r="M80" s="382" t="s">
        <v>109</v>
      </c>
      <c r="N80" s="112"/>
      <c r="O80" s="458"/>
      <c r="P80" s="463"/>
      <c r="Q80" s="112"/>
    </row>
    <row r="81" spans="1:21" ht="13.5" customHeight="1" x14ac:dyDescent="0.25">
      <c r="A81" s="176"/>
      <c r="B81" s="177"/>
      <c r="C81" s="178"/>
      <c r="D81" s="1877"/>
      <c r="E81" s="47"/>
      <c r="F81" s="1731"/>
      <c r="G81" s="113"/>
      <c r="H81" s="621"/>
      <c r="I81" s="622"/>
      <c r="J81" s="623"/>
      <c r="K81" s="658"/>
      <c r="L81" s="657"/>
      <c r="M81" s="380" t="s">
        <v>74</v>
      </c>
      <c r="N81" s="95">
        <v>10</v>
      </c>
      <c r="O81" s="430">
        <v>6</v>
      </c>
      <c r="P81" s="436">
        <v>10</v>
      </c>
      <c r="Q81" s="95"/>
    </row>
    <row r="82" spans="1:21" ht="13.5" customHeight="1" x14ac:dyDescent="0.25">
      <c r="A82" s="176"/>
      <c r="B82" s="177"/>
      <c r="C82" s="178"/>
      <c r="D82" s="1877"/>
      <c r="E82" s="47"/>
      <c r="F82" s="1731"/>
      <c r="G82" s="113"/>
      <c r="H82" s="621"/>
      <c r="I82" s="622"/>
      <c r="J82" s="623"/>
      <c r="K82" s="658"/>
      <c r="L82" s="657"/>
      <c r="M82" s="383" t="s">
        <v>30</v>
      </c>
      <c r="N82" s="647">
        <v>10</v>
      </c>
      <c r="O82" s="646"/>
      <c r="P82" s="649">
        <v>20</v>
      </c>
      <c r="Q82" s="647">
        <v>10</v>
      </c>
    </row>
    <row r="83" spans="1:21" ht="13.5" customHeight="1" x14ac:dyDescent="0.25">
      <c r="A83" s="176"/>
      <c r="B83" s="177"/>
      <c r="C83" s="178"/>
      <c r="D83" s="1877"/>
      <c r="E83" s="47"/>
      <c r="F83" s="1731"/>
      <c r="G83" s="113"/>
      <c r="H83" s="621"/>
      <c r="I83" s="622"/>
      <c r="J83" s="623"/>
      <c r="K83" s="658"/>
      <c r="L83" s="657"/>
      <c r="M83" s="383" t="s">
        <v>61</v>
      </c>
      <c r="N83" s="648">
        <v>20</v>
      </c>
      <c r="O83" s="651">
        <v>35</v>
      </c>
      <c r="P83" s="650">
        <v>25</v>
      </c>
      <c r="Q83" s="648"/>
    </row>
    <row r="84" spans="1:21" ht="13.5" customHeight="1" x14ac:dyDescent="0.25">
      <c r="A84" s="283"/>
      <c r="B84" s="286"/>
      <c r="C84" s="285"/>
      <c r="D84" s="1877"/>
      <c r="E84" s="47"/>
      <c r="F84" s="615"/>
      <c r="G84" s="279"/>
      <c r="H84" s="621"/>
      <c r="I84" s="622"/>
      <c r="J84" s="623"/>
      <c r="K84" s="658"/>
      <c r="L84" s="657"/>
      <c r="M84" s="384" t="s">
        <v>236</v>
      </c>
      <c r="N84" s="593"/>
      <c r="O84" s="651"/>
      <c r="P84" s="649">
        <v>10</v>
      </c>
      <c r="Q84" s="647"/>
    </row>
    <row r="85" spans="1:21" ht="13.5" customHeight="1" x14ac:dyDescent="0.25">
      <c r="A85" s="176"/>
      <c r="B85" s="177"/>
      <c r="C85" s="178"/>
      <c r="D85" s="1877"/>
      <c r="E85" s="47"/>
      <c r="F85" s="103"/>
      <c r="G85" s="155"/>
      <c r="H85" s="621"/>
      <c r="I85" s="622"/>
      <c r="J85" s="623"/>
      <c r="K85" s="658"/>
      <c r="L85" s="657"/>
      <c r="M85" s="382" t="s">
        <v>110</v>
      </c>
      <c r="N85" s="115"/>
      <c r="O85" s="459"/>
      <c r="P85" s="464"/>
      <c r="Q85" s="115"/>
    </row>
    <row r="86" spans="1:21" ht="13.5" customHeight="1" x14ac:dyDescent="0.25">
      <c r="A86" s="176"/>
      <c r="B86" s="177"/>
      <c r="C86" s="178"/>
      <c r="D86" s="1877"/>
      <c r="E86" s="47"/>
      <c r="F86" s="103"/>
      <c r="G86" s="155"/>
      <c r="H86" s="621"/>
      <c r="I86" s="622"/>
      <c r="J86" s="623"/>
      <c r="K86" s="658"/>
      <c r="L86" s="657"/>
      <c r="M86" s="368" t="s">
        <v>94</v>
      </c>
      <c r="N86" s="158">
        <v>30</v>
      </c>
      <c r="O86" s="460">
        <v>30</v>
      </c>
      <c r="P86" s="466">
        <v>40</v>
      </c>
      <c r="Q86" s="158">
        <v>30</v>
      </c>
    </row>
    <row r="87" spans="1:21" ht="13.5" customHeight="1" x14ac:dyDescent="0.25">
      <c r="A87" s="176"/>
      <c r="B87" s="177"/>
      <c r="C87" s="178"/>
      <c r="D87" s="1877"/>
      <c r="E87" s="47"/>
      <c r="F87" s="247"/>
      <c r="G87" s="113"/>
      <c r="H87" s="156"/>
      <c r="I87" s="305"/>
      <c r="J87" s="315"/>
      <c r="K87" s="321"/>
      <c r="L87" s="758"/>
      <c r="M87" s="384" t="s">
        <v>93</v>
      </c>
      <c r="N87" s="647">
        <v>70</v>
      </c>
      <c r="O87" s="646">
        <v>70</v>
      </c>
      <c r="P87" s="649">
        <v>50</v>
      </c>
      <c r="Q87" s="647">
        <v>70</v>
      </c>
    </row>
    <row r="88" spans="1:21" ht="27" customHeight="1" x14ac:dyDescent="0.25">
      <c r="A88" s="176"/>
      <c r="B88" s="177"/>
      <c r="C88" s="178"/>
      <c r="D88" s="1877"/>
      <c r="E88" s="47"/>
      <c r="F88" s="103"/>
      <c r="G88" s="155"/>
      <c r="H88" s="196" t="s">
        <v>48</v>
      </c>
      <c r="I88" s="307">
        <v>48.2</v>
      </c>
      <c r="J88" s="331"/>
      <c r="K88" s="327"/>
      <c r="L88" s="39"/>
      <c r="M88" s="384" t="s">
        <v>322</v>
      </c>
      <c r="N88" s="648">
        <v>268</v>
      </c>
      <c r="O88" s="459"/>
      <c r="P88" s="465"/>
      <c r="Q88" s="142"/>
    </row>
    <row r="89" spans="1:21" ht="16.399999999999999" customHeight="1" x14ac:dyDescent="0.25">
      <c r="A89" s="176"/>
      <c r="B89" s="177"/>
      <c r="C89" s="178"/>
      <c r="D89" s="1877"/>
      <c r="E89" s="47"/>
      <c r="F89" s="247"/>
      <c r="G89" s="113"/>
      <c r="H89" s="724"/>
      <c r="I89" s="170"/>
      <c r="J89" s="315"/>
      <c r="K89" s="327"/>
      <c r="L89" s="659"/>
      <c r="M89" s="382" t="s">
        <v>111</v>
      </c>
      <c r="N89" s="114"/>
      <c r="O89" s="461"/>
      <c r="P89" s="467"/>
      <c r="Q89" s="114"/>
    </row>
    <row r="90" spans="1:21" ht="28.5" customHeight="1" x14ac:dyDescent="0.25">
      <c r="A90" s="176"/>
      <c r="B90" s="177"/>
      <c r="C90" s="178"/>
      <c r="D90" s="1877"/>
      <c r="E90" s="47"/>
      <c r="F90" s="247"/>
      <c r="G90" s="113"/>
      <c r="H90" s="156"/>
      <c r="I90" s="305"/>
      <c r="J90" s="315"/>
      <c r="K90" s="321"/>
      <c r="L90" s="758"/>
      <c r="M90" s="368" t="s">
        <v>140</v>
      </c>
      <c r="N90" s="158">
        <v>281</v>
      </c>
      <c r="O90" s="460">
        <v>120</v>
      </c>
      <c r="P90" s="466">
        <v>100</v>
      </c>
      <c r="Q90" s="158"/>
    </row>
    <row r="91" spans="1:21" ht="27.75" customHeight="1" x14ac:dyDescent="0.25">
      <c r="A91" s="176"/>
      <c r="B91" s="177"/>
      <c r="C91" s="178"/>
      <c r="D91" s="1877"/>
      <c r="E91" s="47"/>
      <c r="F91" s="247"/>
      <c r="G91" s="113"/>
      <c r="H91" s="196" t="s">
        <v>22</v>
      </c>
      <c r="I91" s="170">
        <f>145-50.4</f>
        <v>94.6</v>
      </c>
      <c r="J91" s="725"/>
      <c r="K91" s="626"/>
      <c r="L91" s="39"/>
      <c r="M91" s="384" t="s">
        <v>323</v>
      </c>
      <c r="N91" s="116">
        <v>0.3</v>
      </c>
      <c r="O91" s="468">
        <v>4.3</v>
      </c>
      <c r="P91" s="656">
        <v>0.6</v>
      </c>
      <c r="Q91" s="116"/>
    </row>
    <row r="92" spans="1:21" ht="17.149999999999999" customHeight="1" x14ac:dyDescent="0.25">
      <c r="A92" s="1657"/>
      <c r="B92" s="1704"/>
      <c r="C92" s="1700"/>
      <c r="D92" s="1878" t="s">
        <v>161</v>
      </c>
      <c r="E92" s="1636" t="s">
        <v>143</v>
      </c>
      <c r="F92" s="813" t="s">
        <v>262</v>
      </c>
      <c r="G92" s="1882" t="s">
        <v>59</v>
      </c>
      <c r="H92" s="75" t="s">
        <v>22</v>
      </c>
      <c r="I92" s="229">
        <f>161.1-2.4+5.4</f>
        <v>164.1</v>
      </c>
      <c r="J92" s="872">
        <f>221.6-18.6</f>
        <v>203</v>
      </c>
      <c r="K92" s="320">
        <f>307.1-74.4</f>
        <v>232.7</v>
      </c>
      <c r="L92" s="43">
        <f>307.1-74.4</f>
        <v>232.7</v>
      </c>
      <c r="M92" s="376" t="s">
        <v>81</v>
      </c>
      <c r="N92" s="143">
        <v>185</v>
      </c>
      <c r="O92" s="660">
        <v>206</v>
      </c>
      <c r="P92" s="439">
        <v>206</v>
      </c>
      <c r="Q92" s="143">
        <v>206</v>
      </c>
    </row>
    <row r="93" spans="1:21" ht="29.15" customHeight="1" x14ac:dyDescent="0.25">
      <c r="A93" s="1657"/>
      <c r="B93" s="1704"/>
      <c r="C93" s="1700"/>
      <c r="D93" s="1879"/>
      <c r="E93" s="1637"/>
      <c r="F93" s="242" t="s">
        <v>178</v>
      </c>
      <c r="G93" s="1883"/>
      <c r="H93" s="724"/>
      <c r="I93" s="307"/>
      <c r="J93" s="331"/>
      <c r="K93" s="679"/>
      <c r="L93" s="680"/>
      <c r="M93" s="911" t="s">
        <v>326</v>
      </c>
      <c r="N93" s="99">
        <v>4</v>
      </c>
      <c r="O93" s="661">
        <v>10</v>
      </c>
      <c r="P93" s="440">
        <v>10</v>
      </c>
      <c r="Q93" s="99">
        <v>10</v>
      </c>
    </row>
    <row r="94" spans="1:21" ht="27.65" customHeight="1" x14ac:dyDescent="0.25">
      <c r="A94" s="1657"/>
      <c r="B94" s="1704"/>
      <c r="C94" s="1700"/>
      <c r="D94" s="1879"/>
      <c r="E94" s="1637"/>
      <c r="F94" s="247"/>
      <c r="G94" s="1883"/>
      <c r="H94" s="706" t="s">
        <v>22</v>
      </c>
      <c r="I94" s="170"/>
      <c r="J94" s="331">
        <v>12.7</v>
      </c>
      <c r="K94" s="327">
        <v>12.7</v>
      </c>
      <c r="L94" s="659">
        <v>12.7</v>
      </c>
      <c r="M94" s="384" t="s">
        <v>327</v>
      </c>
      <c r="N94" s="99"/>
      <c r="O94" s="475">
        <v>5</v>
      </c>
      <c r="P94" s="440">
        <v>5</v>
      </c>
      <c r="Q94" s="662">
        <v>5</v>
      </c>
    </row>
    <row r="95" spans="1:21" ht="17.149999999999999" customHeight="1" x14ac:dyDescent="0.25">
      <c r="A95" s="1657"/>
      <c r="B95" s="1704"/>
      <c r="C95" s="1700"/>
      <c r="D95" s="1879"/>
      <c r="E95" s="1637"/>
      <c r="F95" s="247"/>
      <c r="G95" s="1883"/>
      <c r="H95" s="196" t="s">
        <v>22</v>
      </c>
      <c r="I95" s="307">
        <v>24.2</v>
      </c>
      <c r="J95" s="331">
        <v>24.2</v>
      </c>
      <c r="K95" s="679"/>
      <c r="L95" s="680"/>
      <c r="M95" s="378" t="s">
        <v>194</v>
      </c>
      <c r="N95" s="916">
        <v>1</v>
      </c>
      <c r="O95" s="702">
        <v>1</v>
      </c>
      <c r="P95" s="486"/>
      <c r="Q95" s="276"/>
      <c r="R95" s="683"/>
      <c r="S95" s="683"/>
      <c r="T95" s="683"/>
      <c r="U95" s="683"/>
    </row>
    <row r="96" spans="1:21" ht="15" customHeight="1" x14ac:dyDescent="0.25">
      <c r="A96" s="176"/>
      <c r="B96" s="182"/>
      <c r="C96" s="178"/>
      <c r="D96" s="197" t="s">
        <v>298</v>
      </c>
      <c r="E96" s="1636" t="s">
        <v>122</v>
      </c>
      <c r="F96" s="190" t="s">
        <v>136</v>
      </c>
      <c r="G96" s="1857" t="s">
        <v>168</v>
      </c>
      <c r="H96" s="735" t="s">
        <v>48</v>
      </c>
      <c r="I96" s="708">
        <v>10</v>
      </c>
      <c r="J96" s="448"/>
      <c r="K96" s="456"/>
      <c r="L96" s="43"/>
      <c r="M96" s="385" t="s">
        <v>71</v>
      </c>
      <c r="N96" s="597">
        <v>1</v>
      </c>
      <c r="O96" s="428"/>
      <c r="P96" s="439"/>
      <c r="Q96" s="141"/>
    </row>
    <row r="97" spans="1:23" ht="15" customHeight="1" x14ac:dyDescent="0.25">
      <c r="A97" s="695"/>
      <c r="B97" s="696"/>
      <c r="C97" s="697"/>
      <c r="D97" s="693"/>
      <c r="E97" s="1637"/>
      <c r="F97" s="853" t="s">
        <v>308</v>
      </c>
      <c r="G97" s="1850"/>
      <c r="H97" s="196" t="s">
        <v>22</v>
      </c>
      <c r="I97" s="170"/>
      <c r="J97" s="331">
        <v>84</v>
      </c>
      <c r="K97" s="327">
        <v>248.1</v>
      </c>
      <c r="L97" s="659"/>
      <c r="M97" s="700" t="s">
        <v>290</v>
      </c>
      <c r="N97" s="88"/>
      <c r="O97" s="433">
        <v>40</v>
      </c>
      <c r="P97" s="435">
        <v>100</v>
      </c>
      <c r="Q97" s="662"/>
    </row>
    <row r="98" spans="1:23" ht="15" customHeight="1" x14ac:dyDescent="0.25">
      <c r="A98" s="695"/>
      <c r="B98" s="696"/>
      <c r="C98" s="697"/>
      <c r="D98" s="693"/>
      <c r="E98" s="1637"/>
      <c r="F98" s="739" t="s">
        <v>42</v>
      </c>
      <c r="G98" s="1850"/>
      <c r="H98" s="724" t="s">
        <v>132</v>
      </c>
      <c r="I98" s="740"/>
      <c r="J98" s="315">
        <v>24.5</v>
      </c>
      <c r="K98" s="327"/>
      <c r="L98" s="659"/>
      <c r="M98" s="699"/>
      <c r="N98" s="363"/>
      <c r="O98" s="429"/>
      <c r="P98" s="435"/>
      <c r="Q98" s="682"/>
    </row>
    <row r="99" spans="1:23" ht="15" customHeight="1" x14ac:dyDescent="0.25">
      <c r="A99" s="176"/>
      <c r="B99" s="182"/>
      <c r="C99" s="178"/>
      <c r="D99" s="146"/>
      <c r="E99" s="1638"/>
      <c r="F99" s="738" t="s">
        <v>262</v>
      </c>
      <c r="G99" s="1871"/>
      <c r="H99" s="2"/>
      <c r="I99" s="40"/>
      <c r="J99" s="2"/>
      <c r="K99" s="321"/>
      <c r="L99" s="741"/>
      <c r="M99" s="2"/>
      <c r="N99" s="364"/>
      <c r="O99" s="2"/>
      <c r="P99" s="437"/>
      <c r="Q99" s="742"/>
    </row>
    <row r="100" spans="1:23" ht="16.5" customHeight="1" x14ac:dyDescent="0.25">
      <c r="A100" s="176"/>
      <c r="B100" s="182"/>
      <c r="C100" s="178"/>
      <c r="D100" s="1880" t="s">
        <v>166</v>
      </c>
      <c r="E100" s="1636" t="s">
        <v>328</v>
      </c>
      <c r="F100" s="813" t="s">
        <v>262</v>
      </c>
      <c r="G100" s="113" t="s">
        <v>168</v>
      </c>
      <c r="H100" s="75" t="s">
        <v>48</v>
      </c>
      <c r="I100" s="708">
        <v>10</v>
      </c>
      <c r="J100" s="872">
        <v>10</v>
      </c>
      <c r="K100" s="320"/>
      <c r="L100" s="710"/>
      <c r="M100" s="400" t="s">
        <v>71</v>
      </c>
      <c r="N100" s="597">
        <v>1</v>
      </c>
      <c r="O100" s="432">
        <v>1</v>
      </c>
      <c r="P100" s="434"/>
      <c r="Q100" s="94"/>
    </row>
    <row r="101" spans="1:23" ht="16.5" customHeight="1" x14ac:dyDescent="0.25">
      <c r="A101" s="283"/>
      <c r="B101" s="284"/>
      <c r="C101" s="285"/>
      <c r="D101" s="1881"/>
      <c r="E101" s="1638"/>
      <c r="F101" s="737"/>
      <c r="G101" s="279"/>
      <c r="H101" s="707" t="s">
        <v>22</v>
      </c>
      <c r="I101" s="40"/>
      <c r="J101" s="316"/>
      <c r="K101" s="626"/>
      <c r="L101" s="39"/>
      <c r="M101" s="396" t="s">
        <v>290</v>
      </c>
      <c r="N101" s="595">
        <v>100</v>
      </c>
      <c r="O101" s="429"/>
      <c r="P101" s="496"/>
      <c r="Q101" s="257"/>
    </row>
    <row r="102" spans="1:23" ht="29.5" customHeight="1" x14ac:dyDescent="0.25">
      <c r="A102" s="1657"/>
      <c r="B102" s="1704"/>
      <c r="C102" s="1700"/>
      <c r="D102" s="1866" t="s">
        <v>174</v>
      </c>
      <c r="E102" s="1636" t="s">
        <v>202</v>
      </c>
      <c r="F102" s="813" t="s">
        <v>153</v>
      </c>
      <c r="G102" s="928" t="s">
        <v>311</v>
      </c>
      <c r="H102" s="735" t="s">
        <v>22</v>
      </c>
      <c r="I102" s="708"/>
      <c r="J102" s="314"/>
      <c r="K102" s="873">
        <f>150</f>
        <v>150</v>
      </c>
      <c r="L102" s="43">
        <v>150</v>
      </c>
      <c r="M102" s="929" t="s">
        <v>281</v>
      </c>
      <c r="N102" s="597"/>
      <c r="O102" s="896"/>
      <c r="P102" s="434">
        <v>3</v>
      </c>
      <c r="Q102" s="141">
        <v>3</v>
      </c>
    </row>
    <row r="103" spans="1:23" ht="41.15" customHeight="1" x14ac:dyDescent="0.25">
      <c r="A103" s="1657"/>
      <c r="B103" s="1704"/>
      <c r="C103" s="1700"/>
      <c r="D103" s="1877"/>
      <c r="E103" s="1637"/>
      <c r="F103" s="814" t="s">
        <v>262</v>
      </c>
      <c r="G103" s="598" t="s">
        <v>269</v>
      </c>
      <c r="H103" s="706" t="s">
        <v>22</v>
      </c>
      <c r="I103" s="307"/>
      <c r="J103" s="809">
        <v>99.1</v>
      </c>
      <c r="K103" s="760"/>
      <c r="L103" s="659"/>
      <c r="M103" s="832" t="s">
        <v>281</v>
      </c>
      <c r="N103" s="608"/>
      <c r="O103" s="433">
        <v>2</v>
      </c>
      <c r="P103" s="486"/>
      <c r="Q103" s="582"/>
      <c r="R103" s="856"/>
      <c r="S103" s="856"/>
      <c r="T103" s="856"/>
      <c r="U103" s="856"/>
      <c r="V103" s="856"/>
      <c r="W103" s="856"/>
    </row>
    <row r="104" spans="1:23" ht="40.5" customHeight="1" x14ac:dyDescent="0.25">
      <c r="A104" s="1657"/>
      <c r="B104" s="1704"/>
      <c r="C104" s="1700"/>
      <c r="D104" s="1877"/>
      <c r="E104" s="1637"/>
      <c r="F104" s="814" t="s">
        <v>178</v>
      </c>
      <c r="G104" s="948" t="s">
        <v>234</v>
      </c>
      <c r="H104" s="706" t="s">
        <v>22</v>
      </c>
      <c r="I104" s="307"/>
      <c r="J104" s="331">
        <v>12</v>
      </c>
      <c r="K104" s="679"/>
      <c r="L104" s="680"/>
      <c r="M104" s="703" t="s">
        <v>280</v>
      </c>
      <c r="N104" s="584"/>
      <c r="O104" s="526">
        <v>1</v>
      </c>
      <c r="P104" s="440"/>
      <c r="Q104" s="582"/>
    </row>
    <row r="105" spans="1:23" ht="44.15" customHeight="1" x14ac:dyDescent="0.25">
      <c r="A105" s="1657"/>
      <c r="B105" s="1704"/>
      <c r="C105" s="1700"/>
      <c r="D105" s="1877"/>
      <c r="E105" s="1637"/>
      <c r="F105" s="949"/>
      <c r="G105" s="952" t="s">
        <v>170</v>
      </c>
      <c r="H105" s="196" t="s">
        <v>22</v>
      </c>
      <c r="I105" s="170"/>
      <c r="J105" s="871"/>
      <c r="K105" s="153">
        <v>38.9</v>
      </c>
      <c r="L105" s="39"/>
      <c r="M105" s="950" t="s">
        <v>281</v>
      </c>
      <c r="N105" s="88"/>
      <c r="O105" s="526"/>
      <c r="P105" s="748">
        <v>1</v>
      </c>
      <c r="Q105" s="88"/>
    </row>
    <row r="106" spans="1:23" ht="15" customHeight="1" x14ac:dyDescent="0.25">
      <c r="A106" s="176"/>
      <c r="B106" s="182"/>
      <c r="C106" s="178"/>
      <c r="D106" s="1893" t="s">
        <v>173</v>
      </c>
      <c r="E106" s="1727"/>
      <c r="F106" s="1727"/>
      <c r="G106" s="85"/>
      <c r="H106" s="85"/>
      <c r="I106" s="85"/>
      <c r="J106" s="85"/>
      <c r="K106" s="85"/>
      <c r="L106" s="387"/>
      <c r="M106" s="386"/>
      <c r="N106" s="97"/>
      <c r="O106" s="469"/>
      <c r="P106" s="470"/>
      <c r="Q106" s="97"/>
    </row>
    <row r="107" spans="1:23" ht="20.9" customHeight="1" x14ac:dyDescent="0.25">
      <c r="A107" s="176"/>
      <c r="B107" s="182"/>
      <c r="C107" s="178"/>
      <c r="D107" s="145" t="s">
        <v>123</v>
      </c>
      <c r="E107" s="1636" t="s">
        <v>78</v>
      </c>
      <c r="F107" s="242" t="s">
        <v>178</v>
      </c>
      <c r="G107" s="1857" t="s">
        <v>169</v>
      </c>
      <c r="H107" s="75" t="s">
        <v>22</v>
      </c>
      <c r="I107" s="229">
        <v>10</v>
      </c>
      <c r="J107" s="314">
        <v>10</v>
      </c>
      <c r="K107" s="320">
        <v>10</v>
      </c>
      <c r="L107" s="43">
        <v>10</v>
      </c>
      <c r="M107" s="1728" t="s">
        <v>181</v>
      </c>
      <c r="N107" s="98">
        <v>1</v>
      </c>
      <c r="O107" s="444">
        <v>1</v>
      </c>
      <c r="P107" s="452">
        <v>1</v>
      </c>
      <c r="Q107" s="98">
        <v>1</v>
      </c>
    </row>
    <row r="108" spans="1:23" ht="20.9" customHeight="1" x14ac:dyDescent="0.25">
      <c r="A108" s="176"/>
      <c r="B108" s="182"/>
      <c r="C108" s="63"/>
      <c r="D108" s="194"/>
      <c r="E108" s="1638"/>
      <c r="F108" s="840" t="s">
        <v>262</v>
      </c>
      <c r="G108" s="1850"/>
      <c r="H108" s="761"/>
      <c r="I108" s="40"/>
      <c r="J108" s="316"/>
      <c r="K108" s="322"/>
      <c r="L108" s="38"/>
      <c r="M108" s="1729"/>
      <c r="N108" s="96"/>
      <c r="O108" s="431"/>
      <c r="P108" s="437"/>
      <c r="Q108" s="96"/>
    </row>
    <row r="109" spans="1:23" ht="16.5" customHeight="1" x14ac:dyDescent="0.25">
      <c r="A109" s="176"/>
      <c r="B109" s="182"/>
      <c r="C109" s="63"/>
      <c r="D109" s="193" t="s">
        <v>175</v>
      </c>
      <c r="E109" s="1636" t="s">
        <v>63</v>
      </c>
      <c r="F109" s="847" t="s">
        <v>178</v>
      </c>
      <c r="G109" s="1850"/>
      <c r="H109" s="735" t="s">
        <v>22</v>
      </c>
      <c r="I109" s="762">
        <f>935-100+16.3</f>
        <v>851.3</v>
      </c>
      <c r="J109" s="763">
        <v>926.7</v>
      </c>
      <c r="K109" s="764">
        <v>927</v>
      </c>
      <c r="L109" s="765">
        <v>927</v>
      </c>
      <c r="M109" s="397" t="s">
        <v>214</v>
      </c>
      <c r="N109" s="277">
        <v>21</v>
      </c>
      <c r="O109" s="471">
        <v>21</v>
      </c>
      <c r="P109" s="482">
        <v>21</v>
      </c>
      <c r="Q109" s="277">
        <v>21</v>
      </c>
    </row>
    <row r="110" spans="1:23" ht="15.75" customHeight="1" x14ac:dyDescent="0.25">
      <c r="A110" s="176"/>
      <c r="B110" s="182"/>
      <c r="C110" s="84"/>
      <c r="D110" s="195"/>
      <c r="E110" s="1637"/>
      <c r="F110" s="242" t="s">
        <v>136</v>
      </c>
      <c r="G110" s="1850"/>
      <c r="H110" s="706" t="s">
        <v>37</v>
      </c>
      <c r="I110" s="170">
        <v>7.7</v>
      </c>
      <c r="J110" s="709">
        <v>7.7</v>
      </c>
      <c r="K110" s="327">
        <v>7.7</v>
      </c>
      <c r="L110" s="39">
        <v>7.7</v>
      </c>
      <c r="M110" s="398" t="s">
        <v>215</v>
      </c>
      <c r="N110" s="117">
        <v>98</v>
      </c>
      <c r="O110" s="472">
        <v>98</v>
      </c>
      <c r="P110" s="483">
        <v>98</v>
      </c>
      <c r="Q110" s="117">
        <v>98</v>
      </c>
    </row>
    <row r="111" spans="1:23" ht="15.75" customHeight="1" x14ac:dyDescent="0.25">
      <c r="A111" s="176"/>
      <c r="B111" s="177"/>
      <c r="C111" s="84"/>
      <c r="D111" s="106"/>
      <c r="E111" s="1637"/>
      <c r="F111" s="814" t="s">
        <v>262</v>
      </c>
      <c r="G111" s="1850"/>
      <c r="H111" s="706" t="s">
        <v>64</v>
      </c>
      <c r="I111" s="740"/>
      <c r="J111" s="709">
        <v>0.6</v>
      </c>
      <c r="K111" s="327"/>
      <c r="L111" s="680"/>
      <c r="M111" s="373" t="s">
        <v>80</v>
      </c>
      <c r="N111" s="213">
        <v>6</v>
      </c>
      <c r="O111" s="473">
        <v>6</v>
      </c>
      <c r="P111" s="484">
        <v>6</v>
      </c>
      <c r="Q111" s="213">
        <v>6</v>
      </c>
    </row>
    <row r="112" spans="1:23" ht="15.75" customHeight="1" x14ac:dyDescent="0.25">
      <c r="A112" s="176"/>
      <c r="B112" s="182"/>
      <c r="C112" s="84"/>
      <c r="D112" s="106"/>
      <c r="E112" s="1637"/>
      <c r="F112" s="173"/>
      <c r="G112" s="1850"/>
      <c r="H112" s="196"/>
      <c r="I112" s="740"/>
      <c r="J112" s="709"/>
      <c r="K112" s="327"/>
      <c r="L112" s="39"/>
      <c r="M112" s="370" t="s">
        <v>112</v>
      </c>
      <c r="N112" s="663">
        <v>40</v>
      </c>
      <c r="O112" s="473">
        <v>40</v>
      </c>
      <c r="P112" s="484">
        <v>40</v>
      </c>
      <c r="Q112" s="213">
        <v>40</v>
      </c>
    </row>
    <row r="113" spans="1:17" ht="15.75" customHeight="1" x14ac:dyDescent="0.25">
      <c r="A113" s="176"/>
      <c r="B113" s="182"/>
      <c r="C113" s="84"/>
      <c r="D113" s="106"/>
      <c r="E113" s="1637"/>
      <c r="F113" s="173"/>
      <c r="G113" s="1850"/>
      <c r="H113" s="196"/>
      <c r="I113" s="170"/>
      <c r="J113" s="315"/>
      <c r="K113" s="321"/>
      <c r="L113" s="39"/>
      <c r="M113" s="373" t="s">
        <v>282</v>
      </c>
      <c r="N113" s="664">
        <v>10</v>
      </c>
      <c r="O113" s="474">
        <v>9</v>
      </c>
      <c r="P113" s="485">
        <v>9</v>
      </c>
      <c r="Q113" s="118">
        <v>9</v>
      </c>
    </row>
    <row r="114" spans="1:17" ht="15" customHeight="1" x14ac:dyDescent="0.25">
      <c r="A114" s="176"/>
      <c r="B114" s="182"/>
      <c r="C114" s="84"/>
      <c r="D114" s="106"/>
      <c r="E114" s="1637"/>
      <c r="F114" s="173"/>
      <c r="G114" s="1850"/>
      <c r="H114" s="196"/>
      <c r="I114" s="170"/>
      <c r="J114" s="315"/>
      <c r="K114" s="321"/>
      <c r="L114" s="39"/>
      <c r="M114" s="1730" t="s">
        <v>182</v>
      </c>
      <c r="N114" s="113">
        <v>1</v>
      </c>
      <c r="O114" s="544">
        <v>1</v>
      </c>
      <c r="P114" s="547">
        <v>1</v>
      </c>
      <c r="Q114" s="127">
        <v>1</v>
      </c>
    </row>
    <row r="115" spans="1:17" ht="12.65" customHeight="1" x14ac:dyDescent="0.25">
      <c r="A115" s="176"/>
      <c r="B115" s="182"/>
      <c r="C115" s="84"/>
      <c r="D115" s="106"/>
      <c r="E115" s="183"/>
      <c r="F115" s="173"/>
      <c r="G115" s="1850"/>
      <c r="H115" s="196"/>
      <c r="I115" s="170"/>
      <c r="J115" s="315"/>
      <c r="K115" s="321"/>
      <c r="L115" s="39"/>
      <c r="M115" s="1730"/>
      <c r="N115" s="751"/>
      <c r="O115" s="842"/>
      <c r="P115" s="324"/>
      <c r="Q115" s="843"/>
    </row>
    <row r="116" spans="1:17" ht="14.9" customHeight="1" x14ac:dyDescent="0.25">
      <c r="A116" s="834"/>
      <c r="B116" s="836"/>
      <c r="C116" s="84"/>
      <c r="D116" s="106"/>
      <c r="E116" s="837"/>
      <c r="F116" s="173"/>
      <c r="G116" s="835"/>
      <c r="H116" s="196"/>
      <c r="I116" s="170"/>
      <c r="J116" s="315"/>
      <c r="K116" s="321"/>
      <c r="L116" s="39"/>
      <c r="M116" s="833" t="s">
        <v>306</v>
      </c>
      <c r="N116" s="88">
        <v>1</v>
      </c>
      <c r="O116" s="468"/>
      <c r="P116" s="752"/>
      <c r="Q116" s="119"/>
    </row>
    <row r="117" spans="1:17" ht="28.5" customHeight="1" x14ac:dyDescent="0.25">
      <c r="A117" s="834"/>
      <c r="B117" s="836"/>
      <c r="C117" s="84"/>
      <c r="D117" s="106"/>
      <c r="E117" s="837"/>
      <c r="F117" s="173"/>
      <c r="G117" s="835"/>
      <c r="H117" s="196"/>
      <c r="I117" s="170"/>
      <c r="J117" s="315"/>
      <c r="K117" s="321"/>
      <c r="L117" s="39"/>
      <c r="M117" s="833" t="s">
        <v>307</v>
      </c>
      <c r="N117" s="584">
        <v>100</v>
      </c>
      <c r="O117" s="318"/>
      <c r="P117" s="752"/>
      <c r="Q117" s="734"/>
    </row>
    <row r="118" spans="1:17" ht="14.9" customHeight="1" x14ac:dyDescent="0.25">
      <c r="A118" s="271"/>
      <c r="B118" s="273"/>
      <c r="C118" s="84"/>
      <c r="D118" s="106"/>
      <c r="E118" s="274"/>
      <c r="F118" s="173"/>
      <c r="G118" s="269"/>
      <c r="H118" s="156"/>
      <c r="I118" s="305"/>
      <c r="J118" s="759"/>
      <c r="K118" s="757"/>
      <c r="L118" s="758"/>
      <c r="M118" s="381" t="s">
        <v>217</v>
      </c>
      <c r="N118" s="276">
        <v>1</v>
      </c>
      <c r="O118" s="475"/>
      <c r="P118" s="486"/>
      <c r="Q118" s="276"/>
    </row>
    <row r="119" spans="1:17" ht="14.9" customHeight="1" x14ac:dyDescent="0.25">
      <c r="A119" s="636"/>
      <c r="B119" s="637"/>
      <c r="C119" s="84"/>
      <c r="D119" s="106"/>
      <c r="E119" s="640"/>
      <c r="F119" s="173"/>
      <c r="G119" s="632"/>
      <c r="H119" s="156" t="s">
        <v>22</v>
      </c>
      <c r="I119" s="305"/>
      <c r="J119" s="315"/>
      <c r="K119" s="321">
        <v>15</v>
      </c>
      <c r="L119" s="758">
        <v>16.399999999999999</v>
      </c>
      <c r="M119" s="381" t="s">
        <v>283</v>
      </c>
      <c r="N119" s="276"/>
      <c r="O119" s="581"/>
      <c r="P119" s="581">
        <v>1</v>
      </c>
      <c r="Q119" s="582">
        <v>1</v>
      </c>
    </row>
    <row r="120" spans="1:17" ht="15.65" customHeight="1" x14ac:dyDescent="0.25">
      <c r="A120" s="176"/>
      <c r="B120" s="182"/>
      <c r="C120" s="84"/>
      <c r="D120" s="106"/>
      <c r="E120" s="175"/>
      <c r="F120" s="927"/>
      <c r="G120" s="241"/>
      <c r="H120" s="724" t="s">
        <v>22</v>
      </c>
      <c r="I120" s="740"/>
      <c r="J120" s="709">
        <v>13.3</v>
      </c>
      <c r="K120" s="327"/>
      <c r="L120" s="659"/>
      <c r="M120" s="919" t="s">
        <v>284</v>
      </c>
      <c r="N120" s="895">
        <v>3</v>
      </c>
      <c r="O120" s="457">
        <v>4</v>
      </c>
      <c r="P120" s="462"/>
      <c r="Q120" s="925"/>
    </row>
    <row r="121" spans="1:17" ht="16.399999999999999" customHeight="1" x14ac:dyDescent="0.25">
      <c r="A121" s="176"/>
      <c r="B121" s="182"/>
      <c r="C121" s="84"/>
      <c r="D121" s="106"/>
      <c r="E121" s="1723" t="s">
        <v>185</v>
      </c>
      <c r="F121" s="920" t="s">
        <v>153</v>
      </c>
      <c r="G121" s="113"/>
      <c r="H121" s="196"/>
      <c r="I121" s="170"/>
      <c r="J121" s="871"/>
      <c r="K121" s="321"/>
      <c r="L121" s="743"/>
      <c r="M121" s="921" t="s">
        <v>264</v>
      </c>
      <c r="N121" s="922"/>
      <c r="O121" s="923">
        <v>2</v>
      </c>
      <c r="P121" s="924">
        <v>2</v>
      </c>
      <c r="Q121" s="926">
        <v>2</v>
      </c>
    </row>
    <row r="122" spans="1:17" ht="16.399999999999999" customHeight="1" x14ac:dyDescent="0.25">
      <c r="A122" s="636"/>
      <c r="B122" s="637"/>
      <c r="C122" s="84"/>
      <c r="D122" s="106"/>
      <c r="E122" s="1637"/>
      <c r="F122" s="242" t="s">
        <v>136</v>
      </c>
      <c r="G122" s="632"/>
      <c r="H122" s="196"/>
      <c r="I122" s="170"/>
      <c r="J122" s="871"/>
      <c r="K122" s="321"/>
      <c r="L122" s="743"/>
      <c r="M122" s="901"/>
      <c r="N122" s="905"/>
      <c r="O122" s="317"/>
      <c r="P122" s="323"/>
      <c r="Q122" s="604"/>
    </row>
    <row r="123" spans="1:17" ht="16.399999999999999" customHeight="1" x14ac:dyDescent="0.25">
      <c r="A123" s="636"/>
      <c r="B123" s="637"/>
      <c r="C123" s="84"/>
      <c r="D123" s="106"/>
      <c r="E123" s="1637"/>
      <c r="F123" s="642" t="s">
        <v>262</v>
      </c>
      <c r="G123" s="632"/>
      <c r="H123" s="196"/>
      <c r="I123" s="170"/>
      <c r="J123" s="315"/>
      <c r="K123" s="321"/>
      <c r="L123" s="743"/>
      <c r="M123" s="902"/>
      <c r="N123" s="245"/>
      <c r="O123" s="476"/>
      <c r="P123" s="907"/>
      <c r="Q123" s="910"/>
    </row>
    <row r="124" spans="1:17" ht="16.399999999999999" customHeight="1" x14ac:dyDescent="0.25">
      <c r="A124" s="176"/>
      <c r="B124" s="182"/>
      <c r="C124" s="84"/>
      <c r="D124" s="106"/>
      <c r="E124" s="1638"/>
      <c r="F124" s="854" t="s">
        <v>308</v>
      </c>
      <c r="G124" s="631"/>
      <c r="H124" s="869"/>
      <c r="I124" s="40"/>
      <c r="J124" s="316"/>
      <c r="K124" s="322"/>
      <c r="L124" s="741"/>
      <c r="M124" s="903"/>
      <c r="N124" s="904"/>
      <c r="O124" s="906"/>
      <c r="P124" s="908"/>
      <c r="Q124" s="909"/>
    </row>
    <row r="125" spans="1:17" ht="14.9" customHeight="1" x14ac:dyDescent="0.25">
      <c r="A125" s="1657"/>
      <c r="B125" s="1658"/>
      <c r="C125" s="84"/>
      <c r="D125" s="1866" t="s">
        <v>176</v>
      </c>
      <c r="E125" s="1636" t="s">
        <v>120</v>
      </c>
      <c r="F125" s="814" t="s">
        <v>262</v>
      </c>
      <c r="G125" s="113"/>
      <c r="H125" s="735" t="s">
        <v>22</v>
      </c>
      <c r="I125" s="170">
        <v>25.4</v>
      </c>
      <c r="J125" s="314">
        <v>33.6</v>
      </c>
      <c r="K125" s="320">
        <v>33.6</v>
      </c>
      <c r="L125" s="710">
        <v>33.6</v>
      </c>
      <c r="M125" s="376" t="s">
        <v>88</v>
      </c>
      <c r="N125" s="143">
        <v>2</v>
      </c>
      <c r="O125" s="432">
        <v>2</v>
      </c>
      <c r="P125" s="439">
        <v>2</v>
      </c>
      <c r="Q125" s="143">
        <v>2</v>
      </c>
    </row>
    <row r="126" spans="1:17" ht="14.9" customHeight="1" x14ac:dyDescent="0.25">
      <c r="A126" s="1657"/>
      <c r="B126" s="1658"/>
      <c r="C126" s="84"/>
      <c r="D126" s="1877"/>
      <c r="E126" s="1637"/>
      <c r="F126" s="247"/>
      <c r="G126" s="113"/>
      <c r="H126" s="766" t="s">
        <v>64</v>
      </c>
      <c r="I126" s="307">
        <v>1.4</v>
      </c>
      <c r="J126" s="709">
        <v>1.5</v>
      </c>
      <c r="K126" s="679"/>
      <c r="L126" s="39"/>
      <c r="M126" s="377" t="s">
        <v>215</v>
      </c>
      <c r="N126" s="99">
        <v>5</v>
      </c>
      <c r="O126" s="433">
        <v>5</v>
      </c>
      <c r="P126" s="440">
        <v>5</v>
      </c>
      <c r="Q126" s="99">
        <v>5</v>
      </c>
    </row>
    <row r="127" spans="1:17" ht="14.9" customHeight="1" x14ac:dyDescent="0.25">
      <c r="A127" s="1657"/>
      <c r="B127" s="1658"/>
      <c r="C127" s="84"/>
      <c r="D127" s="1867"/>
      <c r="E127" s="1638"/>
      <c r="F127" s="828"/>
      <c r="G127" s="113"/>
      <c r="H127" s="707" t="s">
        <v>37</v>
      </c>
      <c r="I127" s="625">
        <v>5</v>
      </c>
      <c r="J127" s="725">
        <v>5</v>
      </c>
      <c r="K127" s="626">
        <v>5</v>
      </c>
      <c r="L127" s="726">
        <v>5</v>
      </c>
      <c r="M127" s="256"/>
      <c r="N127" s="388"/>
      <c r="O127" s="293"/>
      <c r="P127" s="487"/>
      <c r="Q127" s="388"/>
    </row>
    <row r="128" spans="1:17" ht="15" customHeight="1" x14ac:dyDescent="0.25">
      <c r="A128" s="176"/>
      <c r="B128" s="182"/>
      <c r="C128" s="84"/>
      <c r="D128" s="144" t="s">
        <v>211</v>
      </c>
      <c r="E128" s="1637" t="s">
        <v>52</v>
      </c>
      <c r="F128" s="814" t="s">
        <v>262</v>
      </c>
      <c r="G128" s="113"/>
      <c r="H128" s="75" t="s">
        <v>37</v>
      </c>
      <c r="I128" s="229">
        <v>21</v>
      </c>
      <c r="J128" s="448">
        <v>21</v>
      </c>
      <c r="K128" s="320">
        <v>21</v>
      </c>
      <c r="L128" s="43">
        <v>21</v>
      </c>
      <c r="M128" s="393" t="s">
        <v>214</v>
      </c>
      <c r="N128" s="94">
        <v>2</v>
      </c>
      <c r="O128" s="428">
        <v>2</v>
      </c>
      <c r="P128" s="434">
        <v>2</v>
      </c>
      <c r="Q128" s="94">
        <v>2</v>
      </c>
    </row>
    <row r="129" spans="1:17" ht="15" customHeight="1" x14ac:dyDescent="0.25">
      <c r="A129" s="176"/>
      <c r="B129" s="182"/>
      <c r="C129" s="63"/>
      <c r="D129" s="195"/>
      <c r="E129" s="1638"/>
      <c r="F129" s="200"/>
      <c r="G129" s="113"/>
      <c r="H129" s="767" t="s">
        <v>64</v>
      </c>
      <c r="I129" s="625">
        <v>1.3</v>
      </c>
      <c r="J129" s="316">
        <v>0.8</v>
      </c>
      <c r="K129" s="626"/>
      <c r="L129" s="726"/>
      <c r="M129" s="394"/>
      <c r="N129" s="96"/>
      <c r="O129" s="431"/>
      <c r="P129" s="437"/>
      <c r="Q129" s="96"/>
    </row>
    <row r="130" spans="1:17" ht="29.9" customHeight="1" x14ac:dyDescent="0.25">
      <c r="A130" s="176"/>
      <c r="B130" s="182"/>
      <c r="C130" s="63"/>
      <c r="D130" s="193" t="s">
        <v>268</v>
      </c>
      <c r="E130" s="829" t="s">
        <v>148</v>
      </c>
      <c r="F130" s="852" t="s">
        <v>178</v>
      </c>
      <c r="G130" s="1838"/>
      <c r="H130" s="841" t="s">
        <v>22</v>
      </c>
      <c r="I130" s="708"/>
      <c r="J130" s="448">
        <v>320</v>
      </c>
      <c r="K130" s="456">
        <v>150</v>
      </c>
      <c r="L130" s="710"/>
      <c r="M130" s="395" t="s">
        <v>192</v>
      </c>
      <c r="N130" s="389"/>
      <c r="O130" s="488">
        <v>8</v>
      </c>
      <c r="P130" s="490">
        <v>3</v>
      </c>
      <c r="Q130" s="389"/>
    </row>
    <row r="131" spans="1:17" ht="43.5" customHeight="1" x14ac:dyDescent="0.25">
      <c r="A131" s="176"/>
      <c r="B131" s="182"/>
      <c r="C131" s="63"/>
      <c r="D131" s="195"/>
      <c r="E131" s="667"/>
      <c r="F131" s="814" t="s">
        <v>262</v>
      </c>
      <c r="G131" s="1838"/>
      <c r="H131" s="203" t="s">
        <v>48</v>
      </c>
      <c r="I131" s="40">
        <f>77.5-67.5-0.1</f>
        <v>9.9</v>
      </c>
      <c r="J131" s="316">
        <v>79.8</v>
      </c>
      <c r="K131" s="322"/>
      <c r="L131" s="38"/>
      <c r="M131" s="396" t="s">
        <v>147</v>
      </c>
      <c r="N131" s="390"/>
      <c r="O131" s="477"/>
      <c r="P131" s="489"/>
      <c r="Q131" s="390"/>
    </row>
    <row r="132" spans="1:17" ht="42.65" customHeight="1" x14ac:dyDescent="0.25">
      <c r="A132" s="636"/>
      <c r="B132" s="637"/>
      <c r="C132" s="63"/>
      <c r="D132" s="917" t="s">
        <v>299</v>
      </c>
      <c r="E132" s="1637" t="s">
        <v>265</v>
      </c>
      <c r="F132" s="914" t="s">
        <v>276</v>
      </c>
      <c r="G132" s="643"/>
      <c r="H132" s="754" t="s">
        <v>22</v>
      </c>
      <c r="I132" s="708"/>
      <c r="J132" s="872"/>
      <c r="K132" s="873"/>
      <c r="L132" s="207">
        <v>500</v>
      </c>
      <c r="M132" s="645" t="s">
        <v>266</v>
      </c>
      <c r="N132" s="665"/>
      <c r="O132" s="445"/>
      <c r="P132" s="490"/>
      <c r="Q132" s="666">
        <v>50</v>
      </c>
    </row>
    <row r="133" spans="1:17" ht="41.15" customHeight="1" x14ac:dyDescent="0.25">
      <c r="A133" s="636"/>
      <c r="B133" s="637"/>
      <c r="C133" s="63"/>
      <c r="D133" s="918"/>
      <c r="E133" s="1638"/>
      <c r="F133" s="913" t="s">
        <v>178</v>
      </c>
      <c r="G133" s="643"/>
      <c r="H133" s="17" t="s">
        <v>22</v>
      </c>
      <c r="I133" s="170"/>
      <c r="J133" s="871"/>
      <c r="K133" s="321">
        <f>59.4+444.9</f>
        <v>504.3</v>
      </c>
      <c r="L133" s="39"/>
      <c r="M133" s="396" t="s">
        <v>267</v>
      </c>
      <c r="N133" s="205"/>
      <c r="O133" s="477"/>
      <c r="P133" s="453">
        <v>100</v>
      </c>
      <c r="Q133" s="205"/>
    </row>
    <row r="134" spans="1:17" ht="29.15" customHeight="1" x14ac:dyDescent="0.25">
      <c r="A134" s="176"/>
      <c r="B134" s="182"/>
      <c r="C134" s="63"/>
      <c r="D134" s="193" t="s">
        <v>300</v>
      </c>
      <c r="E134" s="174" t="s">
        <v>154</v>
      </c>
      <c r="F134" s="852" t="s">
        <v>262</v>
      </c>
      <c r="G134" s="243"/>
      <c r="H134" s="29" t="s">
        <v>22</v>
      </c>
      <c r="I134" s="708"/>
      <c r="J134" s="448">
        <v>8.4</v>
      </c>
      <c r="K134" s="456"/>
      <c r="L134" s="167"/>
      <c r="M134" s="366" t="s">
        <v>324</v>
      </c>
      <c r="N134" s="391"/>
      <c r="O134" s="478">
        <v>1</v>
      </c>
      <c r="P134" s="490"/>
      <c r="Q134" s="391"/>
    </row>
    <row r="135" spans="1:17" ht="17.899999999999999" customHeight="1" x14ac:dyDescent="0.25">
      <c r="A135" s="176"/>
      <c r="B135" s="182"/>
      <c r="C135" s="63"/>
      <c r="D135" s="194"/>
      <c r="E135" s="179"/>
      <c r="F135" s="855" t="s">
        <v>178</v>
      </c>
      <c r="G135" s="244"/>
      <c r="H135" s="602" t="s">
        <v>48</v>
      </c>
      <c r="I135" s="40">
        <f>16-9.3+0.1</f>
        <v>6.8</v>
      </c>
      <c r="J135" s="316">
        <v>102</v>
      </c>
      <c r="K135" s="322"/>
      <c r="L135" s="726"/>
      <c r="M135" s="396" t="s">
        <v>218</v>
      </c>
      <c r="N135" s="392">
        <v>1</v>
      </c>
      <c r="O135" s="479"/>
      <c r="P135" s="491"/>
      <c r="Q135" s="392"/>
    </row>
    <row r="136" spans="1:17" ht="16.5" customHeight="1" thickBot="1" x14ac:dyDescent="0.3">
      <c r="A136" s="19"/>
      <c r="B136" s="91"/>
      <c r="C136" s="62"/>
      <c r="D136" s="246"/>
      <c r="E136" s="224"/>
      <c r="F136" s="228"/>
      <c r="G136" s="240"/>
      <c r="H136" s="16" t="s">
        <v>4</v>
      </c>
      <c r="I136" s="210">
        <f>SUM(I18:I135)</f>
        <v>7721.9</v>
      </c>
      <c r="J136" s="328">
        <f>SUM(J18:J135)</f>
        <v>5700.2</v>
      </c>
      <c r="K136" s="329">
        <f>SUM(K18:K135)</f>
        <v>9112.2999999999993</v>
      </c>
      <c r="L136" s="131">
        <f>SUM(L18:L135)</f>
        <v>12018.4</v>
      </c>
      <c r="M136" s="378"/>
      <c r="N136" s="226"/>
      <c r="O136" s="480"/>
      <c r="P136" s="345"/>
      <c r="Q136" s="226"/>
    </row>
    <row r="137" spans="1:17" ht="27" customHeight="1" x14ac:dyDescent="0.25">
      <c r="A137" s="176" t="s">
        <v>3</v>
      </c>
      <c r="B137" s="182" t="s">
        <v>3</v>
      </c>
      <c r="C137" s="178" t="s">
        <v>5</v>
      </c>
      <c r="D137" s="31"/>
      <c r="E137" s="34" t="s">
        <v>44</v>
      </c>
      <c r="F137" s="238"/>
      <c r="G137" s="983"/>
      <c r="H137" s="208"/>
      <c r="I137" s="306"/>
      <c r="J137" s="330"/>
      <c r="K137" s="333"/>
      <c r="L137" s="134"/>
      <c r="M137" s="399"/>
      <c r="N137" s="120"/>
      <c r="O137" s="481"/>
      <c r="P137" s="492"/>
      <c r="Q137" s="120"/>
    </row>
    <row r="138" spans="1:17" ht="27" customHeight="1" x14ac:dyDescent="0.25">
      <c r="A138" s="1657"/>
      <c r="B138" s="1704"/>
      <c r="C138" s="1700"/>
      <c r="D138" s="1877" t="s">
        <v>3</v>
      </c>
      <c r="E138" s="1636" t="s">
        <v>55</v>
      </c>
      <c r="F138" s="814" t="s">
        <v>262</v>
      </c>
      <c r="G138" s="1869" t="s">
        <v>172</v>
      </c>
      <c r="H138" s="768" t="s">
        <v>22</v>
      </c>
      <c r="I138" s="229">
        <f>2931-150.7+310.8</f>
        <v>3091.1</v>
      </c>
      <c r="J138" s="769">
        <v>3522.2</v>
      </c>
      <c r="K138" s="770">
        <v>3522.2</v>
      </c>
      <c r="L138" s="596">
        <v>3522.2</v>
      </c>
      <c r="M138" s="366" t="s">
        <v>117</v>
      </c>
      <c r="N138" s="121">
        <v>8.9</v>
      </c>
      <c r="O138" s="882">
        <v>8.9</v>
      </c>
      <c r="P138" s="883">
        <v>8.9</v>
      </c>
      <c r="Q138" s="121">
        <v>8.9</v>
      </c>
    </row>
    <row r="139" spans="1:17" ht="16.5" customHeight="1" x14ac:dyDescent="0.25">
      <c r="A139" s="1657"/>
      <c r="B139" s="1704"/>
      <c r="C139" s="1700"/>
      <c r="D139" s="1877"/>
      <c r="E139" s="1722"/>
      <c r="F139" s="828"/>
      <c r="G139" s="1870"/>
      <c r="H139" s="156" t="s">
        <v>48</v>
      </c>
      <c r="I139" s="305">
        <f>150.7+9.3</f>
        <v>160</v>
      </c>
      <c r="J139" s="759"/>
      <c r="K139" s="757"/>
      <c r="L139" s="133"/>
      <c r="M139" s="396" t="s">
        <v>103</v>
      </c>
      <c r="N139" s="111">
        <v>425</v>
      </c>
      <c r="O139" s="493">
        <v>425</v>
      </c>
      <c r="P139" s="496">
        <v>425</v>
      </c>
      <c r="Q139" s="111">
        <v>425</v>
      </c>
    </row>
    <row r="140" spans="1:17" ht="14.9" customHeight="1" x14ac:dyDescent="0.25">
      <c r="A140" s="1657"/>
      <c r="B140" s="1704"/>
      <c r="C140" s="1700"/>
      <c r="D140" s="1866" t="s">
        <v>5</v>
      </c>
      <c r="E140" s="1711" t="s">
        <v>34</v>
      </c>
      <c r="F140" s="814" t="s">
        <v>262</v>
      </c>
      <c r="G140" s="984"/>
      <c r="H140" s="768" t="s">
        <v>22</v>
      </c>
      <c r="I140" s="229">
        <v>150</v>
      </c>
      <c r="J140" s="769">
        <v>175.4</v>
      </c>
      <c r="K140" s="320">
        <v>175.4</v>
      </c>
      <c r="L140" s="43">
        <v>175.4</v>
      </c>
      <c r="M140" s="378" t="s">
        <v>36</v>
      </c>
      <c r="N140" s="88">
        <v>60</v>
      </c>
      <c r="O140" s="429">
        <v>60</v>
      </c>
      <c r="P140" s="435">
        <v>60</v>
      </c>
      <c r="Q140" s="88">
        <v>60</v>
      </c>
    </row>
    <row r="141" spans="1:17" ht="26.5" customHeight="1" x14ac:dyDescent="0.25">
      <c r="A141" s="1657"/>
      <c r="B141" s="1704"/>
      <c r="C141" s="1700"/>
      <c r="D141" s="1877"/>
      <c r="E141" s="1721"/>
      <c r="F141" s="838"/>
      <c r="G141" s="984"/>
      <c r="H141" s="196" t="s">
        <v>37</v>
      </c>
      <c r="I141" s="170">
        <v>2</v>
      </c>
      <c r="J141" s="315">
        <v>2</v>
      </c>
      <c r="K141" s="321">
        <v>2</v>
      </c>
      <c r="L141" s="39">
        <v>2</v>
      </c>
      <c r="M141" s="377" t="s">
        <v>56</v>
      </c>
      <c r="N141" s="122">
        <v>1500</v>
      </c>
      <c r="O141" s="494">
        <v>1500</v>
      </c>
      <c r="P141" s="497">
        <v>1500</v>
      </c>
      <c r="Q141" s="122">
        <v>1500</v>
      </c>
    </row>
    <row r="142" spans="1:17" ht="15" customHeight="1" x14ac:dyDescent="0.25">
      <c r="A142" s="176"/>
      <c r="B142" s="182"/>
      <c r="C142" s="178"/>
      <c r="D142" s="195"/>
      <c r="E142" s="180"/>
      <c r="F142" s="838"/>
      <c r="G142" s="113"/>
      <c r="H142" s="771" t="s">
        <v>22</v>
      </c>
      <c r="I142" s="307"/>
      <c r="J142" s="331"/>
      <c r="K142" s="679"/>
      <c r="L142" s="772"/>
      <c r="M142" s="1662" t="s">
        <v>184</v>
      </c>
      <c r="N142" s="1844"/>
      <c r="O142" s="1715">
        <v>1</v>
      </c>
      <c r="P142" s="1717"/>
      <c r="Q142" s="1719"/>
    </row>
    <row r="143" spans="1:17" ht="15" customHeight="1" x14ac:dyDescent="0.25">
      <c r="A143" s="636"/>
      <c r="B143" s="637"/>
      <c r="C143" s="638"/>
      <c r="D143" s="633"/>
      <c r="E143" s="641"/>
      <c r="F143" s="838"/>
      <c r="G143" s="632"/>
      <c r="H143" s="156" t="s">
        <v>48</v>
      </c>
      <c r="I143" s="307"/>
      <c r="J143" s="331">
        <v>30</v>
      </c>
      <c r="K143" s="321"/>
      <c r="L143" s="39"/>
      <c r="M143" s="1663"/>
      <c r="N143" s="1845"/>
      <c r="O143" s="1716"/>
      <c r="P143" s="1718"/>
      <c r="Q143" s="1720"/>
    </row>
    <row r="144" spans="1:17" ht="15" customHeight="1" x14ac:dyDescent="0.25">
      <c r="A144" s="283"/>
      <c r="B144" s="284"/>
      <c r="C144" s="285"/>
      <c r="D144" s="280"/>
      <c r="E144" s="287"/>
      <c r="F144" s="838"/>
      <c r="G144" s="279"/>
      <c r="H144" s="706" t="s">
        <v>22</v>
      </c>
      <c r="I144" s="170"/>
      <c r="J144" s="315"/>
      <c r="K144" s="327"/>
      <c r="L144" s="659"/>
      <c r="M144" s="1662" t="s">
        <v>191</v>
      </c>
      <c r="N144" s="1844"/>
      <c r="O144" s="1715">
        <v>1</v>
      </c>
      <c r="P144" s="1717"/>
      <c r="Q144" s="1719"/>
    </row>
    <row r="145" spans="1:21" ht="15" customHeight="1" x14ac:dyDescent="0.25">
      <c r="A145" s="636"/>
      <c r="B145" s="637"/>
      <c r="C145" s="638"/>
      <c r="D145" s="633"/>
      <c r="E145" s="641"/>
      <c r="F145" s="838"/>
      <c r="G145" s="632"/>
      <c r="H145" s="156" t="s">
        <v>48</v>
      </c>
      <c r="I145" s="307"/>
      <c r="J145" s="331">
        <v>150</v>
      </c>
      <c r="K145" s="679"/>
      <c r="L145" s="680"/>
      <c r="M145" s="1663"/>
      <c r="N145" s="1845"/>
      <c r="O145" s="1716"/>
      <c r="P145" s="1718"/>
      <c r="Q145" s="1720"/>
    </row>
    <row r="146" spans="1:21" ht="40.5" customHeight="1" x14ac:dyDescent="0.25">
      <c r="A146" s="636"/>
      <c r="B146" s="637"/>
      <c r="C146" s="638"/>
      <c r="D146" s="633"/>
      <c r="E146" s="641"/>
      <c r="F146" s="838"/>
      <c r="G146" s="632"/>
      <c r="H146" s="705" t="s">
        <v>22</v>
      </c>
      <c r="I146" s="773"/>
      <c r="J146" s="331">
        <v>51</v>
      </c>
      <c r="K146" s="679"/>
      <c r="L146" s="659"/>
      <c r="M146" s="381" t="s">
        <v>237</v>
      </c>
      <c r="N146" s="668"/>
      <c r="O146" s="599">
        <v>1</v>
      </c>
      <c r="P146" s="498"/>
      <c r="Q146" s="100"/>
    </row>
    <row r="147" spans="1:21" ht="42.65" customHeight="1" x14ac:dyDescent="0.25">
      <c r="A147" s="176"/>
      <c r="B147" s="182"/>
      <c r="C147" s="178"/>
      <c r="D147" s="195"/>
      <c r="E147" s="180"/>
      <c r="F147" s="820"/>
      <c r="G147" s="113"/>
      <c r="H147" s="689" t="s">
        <v>22</v>
      </c>
      <c r="I147" s="256"/>
      <c r="J147" s="316">
        <v>119</v>
      </c>
      <c r="K147" s="321"/>
      <c r="L147" s="726"/>
      <c r="M147" s="630" t="s">
        <v>325</v>
      </c>
      <c r="N147" s="114"/>
      <c r="O147" s="599">
        <v>200</v>
      </c>
      <c r="P147" s="498"/>
      <c r="Q147" s="100"/>
    </row>
    <row r="148" spans="1:21" ht="24.75" customHeight="1" x14ac:dyDescent="0.25">
      <c r="A148" s="176"/>
      <c r="B148" s="182"/>
      <c r="C148" s="178"/>
      <c r="D148" s="193" t="s">
        <v>24</v>
      </c>
      <c r="E148" s="1711" t="s">
        <v>79</v>
      </c>
      <c r="F148" s="814" t="s">
        <v>262</v>
      </c>
      <c r="G148" s="113"/>
      <c r="H148" s="75" t="s">
        <v>22</v>
      </c>
      <c r="I148" s="229">
        <v>89.6</v>
      </c>
      <c r="J148" s="314">
        <v>80.2</v>
      </c>
      <c r="K148" s="320">
        <v>80.2</v>
      </c>
      <c r="L148" s="43">
        <v>80.2</v>
      </c>
      <c r="M148" s="400" t="s">
        <v>90</v>
      </c>
      <c r="N148" s="671">
        <v>1300</v>
      </c>
      <c r="O148" s="669">
        <v>1000</v>
      </c>
      <c r="P148" s="670">
        <v>1000</v>
      </c>
      <c r="Q148" s="671">
        <v>1000</v>
      </c>
    </row>
    <row r="149" spans="1:21" ht="29.9" customHeight="1" x14ac:dyDescent="0.25">
      <c r="A149" s="176"/>
      <c r="B149" s="182"/>
      <c r="C149" s="178"/>
      <c r="D149" s="195"/>
      <c r="E149" s="1712"/>
      <c r="F149" s="820"/>
      <c r="G149" s="113"/>
      <c r="H149" s="192"/>
      <c r="I149" s="170"/>
      <c r="J149" s="315"/>
      <c r="K149" s="321"/>
      <c r="L149" s="39"/>
      <c r="M149" s="368" t="s">
        <v>91</v>
      </c>
      <c r="N149" s="423">
        <v>400</v>
      </c>
      <c r="O149" s="543">
        <v>400</v>
      </c>
      <c r="P149" s="546">
        <v>400</v>
      </c>
      <c r="Q149" s="423">
        <v>400</v>
      </c>
    </row>
    <row r="150" spans="1:21" ht="18.649999999999999" customHeight="1" x14ac:dyDescent="0.25">
      <c r="A150" s="176"/>
      <c r="B150" s="182"/>
      <c r="C150" s="178"/>
      <c r="D150" s="1866" t="s">
        <v>31</v>
      </c>
      <c r="E150" s="1636" t="s">
        <v>47</v>
      </c>
      <c r="F150" s="814" t="s">
        <v>262</v>
      </c>
      <c r="G150" s="687"/>
      <c r="H150" s="75" t="s">
        <v>22</v>
      </c>
      <c r="I150" s="229">
        <v>81</v>
      </c>
      <c r="J150" s="448">
        <v>56</v>
      </c>
      <c r="K150" s="320">
        <v>81</v>
      </c>
      <c r="L150" s="167">
        <v>81</v>
      </c>
      <c r="M150" s="366" t="s">
        <v>35</v>
      </c>
      <c r="N150" s="94">
        <v>15</v>
      </c>
      <c r="O150" s="428">
        <v>13</v>
      </c>
      <c r="P150" s="434">
        <v>8</v>
      </c>
      <c r="Q150" s="94">
        <v>8</v>
      </c>
      <c r="R150" s="684"/>
      <c r="S150" s="684"/>
      <c r="T150" s="684"/>
      <c r="U150" s="684"/>
    </row>
    <row r="151" spans="1:21" ht="18.649999999999999" customHeight="1" x14ac:dyDescent="0.25">
      <c r="A151" s="176"/>
      <c r="B151" s="182"/>
      <c r="C151" s="63"/>
      <c r="D151" s="1867"/>
      <c r="E151" s="1638"/>
      <c r="F151" s="820"/>
      <c r="G151" s="687"/>
      <c r="H151" s="707" t="s">
        <v>48</v>
      </c>
      <c r="I151" s="625">
        <v>7.3</v>
      </c>
      <c r="J151" s="315">
        <v>36.5</v>
      </c>
      <c r="K151" s="626"/>
      <c r="L151" s="726"/>
      <c r="M151" s="367"/>
      <c r="N151" s="96"/>
      <c r="O151" s="431"/>
      <c r="P151" s="437"/>
      <c r="Q151" s="96"/>
    </row>
    <row r="152" spans="1:21" ht="18.649999999999999" customHeight="1" x14ac:dyDescent="0.25">
      <c r="A152" s="176"/>
      <c r="B152" s="182"/>
      <c r="C152" s="63"/>
      <c r="D152" s="1866" t="s">
        <v>32</v>
      </c>
      <c r="E152" s="1713" t="s">
        <v>134</v>
      </c>
      <c r="F152" s="814" t="s">
        <v>262</v>
      </c>
      <c r="G152" s="687"/>
      <c r="H152" s="735" t="s">
        <v>48</v>
      </c>
      <c r="I152" s="229">
        <v>4</v>
      </c>
      <c r="J152" s="314">
        <v>100.4</v>
      </c>
      <c r="K152" s="456"/>
      <c r="L152" s="43"/>
      <c r="M152" s="372" t="s">
        <v>71</v>
      </c>
      <c r="N152" s="143">
        <v>1</v>
      </c>
      <c r="O152" s="432"/>
      <c r="P152" s="439"/>
      <c r="Q152" s="143"/>
    </row>
    <row r="153" spans="1:21" ht="30" customHeight="1" x14ac:dyDescent="0.25">
      <c r="A153" s="18"/>
      <c r="B153" s="182"/>
      <c r="C153" s="63"/>
      <c r="D153" s="1867"/>
      <c r="E153" s="1649"/>
      <c r="F153" s="820"/>
      <c r="G153" s="688"/>
      <c r="H153" s="192" t="s">
        <v>22</v>
      </c>
      <c r="I153" s="625">
        <f>100-91.4</f>
        <v>8.6</v>
      </c>
      <c r="J153" s="725">
        <v>225.4</v>
      </c>
      <c r="K153" s="322"/>
      <c r="L153" s="726"/>
      <c r="M153" s="367" t="s">
        <v>187</v>
      </c>
      <c r="N153" s="111"/>
      <c r="O153" s="493">
        <v>100</v>
      </c>
      <c r="P153" s="496"/>
      <c r="Q153" s="111"/>
    </row>
    <row r="154" spans="1:21" ht="19.5" customHeight="1" x14ac:dyDescent="0.25">
      <c r="A154" s="18"/>
      <c r="B154" s="273"/>
      <c r="C154" s="63"/>
      <c r="D154" s="270" t="s">
        <v>25</v>
      </c>
      <c r="E154" s="1636" t="s">
        <v>219</v>
      </c>
      <c r="F154" s="814" t="s">
        <v>262</v>
      </c>
      <c r="G154" s="1857" t="s">
        <v>59</v>
      </c>
      <c r="H154" s="735" t="s">
        <v>22</v>
      </c>
      <c r="I154" s="870">
        <v>24</v>
      </c>
      <c r="J154" s="872">
        <v>18</v>
      </c>
      <c r="K154" s="873">
        <v>42</v>
      </c>
      <c r="L154" s="710">
        <f>+K154</f>
        <v>42</v>
      </c>
      <c r="M154" s="1680" t="s">
        <v>292</v>
      </c>
      <c r="N154" s="88">
        <v>15</v>
      </c>
      <c r="O154" s="429">
        <v>15</v>
      </c>
      <c r="P154" s="435">
        <v>15</v>
      </c>
      <c r="Q154" s="88">
        <v>15</v>
      </c>
    </row>
    <row r="155" spans="1:21" ht="19.5" customHeight="1" x14ac:dyDescent="0.25">
      <c r="A155" s="18"/>
      <c r="B155" s="865"/>
      <c r="C155" s="63"/>
      <c r="D155" s="864"/>
      <c r="E155" s="1638"/>
      <c r="F155" s="866"/>
      <c r="G155" s="1871"/>
      <c r="H155" s="869" t="s">
        <v>48</v>
      </c>
      <c r="I155" s="625"/>
      <c r="J155" s="871">
        <v>24</v>
      </c>
      <c r="K155" s="626"/>
      <c r="L155" s="868"/>
      <c r="M155" s="1701"/>
      <c r="N155" s="88"/>
      <c r="O155" s="429"/>
      <c r="P155" s="435"/>
      <c r="Q155" s="88"/>
    </row>
    <row r="156" spans="1:21" ht="16.5" customHeight="1" thickBot="1" x14ac:dyDescent="0.3">
      <c r="A156" s="19"/>
      <c r="B156" s="91"/>
      <c r="C156" s="62"/>
      <c r="D156" s="227"/>
      <c r="E156" s="239"/>
      <c r="F156" s="228"/>
      <c r="G156" s="240"/>
      <c r="H156" s="168" t="s">
        <v>4</v>
      </c>
      <c r="I156" s="131">
        <f>SUM(I138:I154)</f>
        <v>3617.6</v>
      </c>
      <c r="J156" s="334">
        <f>SUM(J138:J155)</f>
        <v>4590.1000000000004</v>
      </c>
      <c r="K156" s="131">
        <f t="shared" ref="K156:L156" si="0">SUM(K138:K154)</f>
        <v>3902.8</v>
      </c>
      <c r="L156" s="867">
        <f t="shared" si="0"/>
        <v>3902.8</v>
      </c>
      <c r="M156" s="401"/>
      <c r="N156" s="226"/>
      <c r="O156" s="480"/>
      <c r="P156" s="345"/>
      <c r="Q156" s="226"/>
    </row>
    <row r="157" spans="1:21" ht="18" customHeight="1" x14ac:dyDescent="0.25">
      <c r="A157" s="1702" t="s">
        <v>3</v>
      </c>
      <c r="B157" s="1703" t="s">
        <v>3</v>
      </c>
      <c r="C157" s="1705" t="s">
        <v>24</v>
      </c>
      <c r="D157" s="1896"/>
      <c r="E157" s="1706" t="s">
        <v>45</v>
      </c>
      <c r="F157" s="1708"/>
      <c r="G157" s="234"/>
      <c r="H157" s="209"/>
      <c r="I157" s="308"/>
      <c r="J157" s="338"/>
      <c r="K157" s="340"/>
      <c r="L157" s="132"/>
      <c r="M157" s="1710"/>
      <c r="N157" s="1698"/>
      <c r="O157" s="1694"/>
      <c r="P157" s="1696"/>
      <c r="Q157" s="1698"/>
    </row>
    <row r="158" spans="1:21" ht="11.25" customHeight="1" x14ac:dyDescent="0.25">
      <c r="A158" s="1657"/>
      <c r="B158" s="1704"/>
      <c r="C158" s="1700"/>
      <c r="D158" s="1897"/>
      <c r="E158" s="1707"/>
      <c r="F158" s="1709"/>
      <c r="G158" s="982"/>
      <c r="H158" s="192"/>
      <c r="I158" s="40"/>
      <c r="J158" s="316"/>
      <c r="K158" s="322"/>
      <c r="L158" s="38"/>
      <c r="M158" s="1701"/>
      <c r="N158" s="1699"/>
      <c r="O158" s="1695"/>
      <c r="P158" s="1697"/>
      <c r="Q158" s="1699"/>
    </row>
    <row r="159" spans="1:21" ht="15.75" customHeight="1" x14ac:dyDescent="0.25">
      <c r="A159" s="1657"/>
      <c r="B159" s="1658"/>
      <c r="C159" s="1700"/>
      <c r="D159" s="1866" t="s">
        <v>3</v>
      </c>
      <c r="E159" s="1637" t="s">
        <v>72</v>
      </c>
      <c r="F159" s="254" t="s">
        <v>178</v>
      </c>
      <c r="G159" s="1850" t="s">
        <v>171</v>
      </c>
      <c r="H159" s="735" t="s">
        <v>22</v>
      </c>
      <c r="I159" s="708">
        <f>2473.3-264.1</f>
        <v>2209.1999999999998</v>
      </c>
      <c r="J159" s="314">
        <v>2875.8</v>
      </c>
      <c r="K159" s="320">
        <v>3131.1</v>
      </c>
      <c r="L159" s="710">
        <v>3263.4</v>
      </c>
      <c r="M159" s="378" t="s">
        <v>57</v>
      </c>
      <c r="N159" s="402">
        <v>18.100000000000001</v>
      </c>
      <c r="O159" s="499">
        <v>18.899999999999999</v>
      </c>
      <c r="P159" s="504">
        <v>19.600000000000001</v>
      </c>
      <c r="Q159" s="402">
        <v>20.3</v>
      </c>
    </row>
    <row r="160" spans="1:21" ht="15.75" customHeight="1" x14ac:dyDescent="0.25">
      <c r="A160" s="1657"/>
      <c r="B160" s="1658"/>
      <c r="C160" s="1700"/>
      <c r="D160" s="1867"/>
      <c r="E160" s="1638"/>
      <c r="F160" s="840" t="s">
        <v>262</v>
      </c>
      <c r="G160" s="1850"/>
      <c r="H160" s="192" t="s">
        <v>48</v>
      </c>
      <c r="I160" s="40">
        <v>264.10000000000002</v>
      </c>
      <c r="J160" s="725">
        <v>129.30000000000001</v>
      </c>
      <c r="K160" s="626"/>
      <c r="L160" s="38"/>
      <c r="M160" s="396" t="s">
        <v>291</v>
      </c>
      <c r="N160" s="403">
        <v>9.6999999999999993</v>
      </c>
      <c r="O160" s="500">
        <v>9.1</v>
      </c>
      <c r="P160" s="505">
        <v>9.3000000000000007</v>
      </c>
      <c r="Q160" s="403">
        <v>9.5</v>
      </c>
    </row>
    <row r="161" spans="1:21" ht="16.5" customHeight="1" x14ac:dyDescent="0.25">
      <c r="A161" s="176"/>
      <c r="B161" s="182"/>
      <c r="C161" s="178"/>
      <c r="D161" s="195" t="s">
        <v>5</v>
      </c>
      <c r="E161" s="1636" t="s">
        <v>104</v>
      </c>
      <c r="F161" s="254" t="s">
        <v>178</v>
      </c>
      <c r="G161" s="1850"/>
      <c r="H161" s="196" t="s">
        <v>22</v>
      </c>
      <c r="I161" s="229">
        <v>38.4</v>
      </c>
      <c r="J161" s="314">
        <v>59.6</v>
      </c>
      <c r="K161" s="456">
        <v>62.5</v>
      </c>
      <c r="L161" s="43">
        <v>65.7</v>
      </c>
      <c r="M161" s="393" t="s">
        <v>291</v>
      </c>
      <c r="N161" s="404">
        <v>0.3</v>
      </c>
      <c r="O161" s="501">
        <v>0.3</v>
      </c>
      <c r="P161" s="506">
        <v>0.3</v>
      </c>
      <c r="Q161" s="404">
        <v>0.3</v>
      </c>
    </row>
    <row r="162" spans="1:21" ht="26.25" customHeight="1" x14ac:dyDescent="0.25">
      <c r="A162" s="176"/>
      <c r="B162" s="182"/>
      <c r="C162" s="178"/>
      <c r="D162" s="106"/>
      <c r="E162" s="1637"/>
      <c r="F162" s="814" t="s">
        <v>262</v>
      </c>
      <c r="G162" s="249"/>
      <c r="H162" s="724" t="s">
        <v>22</v>
      </c>
      <c r="I162" s="740">
        <v>147.80000000000001</v>
      </c>
      <c r="J162" s="709">
        <v>150.69999999999999</v>
      </c>
      <c r="K162" s="321">
        <v>150.69999999999999</v>
      </c>
      <c r="L162" s="659">
        <v>150.69999999999999</v>
      </c>
      <c r="M162" s="384" t="s">
        <v>141</v>
      </c>
      <c r="N162" s="100">
        <v>1632</v>
      </c>
      <c r="O162" s="495">
        <v>1461</v>
      </c>
      <c r="P162" s="507">
        <v>1461</v>
      </c>
      <c r="Q162" s="100">
        <v>1461</v>
      </c>
    </row>
    <row r="163" spans="1:21" ht="34.4" customHeight="1" x14ac:dyDescent="0.25">
      <c r="A163" s="176"/>
      <c r="B163" s="177"/>
      <c r="C163" s="178"/>
      <c r="D163" s="106"/>
      <c r="E163" s="1637"/>
      <c r="F163" s="47"/>
      <c r="G163" s="672"/>
      <c r="H163" s="196"/>
      <c r="I163" s="305"/>
      <c r="J163" s="759"/>
      <c r="K163" s="321"/>
      <c r="L163" s="39"/>
      <c r="M163" s="384" t="s">
        <v>142</v>
      </c>
      <c r="N163" s="116">
        <v>17.5</v>
      </c>
      <c r="O163" s="673">
        <v>24</v>
      </c>
      <c r="P163" s="674">
        <v>24</v>
      </c>
      <c r="Q163" s="675">
        <v>24</v>
      </c>
    </row>
    <row r="164" spans="1:21" ht="30" customHeight="1" x14ac:dyDescent="0.25">
      <c r="A164" s="176"/>
      <c r="B164" s="182"/>
      <c r="C164" s="178"/>
      <c r="D164" s="107"/>
      <c r="E164" s="1868"/>
      <c r="F164" s="848"/>
      <c r="G164" s="812" t="s">
        <v>59</v>
      </c>
      <c r="H164" s="707" t="s">
        <v>22</v>
      </c>
      <c r="I164" s="40">
        <v>4.5</v>
      </c>
      <c r="J164" s="316"/>
      <c r="K164" s="626"/>
      <c r="L164" s="726"/>
      <c r="M164" s="367" t="s">
        <v>149</v>
      </c>
      <c r="N164" s="111">
        <v>5</v>
      </c>
      <c r="O164" s="493"/>
      <c r="P164" s="496"/>
      <c r="Q164" s="257"/>
      <c r="R164" s="685"/>
      <c r="S164" s="685"/>
      <c r="T164" s="685"/>
      <c r="U164" s="685"/>
    </row>
    <row r="165" spans="1:21" ht="28.4" customHeight="1" x14ac:dyDescent="0.25">
      <c r="A165" s="18"/>
      <c r="B165" s="297"/>
      <c r="C165" s="63"/>
      <c r="D165" s="298" t="s">
        <v>24</v>
      </c>
      <c r="E165" s="296" t="s">
        <v>258</v>
      </c>
      <c r="F165" s="850" t="s">
        <v>262</v>
      </c>
      <c r="G165" s="1850" t="s">
        <v>171</v>
      </c>
      <c r="H165" s="196"/>
      <c r="I165" s="275"/>
      <c r="J165" s="332"/>
      <c r="K165" s="321"/>
      <c r="L165" s="586"/>
      <c r="M165" s="413"/>
      <c r="N165" s="88"/>
      <c r="O165" s="429"/>
      <c r="P165" s="613"/>
      <c r="Q165" s="88"/>
    </row>
    <row r="166" spans="1:21" ht="20.149999999999999" customHeight="1" x14ac:dyDescent="0.25">
      <c r="A166" s="18"/>
      <c r="B166" s="182"/>
      <c r="C166" s="63"/>
      <c r="D166" s="1863" t="s">
        <v>188</v>
      </c>
      <c r="E166" s="174" t="s">
        <v>196</v>
      </c>
      <c r="F166" s="654"/>
      <c r="G166" s="1850"/>
      <c r="H166" s="735" t="s">
        <v>22</v>
      </c>
      <c r="I166" s="708">
        <f>30+25.3+12.4</f>
        <v>67.7</v>
      </c>
      <c r="J166" s="448"/>
      <c r="K166" s="456"/>
      <c r="L166" s="710"/>
      <c r="M166" s="366" t="s">
        <v>124</v>
      </c>
      <c r="N166" s="405">
        <v>100</v>
      </c>
      <c r="O166" s="502"/>
      <c r="P166" s="508"/>
      <c r="Q166" s="405"/>
    </row>
    <row r="167" spans="1:21" ht="20.149999999999999" customHeight="1" x14ac:dyDescent="0.25">
      <c r="A167" s="18"/>
      <c r="B167" s="182"/>
      <c r="C167" s="63"/>
      <c r="D167" s="1865"/>
      <c r="E167" s="179"/>
      <c r="F167" s="655"/>
      <c r="G167" s="1850"/>
      <c r="H167" s="192" t="s">
        <v>48</v>
      </c>
      <c r="I167" s="40">
        <v>13.5</v>
      </c>
      <c r="J167" s="315"/>
      <c r="K167" s="321"/>
      <c r="L167" s="39"/>
      <c r="M167" s="396" t="s">
        <v>128</v>
      </c>
      <c r="N167" s="406">
        <v>4</v>
      </c>
      <c r="O167" s="503"/>
      <c r="P167" s="509"/>
      <c r="Q167" s="406"/>
    </row>
    <row r="168" spans="1:21" ht="15" customHeight="1" x14ac:dyDescent="0.25">
      <c r="A168" s="18"/>
      <c r="B168" s="284"/>
      <c r="C168" s="63"/>
      <c r="D168" s="1863" t="s">
        <v>243</v>
      </c>
      <c r="E168" s="639" t="s">
        <v>270</v>
      </c>
      <c r="F168" s="849" t="s">
        <v>178</v>
      </c>
      <c r="G168" s="288"/>
      <c r="H168" s="75" t="s">
        <v>22</v>
      </c>
      <c r="I168" s="170"/>
      <c r="J168" s="314">
        <v>176.5</v>
      </c>
      <c r="K168" s="456"/>
      <c r="L168" s="710"/>
      <c r="M168" s="400" t="s">
        <v>124</v>
      </c>
      <c r="N168" s="606"/>
      <c r="O168" s="432">
        <v>100</v>
      </c>
      <c r="P168" s="517"/>
      <c r="Q168" s="236"/>
    </row>
    <row r="169" spans="1:21" ht="27" customHeight="1" x14ac:dyDescent="0.3">
      <c r="A169" s="18"/>
      <c r="B169" s="284"/>
      <c r="C169" s="63"/>
      <c r="D169" s="1864"/>
      <c r="E169" s="603" t="s">
        <v>248</v>
      </c>
      <c r="F169" s="592"/>
      <c r="G169" s="288"/>
      <c r="H169" s="724" t="s">
        <v>22</v>
      </c>
      <c r="I169" s="740"/>
      <c r="J169" s="709">
        <v>10.3</v>
      </c>
      <c r="K169" s="679"/>
      <c r="L169" s="680"/>
      <c r="M169" s="607" t="s">
        <v>128</v>
      </c>
      <c r="N169" s="608"/>
      <c r="O169" s="433">
        <v>9</v>
      </c>
      <c r="P169" s="166"/>
      <c r="Q169" s="260"/>
    </row>
    <row r="170" spans="1:21" ht="15.65" customHeight="1" x14ac:dyDescent="0.25">
      <c r="A170" s="18"/>
      <c r="B170" s="284"/>
      <c r="C170" s="63"/>
      <c r="D170" s="1864"/>
      <c r="E170" s="603" t="s">
        <v>239</v>
      </c>
      <c r="F170" s="592"/>
      <c r="G170" s="288"/>
      <c r="H170" s="724" t="s">
        <v>48</v>
      </c>
      <c r="I170" s="740"/>
      <c r="J170" s="709">
        <v>31.6</v>
      </c>
      <c r="K170" s="39"/>
      <c r="L170" s="743"/>
      <c r="M170" s="368"/>
      <c r="N170" s="600"/>
      <c r="O170" s="317"/>
      <c r="P170" s="166"/>
      <c r="Q170" s="604"/>
    </row>
    <row r="171" spans="1:21" ht="15" customHeight="1" x14ac:dyDescent="0.25">
      <c r="A171" s="18"/>
      <c r="B171" s="284"/>
      <c r="C171" s="63"/>
      <c r="D171" s="1864"/>
      <c r="E171" s="603" t="s">
        <v>271</v>
      </c>
      <c r="F171" s="592"/>
      <c r="G171" s="288"/>
      <c r="H171" s="196"/>
      <c r="I171" s="170"/>
      <c r="J171" s="871"/>
      <c r="K171" s="39"/>
      <c r="L171" s="743"/>
      <c r="M171" s="368"/>
      <c r="N171" s="600"/>
      <c r="O171" s="317"/>
      <c r="P171" s="166"/>
      <c r="Q171" s="604"/>
    </row>
    <row r="172" spans="1:21" ht="15" customHeight="1" x14ac:dyDescent="0.25">
      <c r="A172" s="18"/>
      <c r="B172" s="284"/>
      <c r="C172" s="63"/>
      <c r="D172" s="1864"/>
      <c r="E172" s="603" t="s">
        <v>240</v>
      </c>
      <c r="F172" s="592"/>
      <c r="G172" s="288"/>
      <c r="H172" s="196"/>
      <c r="I172" s="170"/>
      <c r="J172" s="315"/>
      <c r="K172" s="39"/>
      <c r="L172" s="743"/>
      <c r="M172" s="368"/>
      <c r="N172" s="600"/>
      <c r="O172" s="317"/>
      <c r="P172" s="166"/>
      <c r="Q172" s="604"/>
    </row>
    <row r="173" spans="1:21" ht="15" customHeight="1" x14ac:dyDescent="0.25">
      <c r="A173" s="18"/>
      <c r="B173" s="284"/>
      <c r="C173" s="63"/>
      <c r="D173" s="1864"/>
      <c r="E173" s="603" t="s">
        <v>241</v>
      </c>
      <c r="F173" s="592"/>
      <c r="G173" s="288"/>
      <c r="H173" s="196"/>
      <c r="I173" s="170"/>
      <c r="J173" s="315"/>
      <c r="K173" s="39"/>
      <c r="L173" s="743"/>
      <c r="M173" s="368"/>
      <c r="N173" s="600"/>
      <c r="O173" s="317"/>
      <c r="P173" s="166"/>
      <c r="Q173" s="604"/>
    </row>
    <row r="174" spans="1:21" ht="15" customHeight="1" x14ac:dyDescent="0.25">
      <c r="A174" s="18"/>
      <c r="B174" s="284"/>
      <c r="C174" s="63"/>
      <c r="D174" s="1864"/>
      <c r="E174" s="995" t="s">
        <v>242</v>
      </c>
      <c r="F174" s="592"/>
      <c r="G174" s="288"/>
      <c r="H174" s="196"/>
      <c r="I174" s="170"/>
      <c r="J174" s="315"/>
      <c r="K174" s="321"/>
      <c r="L174" s="743"/>
      <c r="M174" s="991"/>
      <c r="N174" s="17"/>
      <c r="O174" s="317"/>
      <c r="P174" s="323"/>
      <c r="Q174" s="604"/>
    </row>
    <row r="175" spans="1:21" ht="27.65" customHeight="1" x14ac:dyDescent="0.25">
      <c r="A175" s="18"/>
      <c r="B175" s="986"/>
      <c r="C175" s="63"/>
      <c r="D175" s="990"/>
      <c r="E175" s="992" t="s">
        <v>329</v>
      </c>
      <c r="F175" s="592"/>
      <c r="G175" s="985"/>
      <c r="I175" s="40"/>
      <c r="K175" s="322"/>
      <c r="L175" s="743"/>
      <c r="M175" s="367"/>
      <c r="N175" s="203"/>
      <c r="O175" s="446"/>
      <c r="P175" s="319"/>
      <c r="Q175" s="604"/>
    </row>
    <row r="176" spans="1:21" ht="43.5" customHeight="1" x14ac:dyDescent="0.25">
      <c r="A176" s="18"/>
      <c r="B176" s="858"/>
      <c r="C176" s="63"/>
      <c r="D176" s="857"/>
      <c r="E176" s="60" t="s">
        <v>330</v>
      </c>
      <c r="F176" s="1254" t="s">
        <v>355</v>
      </c>
      <c r="G176" s="884" t="s">
        <v>170</v>
      </c>
      <c r="H176" s="782" t="s">
        <v>22</v>
      </c>
      <c r="I176" s="275"/>
      <c r="J176" s="332">
        <v>63</v>
      </c>
      <c r="K176" s="885"/>
      <c r="L176" s="586"/>
      <c r="M176" s="400" t="s">
        <v>124</v>
      </c>
      <c r="N176" s="606"/>
      <c r="O176" s="432">
        <v>100</v>
      </c>
      <c r="P176" s="993"/>
      <c r="Q176" s="994"/>
    </row>
    <row r="177" spans="1:17" ht="26.9" customHeight="1" x14ac:dyDescent="0.25">
      <c r="A177" s="18"/>
      <c r="B177" s="284"/>
      <c r="C177" s="63"/>
      <c r="D177" s="1863" t="s">
        <v>250</v>
      </c>
      <c r="E177" s="601" t="s">
        <v>273</v>
      </c>
      <c r="F177" s="859"/>
      <c r="G177" s="1869" t="s">
        <v>171</v>
      </c>
      <c r="H177" s="196" t="s">
        <v>22</v>
      </c>
      <c r="I177" s="229"/>
      <c r="J177" s="314"/>
      <c r="K177" s="39">
        <v>91</v>
      </c>
      <c r="L177" s="596"/>
      <c r="M177" s="366" t="s">
        <v>124</v>
      </c>
      <c r="N177" s="362"/>
      <c r="O177" s="428"/>
      <c r="P177" s="609">
        <v>100</v>
      </c>
      <c r="Q177" s="259"/>
    </row>
    <row r="178" spans="1:17" ht="15.65" customHeight="1" x14ac:dyDescent="0.25">
      <c r="A178" s="18"/>
      <c r="B178" s="284"/>
      <c r="C178" s="63"/>
      <c r="D178" s="1864"/>
      <c r="E178" s="603" t="s">
        <v>249</v>
      </c>
      <c r="F178" s="592"/>
      <c r="G178" s="1870"/>
      <c r="H178" s="196"/>
      <c r="I178" s="170"/>
      <c r="J178" s="315"/>
      <c r="K178" s="39"/>
      <c r="L178" s="743"/>
      <c r="M178" s="368"/>
      <c r="N178" s="600"/>
      <c r="O178" s="317"/>
      <c r="P178" s="166"/>
      <c r="Q178" s="604"/>
    </row>
    <row r="179" spans="1:17" ht="27" customHeight="1" x14ac:dyDescent="0.25">
      <c r="A179" s="18"/>
      <c r="B179" s="284"/>
      <c r="C179" s="63"/>
      <c r="D179" s="1864"/>
      <c r="E179" s="603" t="s">
        <v>331</v>
      </c>
      <c r="F179" s="592"/>
      <c r="G179" s="288"/>
      <c r="H179" s="196"/>
      <c r="I179" s="170"/>
      <c r="J179" s="315"/>
      <c r="K179" s="39"/>
      <c r="L179" s="743"/>
      <c r="M179" s="368"/>
      <c r="N179" s="600"/>
      <c r="O179" s="317"/>
      <c r="P179" s="166"/>
      <c r="Q179" s="604"/>
    </row>
    <row r="180" spans="1:17" ht="14.15" customHeight="1" x14ac:dyDescent="0.25">
      <c r="A180" s="18"/>
      <c r="B180" s="284"/>
      <c r="C180" s="63"/>
      <c r="D180" s="1864"/>
      <c r="E180" s="603" t="s">
        <v>238</v>
      </c>
      <c r="F180" s="592"/>
      <c r="G180" s="288"/>
      <c r="H180" s="196"/>
      <c r="I180" s="170"/>
      <c r="J180" s="315"/>
      <c r="K180" s="39"/>
      <c r="L180" s="743"/>
      <c r="M180" s="368"/>
      <c r="N180" s="600"/>
      <c r="O180" s="317"/>
      <c r="P180" s="166"/>
      <c r="Q180" s="604"/>
    </row>
    <row r="181" spans="1:17" ht="26.9" customHeight="1" x14ac:dyDescent="0.25">
      <c r="A181" s="18"/>
      <c r="B181" s="284"/>
      <c r="C181" s="63"/>
      <c r="D181" s="1864"/>
      <c r="E181" s="603" t="s">
        <v>332</v>
      </c>
      <c r="F181" s="592"/>
      <c r="G181" s="288"/>
      <c r="H181" s="196"/>
      <c r="I181" s="170"/>
      <c r="J181" s="315"/>
      <c r="K181" s="39"/>
      <c r="L181" s="743"/>
      <c r="M181" s="368"/>
      <c r="N181" s="600"/>
      <c r="O181" s="317"/>
      <c r="P181" s="166"/>
      <c r="Q181" s="604"/>
    </row>
    <row r="182" spans="1:17" ht="15.65" customHeight="1" x14ac:dyDescent="0.25">
      <c r="A182" s="18"/>
      <c r="B182" s="284"/>
      <c r="C182" s="63"/>
      <c r="D182" s="1864"/>
      <c r="E182" s="603" t="s">
        <v>247</v>
      </c>
      <c r="F182" s="592"/>
      <c r="G182" s="288"/>
      <c r="H182" s="196"/>
      <c r="I182" s="170"/>
      <c r="J182" s="315"/>
      <c r="K182" s="322"/>
      <c r="L182" s="743"/>
      <c r="M182" s="368"/>
      <c r="N182" s="600"/>
      <c r="O182" s="317"/>
      <c r="P182" s="166"/>
      <c r="Q182" s="604"/>
    </row>
    <row r="183" spans="1:17" ht="27.65" customHeight="1" x14ac:dyDescent="0.25">
      <c r="A183" s="18"/>
      <c r="B183" s="284"/>
      <c r="C183" s="63"/>
      <c r="D183" s="1863" t="s">
        <v>251</v>
      </c>
      <c r="E183" s="601" t="s">
        <v>244</v>
      </c>
      <c r="F183" s="282"/>
      <c r="G183" s="288"/>
      <c r="H183" s="75" t="s">
        <v>22</v>
      </c>
      <c r="I183" s="229"/>
      <c r="J183" s="314"/>
      <c r="K183" s="39"/>
      <c r="L183" s="596">
        <v>122</v>
      </c>
      <c r="M183" s="366"/>
      <c r="N183" s="29"/>
      <c r="O183" s="513"/>
      <c r="P183" s="520"/>
      <c r="Q183" s="259">
        <v>100</v>
      </c>
    </row>
    <row r="184" spans="1:17" ht="31.4" customHeight="1" x14ac:dyDescent="0.25">
      <c r="A184" s="18"/>
      <c r="B184" s="284"/>
      <c r="C184" s="63"/>
      <c r="D184" s="1864"/>
      <c r="E184" s="627" t="s">
        <v>245</v>
      </c>
      <c r="F184" s="592"/>
      <c r="G184" s="288"/>
      <c r="H184" s="196"/>
      <c r="I184" s="170"/>
      <c r="J184" s="315"/>
      <c r="K184" s="39"/>
      <c r="L184" s="743"/>
      <c r="M184" s="368"/>
      <c r="N184" s="600"/>
      <c r="O184" s="317"/>
      <c r="P184" s="166"/>
      <c r="Q184" s="604"/>
    </row>
    <row r="185" spans="1:17" ht="28.5" customHeight="1" x14ac:dyDescent="0.25">
      <c r="A185" s="18"/>
      <c r="B185" s="637"/>
      <c r="C185" s="63"/>
      <c r="D185" s="1864"/>
      <c r="E185" s="603" t="s">
        <v>246</v>
      </c>
      <c r="F185" s="592"/>
      <c r="G185" s="644"/>
      <c r="H185" s="196"/>
      <c r="I185" s="170"/>
      <c r="J185" s="315"/>
      <c r="K185" s="39"/>
      <c r="L185" s="743"/>
      <c r="M185" s="645"/>
      <c r="N185" s="600"/>
      <c r="O185" s="317"/>
      <c r="P185" s="166"/>
      <c r="Q185" s="604"/>
    </row>
    <row r="186" spans="1:17" ht="27.65" customHeight="1" x14ac:dyDescent="0.25">
      <c r="A186" s="18"/>
      <c r="B186" s="284"/>
      <c r="C186" s="63"/>
      <c r="D186" s="1864"/>
      <c r="E186" s="603" t="s">
        <v>333</v>
      </c>
      <c r="F186" s="592"/>
      <c r="G186" s="288"/>
      <c r="H186" s="196"/>
      <c r="I186" s="170"/>
      <c r="J186" s="315"/>
      <c r="K186" s="39"/>
      <c r="L186" s="743"/>
      <c r="M186" s="368"/>
      <c r="N186" s="600"/>
      <c r="O186" s="317"/>
      <c r="P186" s="166"/>
      <c r="Q186" s="604"/>
    </row>
    <row r="187" spans="1:17" ht="27" customHeight="1" x14ac:dyDescent="0.25">
      <c r="A187" s="18"/>
      <c r="B187" s="284"/>
      <c r="C187" s="63"/>
      <c r="D187" s="1864"/>
      <c r="E187" s="603" t="s">
        <v>334</v>
      </c>
      <c r="F187" s="592"/>
      <c r="G187" s="288"/>
      <c r="H187" s="196"/>
      <c r="I187" s="170"/>
      <c r="J187" s="315"/>
      <c r="K187" s="39"/>
      <c r="L187" s="743"/>
      <c r="M187" s="368"/>
      <c r="N187" s="600"/>
      <c r="O187" s="317"/>
      <c r="P187" s="323"/>
      <c r="Q187" s="604"/>
    </row>
    <row r="188" spans="1:17" ht="15" customHeight="1" x14ac:dyDescent="0.25">
      <c r="A188" s="18"/>
      <c r="B188" s="284"/>
      <c r="C188" s="63"/>
      <c r="D188" s="1865"/>
      <c r="E188" s="628" t="s">
        <v>272</v>
      </c>
      <c r="F188" s="295"/>
      <c r="G188" s="235"/>
      <c r="H188" s="774"/>
      <c r="I188" s="40"/>
      <c r="J188" s="316"/>
      <c r="K188" s="39"/>
      <c r="L188" s="741"/>
      <c r="M188" s="367"/>
      <c r="N188" s="203"/>
      <c r="O188" s="446"/>
      <c r="P188" s="454"/>
      <c r="Q188" s="605"/>
    </row>
    <row r="189" spans="1:17" ht="15" customHeight="1" thickBot="1" x14ac:dyDescent="0.3">
      <c r="A189" s="19"/>
      <c r="B189" s="91"/>
      <c r="C189" s="62"/>
      <c r="D189" s="227"/>
      <c r="E189" s="224"/>
      <c r="F189" s="228"/>
      <c r="G189" s="237"/>
      <c r="H189" s="139" t="s">
        <v>4</v>
      </c>
      <c r="I189" s="210">
        <f>SUM(I159:I188)</f>
        <v>2745.2</v>
      </c>
      <c r="J189" s="334">
        <f>SUM(J159:J188)</f>
        <v>3496.8</v>
      </c>
      <c r="K189" s="349">
        <f>SUM(K159:K188)</f>
        <v>3435.3</v>
      </c>
      <c r="L189" s="335">
        <f>SUM(L159:L188)</f>
        <v>3601.8</v>
      </c>
      <c r="M189" s="401"/>
      <c r="N189" s="226"/>
      <c r="O189" s="480"/>
      <c r="P189" s="510"/>
      <c r="Q189" s="226"/>
    </row>
    <row r="190" spans="1:17" ht="15" customHeight="1" thickBot="1" x14ac:dyDescent="0.3">
      <c r="A190" s="20" t="s">
        <v>3</v>
      </c>
      <c r="B190" s="30" t="s">
        <v>3</v>
      </c>
      <c r="C190" s="1672" t="s">
        <v>6</v>
      </c>
      <c r="D190" s="1673"/>
      <c r="E190" s="1673"/>
      <c r="F190" s="1673"/>
      <c r="G190" s="1673"/>
      <c r="H190" s="1673"/>
      <c r="I190" s="211">
        <f>I189+I156+I136</f>
        <v>14084.7</v>
      </c>
      <c r="J190" s="339">
        <f>J189+J156+J136</f>
        <v>13787.1</v>
      </c>
      <c r="K190" s="300">
        <f>K189+K156+K136</f>
        <v>16450.400000000001</v>
      </c>
      <c r="L190" s="346">
        <f>L189+L156+L136</f>
        <v>19523</v>
      </c>
      <c r="M190" s="1675"/>
      <c r="N190" s="1676"/>
      <c r="O190" s="1676"/>
      <c r="P190" s="1676"/>
      <c r="Q190" s="1677"/>
    </row>
    <row r="191" spans="1:17" ht="15" customHeight="1" thickBot="1" x14ac:dyDescent="0.3">
      <c r="A191" s="20" t="s">
        <v>3</v>
      </c>
      <c r="B191" s="30" t="s">
        <v>5</v>
      </c>
      <c r="C191" s="1691" t="s">
        <v>39</v>
      </c>
      <c r="D191" s="1692"/>
      <c r="E191" s="1692"/>
      <c r="F191" s="1692"/>
      <c r="G191" s="1692"/>
      <c r="H191" s="1692"/>
      <c r="I191" s="1692"/>
      <c r="J191" s="1692"/>
      <c r="K191" s="1692"/>
      <c r="L191" s="1692"/>
      <c r="M191" s="1692"/>
      <c r="N191" s="1692"/>
      <c r="O191" s="1692"/>
      <c r="P191" s="1692"/>
      <c r="Q191" s="1693"/>
    </row>
    <row r="192" spans="1:17" ht="27.75" customHeight="1" x14ac:dyDescent="0.25">
      <c r="A192" s="32" t="s">
        <v>3</v>
      </c>
      <c r="B192" s="41" t="s">
        <v>5</v>
      </c>
      <c r="C192" s="66" t="s">
        <v>3</v>
      </c>
      <c r="D192" s="48"/>
      <c r="E192" s="49" t="s">
        <v>60</v>
      </c>
      <c r="F192" s="231"/>
      <c r="G192" s="230"/>
      <c r="H192" s="26"/>
      <c r="I192" s="309"/>
      <c r="J192" s="343"/>
      <c r="K192" s="344"/>
      <c r="L192" s="154"/>
      <c r="M192" s="414"/>
      <c r="N192" s="411"/>
      <c r="O192" s="511"/>
      <c r="P192" s="516"/>
      <c r="Q192" s="411"/>
    </row>
    <row r="193" spans="1:21" ht="26.25" customHeight="1" x14ac:dyDescent="0.25">
      <c r="A193" s="33"/>
      <c r="B193" s="52"/>
      <c r="C193" s="63"/>
      <c r="D193" s="145" t="s">
        <v>3</v>
      </c>
      <c r="E193" s="1586" t="s">
        <v>43</v>
      </c>
      <c r="F193" s="242" t="s">
        <v>262</v>
      </c>
      <c r="G193" s="1873" t="s">
        <v>171</v>
      </c>
      <c r="H193" s="754" t="s">
        <v>22</v>
      </c>
      <c r="I193" s="775">
        <v>14.6</v>
      </c>
      <c r="J193" s="314">
        <v>10.199999999999999</v>
      </c>
      <c r="K193" s="456">
        <v>45.5</v>
      </c>
      <c r="L193" s="43">
        <v>45.5</v>
      </c>
      <c r="M193" s="366" t="s">
        <v>82</v>
      </c>
      <c r="N193" s="405">
        <v>310</v>
      </c>
      <c r="O193" s="502">
        <v>310</v>
      </c>
      <c r="P193" s="517">
        <v>310</v>
      </c>
      <c r="Q193" s="405">
        <v>310</v>
      </c>
      <c r="R193" s="811"/>
      <c r="S193" s="811"/>
      <c r="T193" s="811"/>
      <c r="U193" s="811"/>
    </row>
    <row r="194" spans="1:21" ht="26.25" customHeight="1" x14ac:dyDescent="0.25">
      <c r="A194" s="33"/>
      <c r="B194" s="52"/>
      <c r="C194" s="63"/>
      <c r="D194" s="28"/>
      <c r="E194" s="1586"/>
      <c r="F194" s="199"/>
      <c r="G194" s="1873"/>
      <c r="H194" s="17" t="s">
        <v>22</v>
      </c>
      <c r="I194" s="170"/>
      <c r="J194" s="331">
        <v>7.4</v>
      </c>
      <c r="K194" s="153">
        <v>29.3</v>
      </c>
      <c r="L194" s="680">
        <v>29.3</v>
      </c>
      <c r="M194" s="383" t="s">
        <v>83</v>
      </c>
      <c r="N194" s="407">
        <v>290</v>
      </c>
      <c r="O194" s="512">
        <v>290</v>
      </c>
      <c r="P194" s="518">
        <v>290</v>
      </c>
      <c r="Q194" s="407">
        <v>290</v>
      </c>
    </row>
    <row r="195" spans="1:21" ht="31.4" customHeight="1" x14ac:dyDescent="0.25">
      <c r="A195" s="33"/>
      <c r="B195" s="52"/>
      <c r="C195" s="178"/>
      <c r="D195" s="42"/>
      <c r="E195" s="1656"/>
      <c r="F195" s="200"/>
      <c r="G195" s="1873"/>
      <c r="H195" s="602" t="s">
        <v>22</v>
      </c>
      <c r="I195" s="625"/>
      <c r="J195" s="316">
        <v>13.2</v>
      </c>
      <c r="K195" s="626">
        <v>26.1</v>
      </c>
      <c r="L195" s="726">
        <v>26.1</v>
      </c>
      <c r="M195" s="396" t="s">
        <v>62</v>
      </c>
      <c r="N195" s="406">
        <v>27</v>
      </c>
      <c r="O195" s="503">
        <v>27</v>
      </c>
      <c r="P195" s="519">
        <v>27</v>
      </c>
      <c r="Q195" s="406">
        <v>27</v>
      </c>
    </row>
    <row r="196" spans="1:21" ht="14.25" customHeight="1" x14ac:dyDescent="0.25">
      <c r="A196" s="33"/>
      <c r="B196" s="52"/>
      <c r="C196" s="63"/>
      <c r="D196" s="144" t="s">
        <v>5</v>
      </c>
      <c r="E196" s="1655" t="s">
        <v>180</v>
      </c>
      <c r="F196" s="242" t="s">
        <v>178</v>
      </c>
      <c r="G196" s="217"/>
      <c r="H196" s="29" t="s">
        <v>22</v>
      </c>
      <c r="I196" s="229">
        <f>498.6+98.8-88.5</f>
        <v>508.9</v>
      </c>
      <c r="J196" s="872">
        <v>223.1</v>
      </c>
      <c r="K196" s="320">
        <v>224.6</v>
      </c>
      <c r="L196" s="710">
        <v>224.6</v>
      </c>
      <c r="M196" s="1689" t="s">
        <v>75</v>
      </c>
      <c r="N196" s="410">
        <v>18</v>
      </c>
      <c r="O196" s="513">
        <v>18</v>
      </c>
      <c r="P196" s="520">
        <v>18</v>
      </c>
      <c r="Q196" s="410">
        <v>18</v>
      </c>
    </row>
    <row r="197" spans="1:21" ht="14.9" customHeight="1" x14ac:dyDescent="0.25">
      <c r="A197" s="33"/>
      <c r="B197" s="52"/>
      <c r="C197" s="63"/>
      <c r="D197" s="105"/>
      <c r="E197" s="1686"/>
      <c r="F197" s="242" t="s">
        <v>262</v>
      </c>
      <c r="G197" s="217"/>
      <c r="H197" s="619" t="s">
        <v>48</v>
      </c>
      <c r="I197" s="307"/>
      <c r="J197" s="315">
        <v>2</v>
      </c>
      <c r="K197" s="679"/>
      <c r="L197" s="153"/>
      <c r="M197" s="1690"/>
      <c r="N197" s="409"/>
      <c r="O197" s="514"/>
      <c r="P197" s="521"/>
      <c r="Q197" s="409"/>
    </row>
    <row r="198" spans="1:21" ht="15" customHeight="1" x14ac:dyDescent="0.25">
      <c r="A198" s="33"/>
      <c r="B198" s="52"/>
      <c r="C198" s="63"/>
      <c r="D198" s="105"/>
      <c r="E198" s="1686"/>
      <c r="F198" s="199"/>
      <c r="G198" s="217"/>
      <c r="H198" s="619" t="s">
        <v>48</v>
      </c>
      <c r="I198" s="307">
        <f>18.6+43.7</f>
        <v>62.3</v>
      </c>
      <c r="J198" s="331">
        <v>175.6</v>
      </c>
      <c r="K198" s="679"/>
      <c r="L198" s="680"/>
      <c r="M198" s="1662" t="s">
        <v>126</v>
      </c>
      <c r="N198" s="408">
        <v>66</v>
      </c>
      <c r="O198" s="515">
        <v>95</v>
      </c>
      <c r="P198" s="522">
        <v>100</v>
      </c>
      <c r="Q198" s="408"/>
    </row>
    <row r="199" spans="1:21" ht="15" customHeight="1" x14ac:dyDescent="0.25">
      <c r="A199" s="33"/>
      <c r="B199" s="52"/>
      <c r="C199" s="63"/>
      <c r="D199" s="105"/>
      <c r="E199" s="1686"/>
      <c r="F199" s="199"/>
      <c r="G199" s="217"/>
      <c r="H199" s="17" t="s">
        <v>22</v>
      </c>
      <c r="I199" s="170"/>
      <c r="J199" s="331"/>
      <c r="K199" s="679">
        <v>11.2</v>
      </c>
      <c r="L199" s="39"/>
      <c r="M199" s="1663"/>
      <c r="N199" s="409"/>
      <c r="O199" s="514"/>
      <c r="P199" s="521"/>
      <c r="Q199" s="409"/>
    </row>
    <row r="200" spans="1:21" ht="28.4" customHeight="1" x14ac:dyDescent="0.25">
      <c r="A200" s="33"/>
      <c r="B200" s="52"/>
      <c r="C200" s="63"/>
      <c r="D200" s="105"/>
      <c r="E200" s="1686"/>
      <c r="F200" s="199"/>
      <c r="G200" s="217"/>
      <c r="H200" s="619" t="s">
        <v>48</v>
      </c>
      <c r="I200" s="307"/>
      <c r="J200" s="315">
        <v>18.600000000000001</v>
      </c>
      <c r="K200" s="757"/>
      <c r="L200" s="680"/>
      <c r="M200" s="383" t="s">
        <v>155</v>
      </c>
      <c r="N200" s="407">
        <v>200</v>
      </c>
      <c r="O200" s="512">
        <v>200</v>
      </c>
      <c r="P200" s="518"/>
      <c r="Q200" s="407"/>
    </row>
    <row r="201" spans="1:21" ht="15.65" customHeight="1" x14ac:dyDescent="0.25">
      <c r="A201" s="33"/>
      <c r="B201" s="52"/>
      <c r="C201" s="63"/>
      <c r="D201" s="28"/>
      <c r="E201" s="181"/>
      <c r="F201" s="199"/>
      <c r="G201" s="217"/>
      <c r="H201" s="778" t="s">
        <v>22</v>
      </c>
      <c r="I201" s="170"/>
      <c r="J201" s="709">
        <v>109</v>
      </c>
      <c r="K201" s="679">
        <v>109</v>
      </c>
      <c r="L201" s="659">
        <v>109</v>
      </c>
      <c r="M201" s="1662" t="s">
        <v>125</v>
      </c>
      <c r="N201" s="408">
        <v>9.1999999999999993</v>
      </c>
      <c r="O201" s="515">
        <v>9.1999999999999993</v>
      </c>
      <c r="P201" s="522">
        <v>6.2</v>
      </c>
      <c r="Q201" s="408">
        <v>6.2</v>
      </c>
    </row>
    <row r="202" spans="1:21" ht="15.65" customHeight="1" x14ac:dyDescent="0.25">
      <c r="A202" s="33"/>
      <c r="B202" s="52"/>
      <c r="C202" s="63"/>
      <c r="D202" s="28"/>
      <c r="E202" s="987"/>
      <c r="F202" s="988"/>
      <c r="G202" s="217"/>
      <c r="H202" s="619" t="s">
        <v>48</v>
      </c>
      <c r="I202" s="307"/>
      <c r="J202" s="709">
        <v>50</v>
      </c>
      <c r="K202" s="321"/>
      <c r="L202" s="659"/>
      <c r="M202" s="1663"/>
      <c r="N202" s="776"/>
      <c r="O202" s="514"/>
      <c r="P202" s="521"/>
      <c r="Q202" s="996"/>
    </row>
    <row r="203" spans="1:21" ht="28.4" customHeight="1" x14ac:dyDescent="0.25">
      <c r="A203" s="33"/>
      <c r="B203" s="52"/>
      <c r="C203" s="63"/>
      <c r="D203" s="28"/>
      <c r="E203" s="830"/>
      <c r="F203" s="831"/>
      <c r="G203" s="217"/>
      <c r="H203" s="619" t="s">
        <v>48</v>
      </c>
      <c r="I203" s="307"/>
      <c r="J203" s="331">
        <v>109.1</v>
      </c>
      <c r="K203" s="679"/>
      <c r="L203" s="659"/>
      <c r="M203" s="384" t="s">
        <v>301</v>
      </c>
      <c r="N203" s="407"/>
      <c r="O203" s="512">
        <v>1</v>
      </c>
      <c r="P203" s="518"/>
      <c r="Q203" s="407"/>
    </row>
    <row r="204" spans="1:21" ht="27.65" customHeight="1" x14ac:dyDescent="0.25">
      <c r="A204" s="33"/>
      <c r="B204" s="52"/>
      <c r="C204" s="63"/>
      <c r="D204" s="28"/>
      <c r="E204" s="830"/>
      <c r="F204" s="831"/>
      <c r="G204" s="217"/>
      <c r="H204" s="619"/>
      <c r="I204" s="740"/>
      <c r="J204" s="331"/>
      <c r="K204" s="327"/>
      <c r="L204" s="659"/>
      <c r="M204" s="384" t="s">
        <v>302</v>
      </c>
      <c r="N204" s="407"/>
      <c r="O204" s="512">
        <v>100</v>
      </c>
      <c r="P204" s="518"/>
      <c r="Q204" s="407"/>
    </row>
    <row r="205" spans="1:21" ht="28.5" customHeight="1" x14ac:dyDescent="0.25">
      <c r="A205" s="33"/>
      <c r="B205" s="52"/>
      <c r="C205" s="63"/>
      <c r="D205" s="28"/>
      <c r="E205" s="181"/>
      <c r="F205" s="199"/>
      <c r="G205" s="217"/>
      <c r="H205" s="2"/>
      <c r="I205" s="740"/>
      <c r="J205" s="2"/>
      <c r="K205" s="327"/>
      <c r="L205" s="659"/>
      <c r="M205" s="384" t="s">
        <v>189</v>
      </c>
      <c r="N205" s="407">
        <v>100</v>
      </c>
      <c r="O205" s="512"/>
      <c r="P205" s="518"/>
      <c r="Q205" s="407"/>
    </row>
    <row r="206" spans="1:21" ht="27.65" customHeight="1" x14ac:dyDescent="0.25">
      <c r="A206" s="33"/>
      <c r="B206" s="52"/>
      <c r="C206" s="63"/>
      <c r="D206" s="28"/>
      <c r="E206" s="634"/>
      <c r="F206" s="635"/>
      <c r="G206" s="217"/>
      <c r="H206" s="619" t="s">
        <v>22</v>
      </c>
      <c r="I206" s="307"/>
      <c r="J206" s="331">
        <v>18</v>
      </c>
      <c r="K206" s="327"/>
      <c r="L206" s="659"/>
      <c r="M206" s="384" t="s">
        <v>274</v>
      </c>
      <c r="N206" s="407"/>
      <c r="O206" s="512">
        <v>1</v>
      </c>
      <c r="P206" s="518"/>
      <c r="Q206" s="407"/>
    </row>
    <row r="207" spans="1:21" ht="17.899999999999999" customHeight="1" x14ac:dyDescent="0.25">
      <c r="A207" s="33"/>
      <c r="B207" s="52"/>
      <c r="C207" s="63"/>
      <c r="D207" s="149"/>
      <c r="E207" s="181"/>
      <c r="F207" s="199"/>
      <c r="G207" s="217"/>
      <c r="H207" s="777"/>
      <c r="I207" s="170"/>
      <c r="J207" s="709"/>
      <c r="K207" s="679"/>
      <c r="L207" s="659"/>
      <c r="M207" s="412" t="s">
        <v>193</v>
      </c>
      <c r="N207" s="407">
        <v>500</v>
      </c>
      <c r="O207" s="512"/>
      <c r="P207" s="518"/>
      <c r="Q207" s="407"/>
    </row>
    <row r="208" spans="1:21" ht="26.9" customHeight="1" x14ac:dyDescent="0.25">
      <c r="A208" s="33"/>
      <c r="B208" s="52"/>
      <c r="C208" s="63"/>
      <c r="D208" s="28"/>
      <c r="E208" s="181"/>
      <c r="F208" s="199"/>
      <c r="G208" s="217"/>
      <c r="H208" s="619" t="s">
        <v>48</v>
      </c>
      <c r="I208" s="740"/>
      <c r="J208" s="709">
        <v>38.6</v>
      </c>
      <c r="K208" s="679"/>
      <c r="L208" s="659"/>
      <c r="M208" s="383" t="s">
        <v>190</v>
      </c>
      <c r="N208" s="408">
        <v>105</v>
      </c>
      <c r="O208" s="512">
        <v>105</v>
      </c>
      <c r="P208" s="522"/>
      <c r="Q208" s="408"/>
    </row>
    <row r="209" spans="1:17" ht="17.149999999999999" customHeight="1" x14ac:dyDescent="0.25">
      <c r="A209" s="33"/>
      <c r="B209" s="52"/>
      <c r="C209" s="63"/>
      <c r="D209" s="28"/>
      <c r="E209" s="614"/>
      <c r="F209" s="615"/>
      <c r="G209" s="217"/>
      <c r="H209" s="777"/>
      <c r="I209" s="307"/>
      <c r="J209" s="709"/>
      <c r="K209" s="321"/>
      <c r="L209" s="680"/>
      <c r="M209" s="620" t="s">
        <v>259</v>
      </c>
      <c r="N209" s="619">
        <v>1</v>
      </c>
      <c r="O209" s="512"/>
      <c r="P209" s="522"/>
      <c r="Q209" s="408"/>
    </row>
    <row r="210" spans="1:17" ht="26.9" customHeight="1" x14ac:dyDescent="0.25">
      <c r="A210" s="33"/>
      <c r="B210" s="52"/>
      <c r="C210" s="63"/>
      <c r="D210" s="28"/>
      <c r="E210" s="614"/>
      <c r="F210" s="615"/>
      <c r="G210" s="217"/>
      <c r="H210" s="619" t="s">
        <v>48</v>
      </c>
      <c r="I210" s="305"/>
      <c r="J210" s="331">
        <v>3.3</v>
      </c>
      <c r="K210" s="679"/>
      <c r="L210" s="758"/>
      <c r="M210" s="620" t="s">
        <v>260</v>
      </c>
      <c r="N210" s="619">
        <v>100</v>
      </c>
      <c r="O210" s="512">
        <v>100</v>
      </c>
      <c r="P210" s="522"/>
      <c r="Q210" s="408"/>
    </row>
    <row r="211" spans="1:17" ht="29.15" customHeight="1" x14ac:dyDescent="0.25">
      <c r="A211" s="33"/>
      <c r="B211" s="52"/>
      <c r="C211" s="63"/>
      <c r="D211" s="611"/>
      <c r="E211" s="281"/>
      <c r="F211" s="820"/>
      <c r="G211" s="217"/>
      <c r="H211" s="17" t="s">
        <v>22</v>
      </c>
      <c r="I211" s="170"/>
      <c r="J211" s="316">
        <v>9</v>
      </c>
      <c r="K211" s="626"/>
      <c r="L211" s="310"/>
      <c r="M211" s="610" t="s">
        <v>252</v>
      </c>
      <c r="N211" s="602"/>
      <c r="O211" s="317">
        <v>100</v>
      </c>
      <c r="P211" s="519"/>
      <c r="Q211" s="258"/>
    </row>
    <row r="212" spans="1:17" ht="15" customHeight="1" x14ac:dyDescent="0.25">
      <c r="A212" s="33"/>
      <c r="B212" s="52"/>
      <c r="C212" s="63"/>
      <c r="D212" s="28" t="s">
        <v>24</v>
      </c>
      <c r="E212" s="939" t="s">
        <v>253</v>
      </c>
      <c r="F212" s="242" t="s">
        <v>178</v>
      </c>
      <c r="G212" s="217"/>
      <c r="H212" s="940"/>
      <c r="I212" s="870"/>
      <c r="J212" s="941"/>
      <c r="K212" s="320"/>
      <c r="L212" s="596"/>
      <c r="M212" s="932" t="s">
        <v>254</v>
      </c>
      <c r="N212" s="942"/>
      <c r="O212" s="943"/>
      <c r="P212" s="517">
        <v>1</v>
      </c>
      <c r="Q212" s="236"/>
    </row>
    <row r="213" spans="1:17" ht="15" customHeight="1" x14ac:dyDescent="0.25">
      <c r="A213" s="33"/>
      <c r="B213" s="52"/>
      <c r="C213" s="63"/>
      <c r="D213" s="28"/>
      <c r="E213" s="944"/>
      <c r="F213" s="242" t="s">
        <v>262</v>
      </c>
      <c r="G213" s="217"/>
      <c r="H213" s="777"/>
      <c r="I213" s="170"/>
      <c r="J213" s="941"/>
      <c r="K213" s="321"/>
      <c r="L213" s="310"/>
      <c r="M213" s="933" t="s">
        <v>297</v>
      </c>
      <c r="N213" s="945"/>
      <c r="O213" s="946"/>
      <c r="P213" s="522"/>
      <c r="Q213" s="600">
        <v>1</v>
      </c>
    </row>
    <row r="214" spans="1:17" ht="15" customHeight="1" x14ac:dyDescent="0.25">
      <c r="A214" s="33"/>
      <c r="B214" s="52"/>
      <c r="C214" s="63"/>
      <c r="D214" s="28"/>
      <c r="E214" s="947"/>
      <c r="F214" s="242" t="s">
        <v>42</v>
      </c>
      <c r="G214" s="217"/>
      <c r="H214" s="777"/>
      <c r="I214" s="170"/>
      <c r="J214" s="941"/>
      <c r="K214" s="321"/>
      <c r="L214" s="310"/>
      <c r="M214" s="719"/>
      <c r="N214" s="203"/>
      <c r="O214" s="446"/>
      <c r="P214" s="454"/>
      <c r="Q214" s="605"/>
    </row>
    <row r="215" spans="1:17" ht="16.399999999999999" customHeight="1" thickBot="1" x14ac:dyDescent="0.3">
      <c r="A215" s="19"/>
      <c r="B215" s="91"/>
      <c r="C215" s="62"/>
      <c r="D215" s="227"/>
      <c r="E215" s="224"/>
      <c r="F215" s="228"/>
      <c r="G215" s="225"/>
      <c r="H215" s="168" t="s">
        <v>4</v>
      </c>
      <c r="I215" s="210">
        <f>SUM(I193:I214)</f>
        <v>585.79999999999995</v>
      </c>
      <c r="J215" s="299">
        <f>SUM(J193:J214)</f>
        <v>787.1</v>
      </c>
      <c r="K215" s="341">
        <f>SUM(K193:K214)</f>
        <v>445.7</v>
      </c>
      <c r="L215" s="336">
        <f>SUM(L193:L214)</f>
        <v>434.5</v>
      </c>
      <c r="M215" s="401"/>
      <c r="N215" s="612"/>
      <c r="O215" s="510"/>
      <c r="P215" s="345"/>
      <c r="Q215" s="226"/>
    </row>
    <row r="216" spans="1:17" ht="15" customHeight="1" thickBot="1" x14ac:dyDescent="0.3">
      <c r="A216" s="21" t="s">
        <v>3</v>
      </c>
      <c r="B216" s="4" t="s">
        <v>5</v>
      </c>
      <c r="C216" s="1673" t="s">
        <v>6</v>
      </c>
      <c r="D216" s="1673"/>
      <c r="E216" s="1673"/>
      <c r="F216" s="1673"/>
      <c r="G216" s="1673"/>
      <c r="H216" s="1673"/>
      <c r="I216" s="261">
        <f t="shared" ref="I216:L216" si="1">I215</f>
        <v>585.79999999999995</v>
      </c>
      <c r="J216" s="261">
        <f t="shared" si="1"/>
        <v>787.1</v>
      </c>
      <c r="K216" s="350">
        <f t="shared" si="1"/>
        <v>445.7</v>
      </c>
      <c r="L216" s="346">
        <f t="shared" si="1"/>
        <v>434.5</v>
      </c>
      <c r="M216" s="1675"/>
      <c r="N216" s="1676"/>
      <c r="O216" s="1676"/>
      <c r="P216" s="1676"/>
      <c r="Q216" s="1677"/>
    </row>
    <row r="217" spans="1:17" ht="15" customHeight="1" thickBot="1" x14ac:dyDescent="0.3">
      <c r="A217" s="20" t="s">
        <v>3</v>
      </c>
      <c r="B217" s="4" t="s">
        <v>24</v>
      </c>
      <c r="C217" s="1587" t="s">
        <v>87</v>
      </c>
      <c r="D217" s="1684"/>
      <c r="E217" s="1684"/>
      <c r="F217" s="1684"/>
      <c r="G217" s="1684"/>
      <c r="H217" s="1684"/>
      <c r="I217" s="1684"/>
      <c r="J217" s="1684"/>
      <c r="K217" s="1684"/>
      <c r="L217" s="1684"/>
      <c r="M217" s="1684"/>
      <c r="N217" s="1684"/>
      <c r="O217" s="1684"/>
      <c r="P217" s="1684"/>
      <c r="Q217" s="1685"/>
    </row>
    <row r="218" spans="1:17" ht="27.75" customHeight="1" x14ac:dyDescent="0.25">
      <c r="A218" s="55" t="s">
        <v>3</v>
      </c>
      <c r="B218" s="53" t="s">
        <v>24</v>
      </c>
      <c r="C218" s="189" t="s">
        <v>3</v>
      </c>
      <c r="D218" s="67"/>
      <c r="E218" s="68" t="s">
        <v>165</v>
      </c>
      <c r="F218" s="58"/>
      <c r="G218" s="214"/>
      <c r="H218" s="69"/>
      <c r="I218" s="311"/>
      <c r="J218" s="347"/>
      <c r="K218" s="348"/>
      <c r="L218" s="130"/>
      <c r="M218" s="420"/>
      <c r="N218" s="418"/>
      <c r="O218" s="330"/>
      <c r="P218" s="333"/>
      <c r="Q218" s="418"/>
    </row>
    <row r="219" spans="1:17" ht="14.25" customHeight="1" x14ac:dyDescent="0.25">
      <c r="A219" s="55"/>
      <c r="B219" s="53"/>
      <c r="C219" s="189"/>
      <c r="D219" s="150" t="s">
        <v>3</v>
      </c>
      <c r="E219" s="1636" t="s">
        <v>131</v>
      </c>
      <c r="F219" s="989"/>
      <c r="G219" s="1838" t="s">
        <v>169</v>
      </c>
      <c r="H219" s="735" t="s">
        <v>22</v>
      </c>
      <c r="I219" s="170">
        <f>1200-600+550+201.6</f>
        <v>1351.6</v>
      </c>
      <c r="J219" s="871">
        <v>1000</v>
      </c>
      <c r="K219" s="321">
        <v>1200</v>
      </c>
      <c r="L219" s="39">
        <v>1200</v>
      </c>
      <c r="M219" s="384" t="s">
        <v>127</v>
      </c>
      <c r="N219" s="101">
        <v>10</v>
      </c>
      <c r="O219" s="525">
        <v>10</v>
      </c>
      <c r="P219" s="532">
        <v>10</v>
      </c>
      <c r="Q219" s="101">
        <v>10</v>
      </c>
    </row>
    <row r="220" spans="1:17" ht="15" customHeight="1" x14ac:dyDescent="0.25">
      <c r="A220" s="55"/>
      <c r="B220" s="53"/>
      <c r="C220" s="189"/>
      <c r="D220" s="150"/>
      <c r="E220" s="1686"/>
      <c r="F220" s="814" t="s">
        <v>178</v>
      </c>
      <c r="G220" s="1862"/>
      <c r="H220" s="706" t="s">
        <v>48</v>
      </c>
      <c r="I220" s="307">
        <v>63.5</v>
      </c>
      <c r="J220" s="331">
        <v>698.6</v>
      </c>
      <c r="K220" s="679"/>
      <c r="L220" s="680"/>
      <c r="M220" s="1860" t="s">
        <v>121</v>
      </c>
      <c r="N220" s="102">
        <v>334</v>
      </c>
      <c r="O220" s="526">
        <v>546</v>
      </c>
      <c r="P220" s="533">
        <v>506</v>
      </c>
      <c r="Q220" s="102">
        <v>350</v>
      </c>
    </row>
    <row r="221" spans="1:17" ht="15" customHeight="1" x14ac:dyDescent="0.25">
      <c r="A221" s="55"/>
      <c r="B221" s="53"/>
      <c r="C221" s="189"/>
      <c r="D221" s="150"/>
      <c r="E221" s="59" t="s">
        <v>275</v>
      </c>
      <c r="F221" s="814" t="s">
        <v>153</v>
      </c>
      <c r="G221" s="1862"/>
      <c r="H221" s="196" t="s">
        <v>317</v>
      </c>
      <c r="J221" s="331">
        <v>200</v>
      </c>
      <c r="K221" s="679"/>
      <c r="L221" s="680"/>
      <c r="M221" s="1861"/>
      <c r="N221" s="124"/>
      <c r="O221" s="528"/>
      <c r="P221" s="536"/>
      <c r="Q221" s="124"/>
    </row>
    <row r="222" spans="1:17" ht="28.4" customHeight="1" x14ac:dyDescent="0.25">
      <c r="A222" s="55"/>
      <c r="B222" s="53"/>
      <c r="C222" s="189"/>
      <c r="D222" s="150"/>
      <c r="E222" s="1835" t="s">
        <v>137</v>
      </c>
      <c r="F222" s="814" t="s">
        <v>262</v>
      </c>
      <c r="G222" s="1837" t="s">
        <v>305</v>
      </c>
      <c r="H222" s="724" t="s">
        <v>220</v>
      </c>
      <c r="I222" s="740">
        <f>600-550</f>
        <v>50</v>
      </c>
      <c r="J222" s="315"/>
      <c r="K222" s="321"/>
      <c r="L222" s="39"/>
      <c r="M222" s="383" t="s">
        <v>98</v>
      </c>
      <c r="N222" s="233">
        <v>12.7</v>
      </c>
      <c r="O222" s="529">
        <v>9.1</v>
      </c>
      <c r="P222" s="537">
        <v>7.2</v>
      </c>
      <c r="Q222" s="233">
        <v>8.5</v>
      </c>
    </row>
    <row r="223" spans="1:17" ht="13.5" customHeight="1" x14ac:dyDescent="0.25">
      <c r="A223" s="55"/>
      <c r="B223" s="53"/>
      <c r="C223" s="189"/>
      <c r="D223" s="150"/>
      <c r="E223" s="1836"/>
      <c r="F223" s="191"/>
      <c r="G223" s="1838"/>
      <c r="H223" s="1011"/>
      <c r="I223" s="170"/>
      <c r="J223" s="315"/>
      <c r="K223" s="321"/>
      <c r="L223" s="39"/>
      <c r="M223" s="1846"/>
      <c r="N223" s="1842"/>
      <c r="O223" s="1848"/>
      <c r="P223" s="1840"/>
      <c r="Q223" s="1842"/>
    </row>
    <row r="224" spans="1:17" ht="18" customHeight="1" x14ac:dyDescent="0.25">
      <c r="A224" s="55"/>
      <c r="B224" s="53"/>
      <c r="C224" s="189"/>
      <c r="D224" s="67"/>
      <c r="E224" s="186" t="s">
        <v>130</v>
      </c>
      <c r="F224" s="92"/>
      <c r="G224" s="1839"/>
      <c r="H224" s="203"/>
      <c r="J224" s="316"/>
      <c r="K224" s="322"/>
      <c r="L224" s="45"/>
      <c r="M224" s="1847"/>
      <c r="N224" s="1843"/>
      <c r="O224" s="1849"/>
      <c r="P224" s="1841"/>
      <c r="Q224" s="1843"/>
    </row>
    <row r="225" spans="1:17" ht="13.5" customHeight="1" x14ac:dyDescent="0.25">
      <c r="A225" s="176"/>
      <c r="B225" s="182"/>
      <c r="C225" s="178"/>
      <c r="D225" s="144" t="s">
        <v>5</v>
      </c>
      <c r="E225" s="1659" t="s">
        <v>101</v>
      </c>
      <c r="F225" s="813" t="s">
        <v>42</v>
      </c>
      <c r="G225" s="1858" t="s">
        <v>168</v>
      </c>
      <c r="H225" s="46" t="s">
        <v>22</v>
      </c>
      <c r="I225" s="708">
        <f>345.4-300</f>
        <v>45.4</v>
      </c>
      <c r="J225" s="315"/>
      <c r="K225" s="321"/>
      <c r="L225" s="310"/>
      <c r="M225" s="1752" t="s">
        <v>287</v>
      </c>
      <c r="N225" s="94">
        <v>70</v>
      </c>
      <c r="O225" s="428">
        <v>100</v>
      </c>
      <c r="P225" s="434"/>
      <c r="Q225" s="94"/>
    </row>
    <row r="226" spans="1:17" ht="15.75" customHeight="1" x14ac:dyDescent="0.25">
      <c r="A226" s="176"/>
      <c r="B226" s="182"/>
      <c r="C226" s="178"/>
      <c r="D226" s="144"/>
      <c r="E226" s="1660"/>
      <c r="F226" s="814" t="s">
        <v>178</v>
      </c>
      <c r="G226" s="1859"/>
      <c r="H226" s="676" t="s">
        <v>48</v>
      </c>
      <c r="I226" s="307">
        <f>138.2-10-111.2</f>
        <v>17</v>
      </c>
      <c r="J226" s="709">
        <v>501.1</v>
      </c>
      <c r="K226" s="679"/>
      <c r="L226" s="680"/>
      <c r="M226" s="1807"/>
      <c r="N226" s="416"/>
      <c r="O226" s="524"/>
      <c r="P226" s="531"/>
      <c r="Q226" s="416"/>
    </row>
    <row r="227" spans="1:17" ht="15" customHeight="1" x14ac:dyDescent="0.25">
      <c r="A227" s="176"/>
      <c r="B227" s="182"/>
      <c r="C227" s="178"/>
      <c r="D227" s="151"/>
      <c r="E227" s="1661"/>
      <c r="F227" s="814" t="s">
        <v>153</v>
      </c>
      <c r="G227" s="1831" t="s">
        <v>305</v>
      </c>
      <c r="H227" s="676" t="s">
        <v>132</v>
      </c>
      <c r="I227" s="305">
        <f>186.1-86.8</f>
        <v>99.3</v>
      </c>
      <c r="J227" s="331">
        <v>88.6</v>
      </c>
      <c r="K227" s="321"/>
      <c r="L227" s="659"/>
      <c r="M227" s="1662" t="s">
        <v>121</v>
      </c>
      <c r="N227" s="417">
        <v>200</v>
      </c>
      <c r="O227" s="825">
        <v>246</v>
      </c>
      <c r="P227" s="535"/>
      <c r="Q227" s="417"/>
    </row>
    <row r="228" spans="1:17" ht="15" customHeight="1" x14ac:dyDescent="0.25">
      <c r="A228" s="176"/>
      <c r="B228" s="182"/>
      <c r="C228" s="178"/>
      <c r="D228" s="151"/>
      <c r="E228" s="187"/>
      <c r="F228" s="814" t="s">
        <v>262</v>
      </c>
      <c r="G228" s="1831"/>
      <c r="H228" s="677" t="s">
        <v>133</v>
      </c>
      <c r="I228" s="170">
        <f>2109.1-983.2</f>
        <v>1125.9000000000001</v>
      </c>
      <c r="J228" s="315">
        <v>1004.3</v>
      </c>
      <c r="K228" s="679"/>
      <c r="L228" s="680"/>
      <c r="M228" s="1663"/>
      <c r="N228" s="95"/>
      <c r="O228" s="430"/>
      <c r="P228" s="436"/>
      <c r="Q228" s="95"/>
    </row>
    <row r="229" spans="1:17" ht="15" customHeight="1" x14ac:dyDescent="0.25">
      <c r="A229" s="176"/>
      <c r="B229" s="182"/>
      <c r="C229" s="178"/>
      <c r="D229" s="151"/>
      <c r="E229" s="187"/>
      <c r="F229" s="654"/>
      <c r="G229" s="846"/>
      <c r="H229" s="677" t="s">
        <v>183</v>
      </c>
      <c r="I229" s="307">
        <f>300-93.6</f>
        <v>206.4</v>
      </c>
      <c r="J229" s="331"/>
      <c r="K229" s="327"/>
      <c r="L229" s="39"/>
      <c r="M229" s="368" t="s">
        <v>179</v>
      </c>
      <c r="N229" s="232">
        <v>100</v>
      </c>
      <c r="O229" s="826">
        <v>159</v>
      </c>
      <c r="P229" s="106"/>
      <c r="Q229" s="232"/>
    </row>
    <row r="230" spans="1:17" ht="15" customHeight="1" x14ac:dyDescent="0.25">
      <c r="A230" s="176"/>
      <c r="B230" s="182"/>
      <c r="C230" s="178"/>
      <c r="D230" s="151"/>
      <c r="E230" s="187"/>
      <c r="F230" s="216"/>
      <c r="G230" s="846"/>
      <c r="H230" s="46" t="s">
        <v>197</v>
      </c>
      <c r="I230" s="307">
        <v>32.799999999999997</v>
      </c>
      <c r="J230" s="331">
        <v>35.299999999999997</v>
      </c>
      <c r="K230" s="679"/>
      <c r="L230" s="680"/>
      <c r="M230" s="1846"/>
      <c r="N230" s="1842"/>
      <c r="O230" s="1848"/>
      <c r="P230" s="1840"/>
      <c r="Q230" s="1842"/>
    </row>
    <row r="231" spans="1:17" ht="14.9" customHeight="1" x14ac:dyDescent="0.25">
      <c r="A231" s="176"/>
      <c r="B231" s="182"/>
      <c r="C231" s="178"/>
      <c r="D231" s="151"/>
      <c r="E231" s="175"/>
      <c r="F231" s="216"/>
      <c r="G231" s="215"/>
      <c r="H231" s="678" t="s">
        <v>198</v>
      </c>
      <c r="I231" s="625">
        <v>371.7</v>
      </c>
      <c r="J231" s="315">
        <v>398.8</v>
      </c>
      <c r="K231" s="626"/>
      <c r="L231" s="310"/>
      <c r="M231" s="1847"/>
      <c r="N231" s="1843"/>
      <c r="O231" s="1849"/>
      <c r="P231" s="1841"/>
      <c r="Q231" s="1843"/>
    </row>
    <row r="232" spans="1:17" ht="24.75" customHeight="1" x14ac:dyDescent="0.25">
      <c r="A232" s="1657"/>
      <c r="B232" s="1658"/>
      <c r="C232" s="1681"/>
      <c r="D232" s="1874" t="s">
        <v>24</v>
      </c>
      <c r="E232" s="1682" t="s">
        <v>89</v>
      </c>
      <c r="F232" s="1678" t="s">
        <v>262</v>
      </c>
      <c r="G232" s="1851" t="s">
        <v>269</v>
      </c>
      <c r="H232" s="75" t="s">
        <v>22</v>
      </c>
      <c r="I232" s="229">
        <v>1</v>
      </c>
      <c r="J232" s="314">
        <v>2</v>
      </c>
      <c r="K232" s="320">
        <v>2</v>
      </c>
      <c r="L232" s="302">
        <v>2</v>
      </c>
      <c r="M232" s="393" t="s">
        <v>97</v>
      </c>
      <c r="N232" s="89">
        <v>1</v>
      </c>
      <c r="O232" s="441">
        <v>1</v>
      </c>
      <c r="P232" s="449">
        <v>1</v>
      </c>
      <c r="Q232" s="89">
        <v>1</v>
      </c>
    </row>
    <row r="233" spans="1:17" ht="16.5" customHeight="1" x14ac:dyDescent="0.25">
      <c r="A233" s="1657"/>
      <c r="B233" s="1658"/>
      <c r="C233" s="1681"/>
      <c r="D233" s="1875"/>
      <c r="E233" s="1683"/>
      <c r="F233" s="1679"/>
      <c r="G233" s="1852"/>
      <c r="H233" s="192"/>
      <c r="I233" s="170"/>
      <c r="J233" s="315"/>
      <c r="K233" s="321"/>
      <c r="L233" s="39"/>
      <c r="M233" s="378"/>
      <c r="N233" s="93"/>
      <c r="O233" s="442"/>
      <c r="P233" s="450"/>
      <c r="Q233" s="93"/>
    </row>
    <row r="234" spans="1:17" ht="14.9" customHeight="1" x14ac:dyDescent="0.25">
      <c r="A234" s="176"/>
      <c r="B234" s="177"/>
      <c r="C234" s="63"/>
      <c r="D234" s="193" t="s">
        <v>31</v>
      </c>
      <c r="E234" s="1636" t="s">
        <v>139</v>
      </c>
      <c r="F234" s="813" t="s">
        <v>262</v>
      </c>
      <c r="G234" s="1851" t="s">
        <v>269</v>
      </c>
      <c r="H234" s="196" t="s">
        <v>48</v>
      </c>
      <c r="I234" s="229">
        <v>10.7</v>
      </c>
      <c r="J234" s="314">
        <v>5</v>
      </c>
      <c r="K234" s="456"/>
      <c r="L234" s="710"/>
      <c r="M234" s="1680" t="s">
        <v>278</v>
      </c>
      <c r="N234" s="415">
        <v>18</v>
      </c>
      <c r="O234" s="523">
        <v>29</v>
      </c>
      <c r="P234" s="530">
        <v>36</v>
      </c>
      <c r="Q234" s="415">
        <v>39</v>
      </c>
    </row>
    <row r="235" spans="1:17" ht="16.5" customHeight="1" x14ac:dyDescent="0.25">
      <c r="A235" s="176"/>
      <c r="B235" s="177"/>
      <c r="C235" s="63"/>
      <c r="D235" s="195"/>
      <c r="E235" s="1637"/>
      <c r="F235" s="242" t="s">
        <v>178</v>
      </c>
      <c r="G235" s="1852"/>
      <c r="H235" s="706" t="s">
        <v>22</v>
      </c>
      <c r="I235" s="307">
        <v>40</v>
      </c>
      <c r="J235" s="709">
        <v>45</v>
      </c>
      <c r="K235" s="321">
        <v>50</v>
      </c>
      <c r="L235" s="310">
        <v>55</v>
      </c>
      <c r="M235" s="1663"/>
      <c r="N235" s="416"/>
      <c r="O235" s="524"/>
      <c r="P235" s="531"/>
      <c r="Q235" s="416"/>
    </row>
    <row r="236" spans="1:17" ht="17.899999999999999" customHeight="1" x14ac:dyDescent="0.25">
      <c r="A236" s="176"/>
      <c r="B236" s="177"/>
      <c r="C236" s="63"/>
      <c r="D236" s="195"/>
      <c r="E236" s="1637"/>
      <c r="F236" s="199"/>
      <c r="G236" s="1852"/>
      <c r="H236" s="705" t="s">
        <v>22</v>
      </c>
      <c r="I236" s="779">
        <v>7</v>
      </c>
      <c r="J236" s="529">
        <v>7</v>
      </c>
      <c r="K236" s="780">
        <v>7</v>
      </c>
      <c r="L236" s="781">
        <v>7</v>
      </c>
      <c r="M236" s="381" t="s">
        <v>293</v>
      </c>
      <c r="N236" s="101">
        <v>100</v>
      </c>
      <c r="O236" s="525">
        <v>100</v>
      </c>
      <c r="P236" s="532">
        <v>100</v>
      </c>
      <c r="Q236" s="101">
        <v>100</v>
      </c>
    </row>
    <row r="237" spans="1:17" ht="21" customHeight="1" x14ac:dyDescent="0.25">
      <c r="A237" s="18"/>
      <c r="B237" s="182"/>
      <c r="C237" s="63"/>
      <c r="D237" s="195"/>
      <c r="E237" s="1637"/>
      <c r="F237" s="184"/>
      <c r="G237" s="1876"/>
      <c r="H237" s="706" t="s">
        <v>22</v>
      </c>
      <c r="I237" s="740">
        <v>100</v>
      </c>
      <c r="J237" s="331">
        <f>210-80</f>
        <v>130</v>
      </c>
      <c r="K237" s="860">
        <v>130</v>
      </c>
      <c r="L237" s="758">
        <v>130</v>
      </c>
      <c r="M237" s="383" t="s">
        <v>294</v>
      </c>
      <c r="N237" s="100">
        <v>3</v>
      </c>
      <c r="O237" s="495">
        <v>3</v>
      </c>
      <c r="P237" s="498">
        <v>3</v>
      </c>
      <c r="Q237" s="100">
        <v>3</v>
      </c>
    </row>
    <row r="238" spans="1:17" ht="33.65" customHeight="1" x14ac:dyDescent="0.25">
      <c r="A238" s="18"/>
      <c r="B238" s="182"/>
      <c r="C238" s="63"/>
      <c r="D238" s="195"/>
      <c r="E238" s="1637"/>
      <c r="F238" s="184"/>
      <c r="G238" s="113"/>
      <c r="H238" s="196" t="s">
        <v>22</v>
      </c>
      <c r="I238" s="740">
        <v>35</v>
      </c>
      <c r="J238" s="871">
        <f>56-20</f>
        <v>36</v>
      </c>
      <c r="K238" s="679">
        <v>36</v>
      </c>
      <c r="L238" s="680">
        <v>36</v>
      </c>
      <c r="M238" s="383" t="s">
        <v>295</v>
      </c>
      <c r="N238" s="102">
        <v>9</v>
      </c>
      <c r="O238" s="526">
        <v>5</v>
      </c>
      <c r="P238" s="533">
        <v>5</v>
      </c>
      <c r="Q238" s="102">
        <v>5</v>
      </c>
    </row>
    <row r="239" spans="1:17" ht="18" customHeight="1" x14ac:dyDescent="0.25">
      <c r="A239" s="18"/>
      <c r="B239" s="182"/>
      <c r="C239" s="63"/>
      <c r="D239" s="195"/>
      <c r="E239" s="1637"/>
      <c r="F239" s="199"/>
      <c r="G239" s="278"/>
      <c r="H239" s="706" t="s">
        <v>22</v>
      </c>
      <c r="I239" s="740">
        <v>8</v>
      </c>
      <c r="J239" s="709">
        <v>8</v>
      </c>
      <c r="K239" s="679">
        <v>8</v>
      </c>
      <c r="L239" s="680">
        <v>8</v>
      </c>
      <c r="M239" s="652" t="s">
        <v>71</v>
      </c>
      <c r="N239" s="681">
        <v>1</v>
      </c>
      <c r="O239" s="525">
        <v>2</v>
      </c>
      <c r="P239" s="532">
        <v>1</v>
      </c>
      <c r="Q239" s="102">
        <v>1</v>
      </c>
    </row>
    <row r="240" spans="1:17" ht="29.9" customHeight="1" x14ac:dyDescent="0.25">
      <c r="A240" s="18"/>
      <c r="B240" s="284"/>
      <c r="C240" s="63"/>
      <c r="D240" s="954"/>
      <c r="E240" s="953"/>
      <c r="F240" s="956"/>
      <c r="G240" s="955"/>
      <c r="H240" s="192" t="s">
        <v>22</v>
      </c>
      <c r="I240" s="625"/>
      <c r="J240" s="725">
        <v>202</v>
      </c>
      <c r="K240" s="322">
        <v>202</v>
      </c>
      <c r="L240" s="741">
        <v>202</v>
      </c>
      <c r="M240" s="957" t="s">
        <v>296</v>
      </c>
      <c r="N240" s="973"/>
      <c r="O240" s="526">
        <v>1</v>
      </c>
      <c r="P240" s="749">
        <v>1</v>
      </c>
      <c r="Q240" s="974">
        <v>1</v>
      </c>
    </row>
    <row r="241" spans="1:17" ht="15.75" customHeight="1" thickBot="1" x14ac:dyDescent="0.3">
      <c r="A241" s="19"/>
      <c r="B241" s="91"/>
      <c r="C241" s="62"/>
      <c r="D241" s="966"/>
      <c r="E241" s="967"/>
      <c r="F241" s="968"/>
      <c r="G241" s="969"/>
      <c r="H241" s="16" t="s">
        <v>4</v>
      </c>
      <c r="I241" s="210">
        <f>SUM(I219:I240)</f>
        <v>3565.3</v>
      </c>
      <c r="J241" s="334">
        <f>SUM(J219:J240)</f>
        <v>4361.7</v>
      </c>
      <c r="K241" s="349">
        <f>SUM(K219:K240)</f>
        <v>1635</v>
      </c>
      <c r="L241" s="335">
        <f>SUM(L219:L240)</f>
        <v>1640</v>
      </c>
      <c r="M241" s="419"/>
      <c r="N241" s="970"/>
      <c r="O241" s="971"/>
      <c r="P241" s="972"/>
      <c r="Q241" s="970"/>
    </row>
    <row r="242" spans="1:17" ht="33" customHeight="1" x14ac:dyDescent="0.25">
      <c r="A242" s="22" t="s">
        <v>3</v>
      </c>
      <c r="B242" s="50" t="s">
        <v>24</v>
      </c>
      <c r="C242" s="65" t="s">
        <v>5</v>
      </c>
      <c r="D242" s="51"/>
      <c r="E242" s="78" t="s">
        <v>102</v>
      </c>
      <c r="F242" s="839" t="s">
        <v>178</v>
      </c>
      <c r="G242" s="218"/>
      <c r="H242" s="209"/>
      <c r="I242" s="308"/>
      <c r="J242" s="338"/>
      <c r="K242" s="340"/>
      <c r="L242" s="132"/>
      <c r="M242" s="421"/>
      <c r="N242" s="212"/>
      <c r="O242" s="538"/>
      <c r="P242" s="540"/>
      <c r="Q242" s="212"/>
    </row>
    <row r="243" spans="1:17" ht="53.25" customHeight="1" x14ac:dyDescent="0.25">
      <c r="A243" s="55"/>
      <c r="B243" s="53"/>
      <c r="C243" s="189"/>
      <c r="D243" s="152" t="s">
        <v>3</v>
      </c>
      <c r="E243" s="60" t="s">
        <v>144</v>
      </c>
      <c r="F243" s="850" t="s">
        <v>262</v>
      </c>
      <c r="G243" s="219" t="s">
        <v>59</v>
      </c>
      <c r="H243" s="782" t="s">
        <v>22</v>
      </c>
      <c r="I243" s="275">
        <v>4</v>
      </c>
      <c r="J243" s="783">
        <v>4</v>
      </c>
      <c r="K243" s="784">
        <v>4</v>
      </c>
      <c r="L243" s="785">
        <v>4</v>
      </c>
      <c r="M243" s="422" t="s">
        <v>95</v>
      </c>
      <c r="N243" s="125">
        <v>1</v>
      </c>
      <c r="O243" s="539"/>
      <c r="P243" s="541"/>
      <c r="Q243" s="125">
        <v>1</v>
      </c>
    </row>
    <row r="244" spans="1:17" ht="53.25" customHeight="1" x14ac:dyDescent="0.25">
      <c r="A244" s="55"/>
      <c r="B244" s="53"/>
      <c r="C244" s="189"/>
      <c r="D244" s="198" t="s">
        <v>5</v>
      </c>
      <c r="E244" s="185" t="s">
        <v>145</v>
      </c>
      <c r="F244" s="814" t="s">
        <v>262</v>
      </c>
      <c r="G244" s="113"/>
      <c r="H244" s="196" t="s">
        <v>22</v>
      </c>
      <c r="I244" s="170">
        <v>4</v>
      </c>
      <c r="J244" s="786">
        <v>4</v>
      </c>
      <c r="K244" s="787"/>
      <c r="L244" s="788"/>
      <c r="M244" s="378" t="s">
        <v>95</v>
      </c>
      <c r="N244" s="87"/>
      <c r="O244" s="443">
        <v>1</v>
      </c>
      <c r="P244" s="451"/>
      <c r="Q244" s="87"/>
    </row>
    <row r="245" spans="1:17" ht="43.5" customHeight="1" x14ac:dyDescent="0.25">
      <c r="A245" s="55"/>
      <c r="B245" s="53"/>
      <c r="C245" s="189"/>
      <c r="D245" s="152" t="s">
        <v>24</v>
      </c>
      <c r="E245" s="60" t="s">
        <v>129</v>
      </c>
      <c r="F245" s="850" t="s">
        <v>262</v>
      </c>
      <c r="G245" s="113"/>
      <c r="H245" s="782" t="s">
        <v>22</v>
      </c>
      <c r="I245" s="275">
        <v>3.2</v>
      </c>
      <c r="J245" s="783"/>
      <c r="K245" s="784"/>
      <c r="L245" s="785"/>
      <c r="M245" s="422" t="s">
        <v>95</v>
      </c>
      <c r="N245" s="125">
        <v>1</v>
      </c>
      <c r="O245" s="539"/>
      <c r="P245" s="541"/>
      <c r="Q245" s="125"/>
    </row>
    <row r="246" spans="1:17" ht="52.5" customHeight="1" x14ac:dyDescent="0.25">
      <c r="A246" s="55"/>
      <c r="B246" s="53"/>
      <c r="C246" s="189"/>
      <c r="D246" s="152" t="s">
        <v>31</v>
      </c>
      <c r="E246" s="60" t="s">
        <v>113</v>
      </c>
      <c r="F246" s="850" t="s">
        <v>262</v>
      </c>
      <c r="G246" s="113"/>
      <c r="H246" s="782" t="s">
        <v>22</v>
      </c>
      <c r="I246" s="275">
        <v>4</v>
      </c>
      <c r="J246" s="783">
        <v>4</v>
      </c>
      <c r="K246" s="784">
        <v>4</v>
      </c>
      <c r="L246" s="785">
        <v>4</v>
      </c>
      <c r="M246" s="422" t="s">
        <v>95</v>
      </c>
      <c r="N246" s="125">
        <v>1</v>
      </c>
      <c r="O246" s="539"/>
      <c r="P246" s="541"/>
      <c r="Q246" s="125">
        <v>1</v>
      </c>
    </row>
    <row r="247" spans="1:17" ht="26.9" customHeight="1" x14ac:dyDescent="0.25">
      <c r="A247" s="55"/>
      <c r="B247" s="53"/>
      <c r="C247" s="189"/>
      <c r="D247" s="964" t="s">
        <v>32</v>
      </c>
      <c r="E247" s="1636" t="s">
        <v>146</v>
      </c>
      <c r="F247" s="963" t="s">
        <v>262</v>
      </c>
      <c r="G247" s="113"/>
      <c r="H247" s="196" t="s">
        <v>22</v>
      </c>
      <c r="I247" s="170">
        <v>25</v>
      </c>
      <c r="J247" s="786">
        <v>25</v>
      </c>
      <c r="K247" s="787">
        <v>25</v>
      </c>
      <c r="L247" s="977">
        <v>25</v>
      </c>
      <c r="M247" s="958" t="s">
        <v>95</v>
      </c>
      <c r="N247" s="1833">
        <v>1</v>
      </c>
      <c r="O247" s="1666">
        <v>1</v>
      </c>
      <c r="P247" s="1668"/>
      <c r="Q247" s="1670">
        <v>1</v>
      </c>
    </row>
    <row r="248" spans="1:17" ht="26.9" customHeight="1" x14ac:dyDescent="0.25">
      <c r="A248" s="55"/>
      <c r="B248" s="53"/>
      <c r="C248" s="962"/>
      <c r="D248" s="965"/>
      <c r="E248" s="1638"/>
      <c r="F248" s="961"/>
      <c r="G248" s="960"/>
      <c r="H248" s="707" t="s">
        <v>48</v>
      </c>
      <c r="I248" s="625"/>
      <c r="J248" s="975">
        <v>36.299999999999997</v>
      </c>
      <c r="K248" s="976"/>
      <c r="L248" s="789"/>
      <c r="M248" s="959"/>
      <c r="N248" s="1834"/>
      <c r="O248" s="1667"/>
      <c r="P248" s="1669"/>
      <c r="Q248" s="1671"/>
    </row>
    <row r="249" spans="1:17" ht="66.650000000000006" customHeight="1" x14ac:dyDescent="0.25">
      <c r="A249" s="55"/>
      <c r="B249" s="53"/>
      <c r="C249" s="294"/>
      <c r="D249" s="198" t="s">
        <v>25</v>
      </c>
      <c r="E249" s="653" t="s">
        <v>151</v>
      </c>
      <c r="F249" s="851" t="s">
        <v>262</v>
      </c>
      <c r="G249" s="279"/>
      <c r="H249" s="790" t="s">
        <v>22</v>
      </c>
      <c r="I249" s="791">
        <v>4</v>
      </c>
      <c r="J249" s="792">
        <v>4</v>
      </c>
      <c r="K249" s="793"/>
      <c r="L249" s="794"/>
      <c r="M249" s="422" t="s">
        <v>95</v>
      </c>
      <c r="N249" s="125"/>
      <c r="O249" s="539">
        <v>1</v>
      </c>
      <c r="P249" s="541"/>
      <c r="Q249" s="125"/>
    </row>
    <row r="250" spans="1:17" ht="67.400000000000006" customHeight="1" x14ac:dyDescent="0.25">
      <c r="A250" s="55"/>
      <c r="B250" s="53"/>
      <c r="C250" s="294"/>
      <c r="D250" s="152" t="s">
        <v>33</v>
      </c>
      <c r="E250" s="912" t="s">
        <v>277</v>
      </c>
      <c r="F250" s="913" t="s">
        <v>276</v>
      </c>
      <c r="G250" s="278"/>
      <c r="H250" s="192" t="s">
        <v>22</v>
      </c>
      <c r="I250" s="40"/>
      <c r="J250" s="316">
        <v>4</v>
      </c>
      <c r="K250" s="322">
        <v>4</v>
      </c>
      <c r="L250" s="38">
        <v>4</v>
      </c>
      <c r="M250" s="422" t="s">
        <v>95</v>
      </c>
      <c r="N250" s="93"/>
      <c r="O250" s="442"/>
      <c r="P250" s="450"/>
      <c r="Q250" s="93">
        <v>1</v>
      </c>
    </row>
    <row r="251" spans="1:17" ht="52.5" customHeight="1" x14ac:dyDescent="0.25">
      <c r="A251" s="55"/>
      <c r="B251" s="53"/>
      <c r="C251" s="294"/>
      <c r="D251" s="915" t="s">
        <v>26</v>
      </c>
      <c r="E251" s="912" t="s">
        <v>255</v>
      </c>
      <c r="F251" s="913" t="s">
        <v>276</v>
      </c>
      <c r="G251" s="279"/>
      <c r="H251" s="790" t="s">
        <v>22</v>
      </c>
      <c r="I251" s="791"/>
      <c r="J251" s="792">
        <v>7.5</v>
      </c>
      <c r="K251" s="793"/>
      <c r="L251" s="794"/>
      <c r="M251" s="422" t="s">
        <v>95</v>
      </c>
      <c r="N251" s="125"/>
      <c r="O251" s="539">
        <v>1</v>
      </c>
      <c r="P251" s="541"/>
      <c r="Q251" s="125"/>
    </row>
    <row r="252" spans="1:17" ht="52.5" customHeight="1" x14ac:dyDescent="0.25">
      <c r="A252" s="55"/>
      <c r="B252" s="53"/>
      <c r="C252" s="294"/>
      <c r="D252" s="152" t="s">
        <v>53</v>
      </c>
      <c r="E252" s="912" t="s">
        <v>256</v>
      </c>
      <c r="F252" s="913" t="s">
        <v>276</v>
      </c>
      <c r="G252" s="278"/>
      <c r="H252" s="192" t="s">
        <v>22</v>
      </c>
      <c r="I252" s="40"/>
      <c r="J252" s="316">
        <v>2.8</v>
      </c>
      <c r="K252" s="322"/>
      <c r="L252" s="38"/>
      <c r="M252" s="422" t="s">
        <v>95</v>
      </c>
      <c r="N252" s="93"/>
      <c r="O252" s="442">
        <v>1</v>
      </c>
      <c r="P252" s="450"/>
      <c r="Q252" s="93"/>
    </row>
    <row r="253" spans="1:17" ht="52.5" customHeight="1" x14ac:dyDescent="0.25">
      <c r="A253" s="55"/>
      <c r="B253" s="53"/>
      <c r="C253" s="294"/>
      <c r="D253" s="915" t="s">
        <v>105</v>
      </c>
      <c r="E253" s="912" t="s">
        <v>257</v>
      </c>
      <c r="F253" s="913" t="s">
        <v>276</v>
      </c>
      <c r="G253" s="279"/>
      <c r="H253" s="790" t="s">
        <v>22</v>
      </c>
      <c r="I253" s="791"/>
      <c r="J253" s="792">
        <v>3</v>
      </c>
      <c r="K253" s="793"/>
      <c r="L253" s="794"/>
      <c r="M253" s="422" t="s">
        <v>95</v>
      </c>
      <c r="N253" s="125"/>
      <c r="O253" s="539">
        <v>1</v>
      </c>
      <c r="P253" s="541"/>
      <c r="Q253" s="125"/>
    </row>
    <row r="254" spans="1:17" ht="52.5" customHeight="1" x14ac:dyDescent="0.25">
      <c r="A254" s="55"/>
      <c r="B254" s="53"/>
      <c r="C254" s="876"/>
      <c r="D254" s="915" t="s">
        <v>157</v>
      </c>
      <c r="E254" s="912" t="s">
        <v>335</v>
      </c>
      <c r="F254" s="913" t="s">
        <v>276</v>
      </c>
      <c r="G254" s="875"/>
      <c r="H254" s="790" t="s">
        <v>22</v>
      </c>
      <c r="I254" s="877"/>
      <c r="J254" s="878"/>
      <c r="K254" s="879"/>
      <c r="L254" s="880">
        <v>30</v>
      </c>
      <c r="M254" s="422" t="s">
        <v>95</v>
      </c>
      <c r="N254" s="89"/>
      <c r="O254" s="441"/>
      <c r="P254" s="881"/>
      <c r="Q254" s="898">
        <v>1</v>
      </c>
    </row>
    <row r="255" spans="1:17" ht="16.5" customHeight="1" thickBot="1" x14ac:dyDescent="0.3">
      <c r="A255" s="90"/>
      <c r="B255" s="54"/>
      <c r="C255" s="221"/>
      <c r="D255" s="861"/>
      <c r="E255" s="224"/>
      <c r="F255" s="862"/>
      <c r="G255" s="225"/>
      <c r="H255" s="16" t="s">
        <v>4</v>
      </c>
      <c r="I255" s="210">
        <f>SUM(I243:I253)</f>
        <v>44.2</v>
      </c>
      <c r="J255" s="299">
        <f>SUM(J243:J253)</f>
        <v>94.6</v>
      </c>
      <c r="K255" s="341">
        <f>SUM(K243:K253)</f>
        <v>37</v>
      </c>
      <c r="L255" s="336">
        <f>SUM(L243:L254)</f>
        <v>67</v>
      </c>
      <c r="M255" s="401"/>
      <c r="N255" s="226"/>
      <c r="O255" s="480"/>
      <c r="P255" s="345"/>
      <c r="Q255" s="226"/>
    </row>
    <row r="256" spans="1:17" ht="15.65" customHeight="1" thickBot="1" x14ac:dyDescent="0.3">
      <c r="A256" s="20" t="s">
        <v>3</v>
      </c>
      <c r="B256" s="4" t="s">
        <v>24</v>
      </c>
      <c r="C256" s="1672" t="s">
        <v>6</v>
      </c>
      <c r="D256" s="1673"/>
      <c r="E256" s="1673"/>
      <c r="F256" s="1673"/>
      <c r="G256" s="1673"/>
      <c r="H256" s="1674"/>
      <c r="I256" s="211">
        <f>I255+I241</f>
        <v>3609.5</v>
      </c>
      <c r="J256" s="339">
        <f>J255+J241</f>
        <v>4456.3</v>
      </c>
      <c r="K256" s="342">
        <f>K255+K241</f>
        <v>1672</v>
      </c>
      <c r="L256" s="337">
        <f>L255+L241</f>
        <v>1707</v>
      </c>
      <c r="M256" s="1675"/>
      <c r="N256" s="1676"/>
      <c r="O256" s="1676"/>
      <c r="P256" s="1676"/>
      <c r="Q256" s="1677"/>
    </row>
    <row r="257" spans="1:21" ht="15.65" customHeight="1" thickBot="1" x14ac:dyDescent="0.3">
      <c r="A257" s="20" t="s">
        <v>3</v>
      </c>
      <c r="B257" s="4" t="s">
        <v>31</v>
      </c>
      <c r="C257" s="1587" t="s">
        <v>40</v>
      </c>
      <c r="D257" s="1588"/>
      <c r="E257" s="1588"/>
      <c r="F257" s="1588"/>
      <c r="G257" s="1588"/>
      <c r="H257" s="1588"/>
      <c r="I257" s="188"/>
      <c r="J257" s="291"/>
      <c r="K257" s="291"/>
      <c r="L257" s="291"/>
      <c r="M257" s="1589"/>
      <c r="N257" s="1589"/>
      <c r="O257" s="1589"/>
      <c r="P257" s="1589"/>
      <c r="Q257" s="1590"/>
    </row>
    <row r="258" spans="1:21" ht="12.75" customHeight="1" x14ac:dyDescent="0.25">
      <c r="A258" s="22" t="s">
        <v>3</v>
      </c>
      <c r="B258" s="50" t="s">
        <v>31</v>
      </c>
      <c r="C258" s="65" t="s">
        <v>3</v>
      </c>
      <c r="D258" s="51"/>
      <c r="E258" s="1591" t="s">
        <v>164</v>
      </c>
      <c r="F258" s="220"/>
      <c r="G258" s="222"/>
      <c r="H258" s="209"/>
      <c r="I258" s="308"/>
      <c r="J258" s="338"/>
      <c r="K258" s="340"/>
      <c r="L258" s="132"/>
      <c r="M258" s="421"/>
      <c r="N258" s="126"/>
      <c r="O258" s="542"/>
      <c r="P258" s="545"/>
      <c r="Q258" s="126"/>
    </row>
    <row r="259" spans="1:21" ht="12.75" customHeight="1" x14ac:dyDescent="0.25">
      <c r="A259" s="81"/>
      <c r="B259" s="53"/>
      <c r="C259" s="82"/>
      <c r="D259" s="70"/>
      <c r="E259" s="1593"/>
      <c r="F259" s="92"/>
      <c r="G259" s="223"/>
      <c r="H259" s="196"/>
      <c r="I259" s="40"/>
      <c r="J259" s="316"/>
      <c r="K259" s="322"/>
      <c r="L259" s="164"/>
      <c r="M259" s="394"/>
      <c r="N259" s="93"/>
      <c r="O259" s="442"/>
      <c r="P259" s="450"/>
      <c r="Q259" s="93"/>
    </row>
    <row r="260" spans="1:21" s="27" customFormat="1" ht="20.9" customHeight="1" x14ac:dyDescent="0.25">
      <c r="A260" s="1621"/>
      <c r="B260" s="1623"/>
      <c r="C260" s="1625"/>
      <c r="D260" s="197" t="s">
        <v>3</v>
      </c>
      <c r="E260" s="1627" t="s">
        <v>116</v>
      </c>
      <c r="F260" s="289" t="s">
        <v>262</v>
      </c>
      <c r="G260" s="1851" t="s">
        <v>210</v>
      </c>
      <c r="H260" s="795" t="s">
        <v>22</v>
      </c>
      <c r="I260" s="796">
        <f>170-38.5-82.3</f>
        <v>49.2</v>
      </c>
      <c r="J260" s="998">
        <v>290</v>
      </c>
      <c r="K260" s="802">
        <v>290</v>
      </c>
      <c r="L260" s="899">
        <v>50</v>
      </c>
      <c r="M260" s="897" t="s">
        <v>115</v>
      </c>
      <c r="N260" s="163">
        <v>730</v>
      </c>
      <c r="O260" s="863">
        <f>285+230</f>
        <v>515</v>
      </c>
      <c r="P260" s="900">
        <v>285</v>
      </c>
      <c r="Q260" s="163">
        <v>250</v>
      </c>
      <c r="R260" s="686"/>
      <c r="S260" s="686"/>
      <c r="T260" s="686"/>
      <c r="U260" s="686"/>
    </row>
    <row r="261" spans="1:21" s="27" customFormat="1" ht="19.399999999999999" customHeight="1" x14ac:dyDescent="0.25">
      <c r="A261" s="1622"/>
      <c r="B261" s="1624"/>
      <c r="C261" s="1626"/>
      <c r="D261" s="198"/>
      <c r="E261" s="1628"/>
      <c r="F261" s="840" t="s">
        <v>178</v>
      </c>
      <c r="G261" s="1852"/>
      <c r="H261" s="804" t="s">
        <v>48</v>
      </c>
      <c r="I261" s="997"/>
      <c r="J261" s="797">
        <v>39.299999999999997</v>
      </c>
      <c r="K261" s="798"/>
      <c r="L261" s="999"/>
      <c r="M261" s="894"/>
      <c r="N261" s="423"/>
      <c r="O261" s="543"/>
      <c r="P261" s="546"/>
      <c r="Q261" s="423"/>
    </row>
    <row r="262" spans="1:21" ht="17.25" customHeight="1" x14ac:dyDescent="0.25">
      <c r="A262" s="176"/>
      <c r="B262" s="177"/>
      <c r="C262" s="63"/>
      <c r="D262" s="193" t="s">
        <v>5</v>
      </c>
      <c r="E262" s="1655" t="s">
        <v>336</v>
      </c>
      <c r="F262" s="813" t="s">
        <v>262</v>
      </c>
      <c r="G262" s="1851" t="s">
        <v>269</v>
      </c>
      <c r="H262" s="799" t="s">
        <v>22</v>
      </c>
      <c r="I262" s="800">
        <v>9.1</v>
      </c>
      <c r="J262" s="801">
        <v>10</v>
      </c>
      <c r="K262" s="802">
        <v>10</v>
      </c>
      <c r="L262" s="803">
        <v>10</v>
      </c>
      <c r="M262" s="1664" t="s">
        <v>150</v>
      </c>
      <c r="N262" s="127">
        <v>16</v>
      </c>
      <c r="O262" s="544">
        <v>12</v>
      </c>
      <c r="P262" s="547">
        <v>10</v>
      </c>
      <c r="Q262" s="127">
        <v>10</v>
      </c>
    </row>
    <row r="263" spans="1:21" ht="37.5" customHeight="1" x14ac:dyDescent="0.25">
      <c r="A263" s="18"/>
      <c r="B263" s="177"/>
      <c r="C263" s="64"/>
      <c r="D263" s="144"/>
      <c r="E263" s="1656"/>
      <c r="F263" s="840" t="s">
        <v>178</v>
      </c>
      <c r="G263" s="1853"/>
      <c r="H263" s="804" t="s">
        <v>48</v>
      </c>
      <c r="I263" s="805">
        <v>3</v>
      </c>
      <c r="J263" s="806">
        <v>0.6</v>
      </c>
      <c r="K263" s="807"/>
      <c r="L263" s="808"/>
      <c r="M263" s="1665"/>
      <c r="N263" s="127"/>
      <c r="O263" s="544"/>
      <c r="P263" s="547"/>
      <c r="Q263" s="127"/>
    </row>
    <row r="264" spans="1:21" ht="15" customHeight="1" x14ac:dyDescent="0.25">
      <c r="A264" s="176"/>
      <c r="B264" s="177"/>
      <c r="C264" s="63"/>
      <c r="D264" s="193" t="s">
        <v>24</v>
      </c>
      <c r="E264" s="1586" t="s">
        <v>84</v>
      </c>
      <c r="F264" s="814" t="s">
        <v>178</v>
      </c>
      <c r="G264" s="1852" t="s">
        <v>167</v>
      </c>
      <c r="H264" s="75" t="s">
        <v>48</v>
      </c>
      <c r="I264" s="170">
        <v>26</v>
      </c>
      <c r="J264" s="315">
        <v>25.9</v>
      </c>
      <c r="K264" s="321"/>
      <c r="L264" s="39"/>
      <c r="M264" s="366" t="s">
        <v>71</v>
      </c>
      <c r="N264" s="89">
        <v>1</v>
      </c>
      <c r="O264" s="441">
        <v>1</v>
      </c>
      <c r="P264" s="449"/>
      <c r="Q264" s="89"/>
    </row>
    <row r="265" spans="1:21" ht="15" customHeight="1" x14ac:dyDescent="0.25">
      <c r="A265" s="18"/>
      <c r="B265" s="698"/>
      <c r="C265" s="64"/>
      <c r="D265" s="694"/>
      <c r="E265" s="1586"/>
      <c r="F265" s="1061" t="s">
        <v>42</v>
      </c>
      <c r="G265" s="1852"/>
      <c r="H265" s="196"/>
      <c r="I265" s="170"/>
      <c r="J265" s="315"/>
      <c r="K265" s="321"/>
      <c r="L265" s="39"/>
      <c r="M265" s="701"/>
      <c r="N265" s="87"/>
      <c r="O265" s="443"/>
      <c r="P265" s="451"/>
      <c r="Q265" s="87"/>
    </row>
    <row r="266" spans="1:21" ht="15.65" customHeight="1" x14ac:dyDescent="0.25">
      <c r="A266" s="18"/>
      <c r="B266" s="177"/>
      <c r="C266" s="64"/>
      <c r="D266" s="194"/>
      <c r="E266" s="1586"/>
      <c r="F266" s="814" t="s">
        <v>262</v>
      </c>
      <c r="G266" s="1853"/>
      <c r="H266" s="707" t="s">
        <v>22</v>
      </c>
      <c r="I266" s="625"/>
      <c r="J266" s="725"/>
      <c r="K266" s="626"/>
      <c r="L266" s="726">
        <v>200</v>
      </c>
      <c r="M266" s="396" t="s">
        <v>289</v>
      </c>
      <c r="N266" s="204"/>
      <c r="O266" s="527"/>
      <c r="P266" s="534"/>
      <c r="Q266" s="204">
        <v>15</v>
      </c>
    </row>
    <row r="267" spans="1:21" ht="28.4" customHeight="1" x14ac:dyDescent="0.25">
      <c r="A267" s="176"/>
      <c r="B267" s="177"/>
      <c r="C267" s="63"/>
      <c r="D267" s="195" t="s">
        <v>31</v>
      </c>
      <c r="E267" s="1655" t="s">
        <v>204</v>
      </c>
      <c r="F267" s="190" t="s">
        <v>262</v>
      </c>
      <c r="G267" s="1851" t="s">
        <v>212</v>
      </c>
      <c r="H267" s="735" t="s">
        <v>203</v>
      </c>
      <c r="I267" s="170">
        <v>250</v>
      </c>
      <c r="J267" s="872">
        <v>400</v>
      </c>
      <c r="K267" s="873">
        <v>400</v>
      </c>
      <c r="L267" s="710">
        <v>400</v>
      </c>
      <c r="M267" s="368" t="s">
        <v>205</v>
      </c>
      <c r="N267" s="87">
        <v>100</v>
      </c>
      <c r="O267" s="443">
        <v>100</v>
      </c>
      <c r="P267" s="451">
        <v>100</v>
      </c>
      <c r="Q267" s="87">
        <v>100</v>
      </c>
    </row>
    <row r="268" spans="1:21" ht="44.9" customHeight="1" x14ac:dyDescent="0.25">
      <c r="A268" s="18"/>
      <c r="B268" s="177"/>
      <c r="C268" s="1003"/>
      <c r="D268" s="1002"/>
      <c r="E268" s="1586"/>
      <c r="F268" s="1004"/>
      <c r="G268" s="1852"/>
      <c r="H268" s="196" t="s">
        <v>314</v>
      </c>
      <c r="I268" s="625"/>
      <c r="J268" s="316">
        <v>594.79999999999995</v>
      </c>
      <c r="K268" s="322"/>
      <c r="L268" s="38"/>
      <c r="M268" s="367"/>
      <c r="N268" s="93"/>
      <c r="O268" s="442"/>
      <c r="P268" s="450"/>
      <c r="Q268" s="93"/>
    </row>
    <row r="269" spans="1:21" ht="15" customHeight="1" thickBot="1" x14ac:dyDescent="0.3">
      <c r="A269" s="90" t="s">
        <v>3</v>
      </c>
      <c r="B269" s="54" t="s">
        <v>31</v>
      </c>
      <c r="C269" s="1603" t="s">
        <v>6</v>
      </c>
      <c r="D269" s="1604"/>
      <c r="E269" s="1604"/>
      <c r="F269" s="1604"/>
      <c r="G269" s="1604"/>
      <c r="H269" s="1605"/>
      <c r="I269" s="312">
        <f>SUM(I260:I268)</f>
        <v>337.3</v>
      </c>
      <c r="J269" s="351">
        <f>SUM(J260:J268)</f>
        <v>1360.6</v>
      </c>
      <c r="K269" s="354">
        <f t="shared" ref="K269:L269" si="2">SUM(K260:K268)</f>
        <v>700</v>
      </c>
      <c r="L269" s="357">
        <f t="shared" si="2"/>
        <v>660</v>
      </c>
      <c r="M269" s="1606"/>
      <c r="N269" s="1607"/>
      <c r="O269" s="1607"/>
      <c r="P269" s="1607"/>
      <c r="Q269" s="1608"/>
    </row>
    <row r="270" spans="1:21" ht="15" customHeight="1" thickBot="1" x14ac:dyDescent="0.3">
      <c r="A270" s="21" t="s">
        <v>3</v>
      </c>
      <c r="B270" s="1609" t="s">
        <v>7</v>
      </c>
      <c r="C270" s="1610"/>
      <c r="D270" s="1610"/>
      <c r="E270" s="1610"/>
      <c r="F270" s="1610"/>
      <c r="G270" s="1610"/>
      <c r="H270" s="1611"/>
      <c r="I270" s="313">
        <f>I269+I256+I216+I190</f>
        <v>18617.3</v>
      </c>
      <c r="J270" s="352">
        <f>J269+J256+J216+J190</f>
        <v>20391.099999999999</v>
      </c>
      <c r="K270" s="355">
        <f>K269+K256+K216+K190</f>
        <v>19268.099999999999</v>
      </c>
      <c r="L270" s="128">
        <f>L269+L256+L216+L190</f>
        <v>22324.5</v>
      </c>
      <c r="M270" s="1612"/>
      <c r="N270" s="1613"/>
      <c r="O270" s="1613"/>
      <c r="P270" s="1613"/>
      <c r="Q270" s="1614"/>
    </row>
    <row r="271" spans="1:21" ht="15" customHeight="1" thickBot="1" x14ac:dyDescent="0.3">
      <c r="A271" s="15" t="s">
        <v>33</v>
      </c>
      <c r="B271" s="1615" t="s">
        <v>46</v>
      </c>
      <c r="C271" s="1616"/>
      <c r="D271" s="1616"/>
      <c r="E271" s="1616"/>
      <c r="F271" s="1616"/>
      <c r="G271" s="1616"/>
      <c r="H271" s="1617"/>
      <c r="I271" s="129">
        <f>SUM(I270)</f>
        <v>18617.3</v>
      </c>
      <c r="J271" s="353">
        <f t="shared" ref="J271:L271" si="3">SUM(J270)</f>
        <v>20391.099999999999</v>
      </c>
      <c r="K271" s="356">
        <f t="shared" si="3"/>
        <v>19268.099999999999</v>
      </c>
      <c r="L271" s="129">
        <f t="shared" si="3"/>
        <v>22324.5</v>
      </c>
      <c r="M271" s="1618"/>
      <c r="N271" s="1619"/>
      <c r="O271" s="1619"/>
      <c r="P271" s="1619"/>
      <c r="Q271" s="1620"/>
    </row>
    <row r="272" spans="1:21" s="267" customFormat="1" ht="16.5" customHeight="1" x14ac:dyDescent="0.25">
      <c r="A272" s="1651" t="s">
        <v>319</v>
      </c>
      <c r="B272" s="1651"/>
      <c r="C272" s="1651"/>
      <c r="D272" s="1651"/>
      <c r="E272" s="1651"/>
      <c r="F272" s="1651"/>
      <c r="G272" s="1651"/>
      <c r="H272" s="1651"/>
      <c r="I272" s="1651"/>
      <c r="J272" s="1651"/>
      <c r="K272" s="1651"/>
      <c r="L272" s="1651"/>
      <c r="M272" s="1651"/>
      <c r="N272" s="265"/>
      <c r="O272" s="424"/>
      <c r="P272" s="265"/>
      <c r="Q272" s="424"/>
      <c r="R272" s="266"/>
      <c r="S272" s="266"/>
      <c r="T272" s="266"/>
      <c r="U272" s="266"/>
    </row>
    <row r="273" spans="1:49" s="552" customFormat="1" ht="45" customHeight="1" x14ac:dyDescent="0.25">
      <c r="A273" s="1872" t="s">
        <v>320</v>
      </c>
      <c r="B273" s="1872"/>
      <c r="C273" s="1872"/>
      <c r="D273" s="1872"/>
      <c r="E273" s="1872"/>
      <c r="F273" s="1872"/>
      <c r="G273" s="1872"/>
      <c r="H273" s="1872"/>
      <c r="I273" s="1872"/>
      <c r="J273" s="1872"/>
      <c r="K273" s="1872"/>
      <c r="L273" s="1872"/>
      <c r="M273" s="1872"/>
      <c r="N273" s="1872"/>
      <c r="O273" s="1872"/>
      <c r="P273" s="1872"/>
      <c r="Q273" s="1872"/>
      <c r="R273" s="551"/>
      <c r="S273" s="551"/>
      <c r="T273" s="551"/>
      <c r="U273" s="551"/>
      <c r="V273" s="551"/>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row>
    <row r="274" spans="1:49" s="5" customFormat="1" ht="14.9" customHeight="1" x14ac:dyDescent="0.25">
      <c r="A274" s="73"/>
      <c r="B274" s="80"/>
      <c r="C274" s="80"/>
      <c r="D274" s="80"/>
      <c r="E274" s="80"/>
      <c r="F274" s="80"/>
      <c r="G274" s="80"/>
      <c r="H274" s="80"/>
      <c r="I274" s="159"/>
      <c r="J274" s="159"/>
      <c r="K274" s="159"/>
      <c r="L274" s="159"/>
      <c r="M274" s="80"/>
      <c r="N274" s="123"/>
      <c r="O274" s="123"/>
      <c r="P274" s="123"/>
      <c r="Q274" s="123"/>
      <c r="R274" s="2"/>
      <c r="S274" s="2"/>
      <c r="T274" s="2"/>
      <c r="U274" s="2"/>
      <c r="V274" s="2"/>
      <c r="W274" s="2"/>
      <c r="X274" s="2"/>
      <c r="Y274" s="2"/>
    </row>
    <row r="275" spans="1:49" s="6" customFormat="1" ht="16.399999999999999" customHeight="1" thickBot="1" x14ac:dyDescent="0.3">
      <c r="A275" s="1629" t="s">
        <v>11</v>
      </c>
      <c r="B275" s="1629"/>
      <c r="C275" s="1629"/>
      <c r="D275" s="1629"/>
      <c r="E275" s="1629"/>
      <c r="F275" s="1629"/>
      <c r="G275" s="1629"/>
      <c r="H275" s="1629"/>
      <c r="I275" s="1629"/>
      <c r="J275" s="301"/>
      <c r="K275" s="301"/>
      <c r="L275" s="301"/>
      <c r="M275" s="12"/>
      <c r="N275" s="135"/>
      <c r="O275" s="135"/>
      <c r="P275" s="135"/>
      <c r="Q275" s="135"/>
      <c r="R275" s="2"/>
      <c r="S275" s="2"/>
      <c r="T275" s="2"/>
      <c r="U275" s="2"/>
      <c r="V275" s="2"/>
      <c r="W275" s="2"/>
      <c r="X275" s="2"/>
      <c r="Y275" s="2"/>
    </row>
    <row r="276" spans="1:49" ht="80.900000000000006" customHeight="1" thickBot="1" x14ac:dyDescent="0.3">
      <c r="A276" s="1652" t="s">
        <v>8</v>
      </c>
      <c r="B276" s="1653"/>
      <c r="C276" s="1653"/>
      <c r="D276" s="1653"/>
      <c r="E276" s="1653"/>
      <c r="F276" s="1653"/>
      <c r="G276" s="1653"/>
      <c r="H276" s="1654"/>
      <c r="I276" s="553" t="s">
        <v>231</v>
      </c>
      <c r="J276" s="554" t="s">
        <v>224</v>
      </c>
      <c r="K276" s="555" t="s">
        <v>318</v>
      </c>
      <c r="L276" s="556" t="s">
        <v>225</v>
      </c>
      <c r="M276" s="1"/>
      <c r="N276" s="1"/>
      <c r="O276" s="1"/>
      <c r="P276" s="1"/>
      <c r="Q276" s="1"/>
    </row>
    <row r="277" spans="1:49" ht="14.25" customHeight="1" x14ac:dyDescent="0.25">
      <c r="A277" s="1597" t="s">
        <v>12</v>
      </c>
      <c r="B277" s="1598"/>
      <c r="C277" s="1598"/>
      <c r="D277" s="1598"/>
      <c r="E277" s="1598"/>
      <c r="F277" s="1598"/>
      <c r="G277" s="1598"/>
      <c r="H277" s="1599"/>
      <c r="I277" s="71">
        <f>I278+I289+I290+I291+I292+I293+I294+I288</f>
        <v>18594.400000000001</v>
      </c>
      <c r="J277" s="572">
        <f>J278+J289+J290+J291+J292+J293+J294+J288</f>
        <v>20368.2</v>
      </c>
      <c r="K277" s="573">
        <f>K278+K289+K290+K291+K292+K293+K294+K288</f>
        <v>18792.099999999999</v>
      </c>
      <c r="L277" s="571">
        <f>L278+L289+L290+L291+L292+L293+L294+L288</f>
        <v>19479.5</v>
      </c>
    </row>
    <row r="278" spans="1:49" ht="14.25" customHeight="1" x14ac:dyDescent="0.25">
      <c r="A278" s="1600" t="s">
        <v>65</v>
      </c>
      <c r="B278" s="1601"/>
      <c r="C278" s="1601"/>
      <c r="D278" s="1601"/>
      <c r="E278" s="1601"/>
      <c r="F278" s="1601"/>
      <c r="G278" s="1601"/>
      <c r="H278" s="1602"/>
      <c r="I278" s="35">
        <f>SUM(I279:I287)</f>
        <v>15964.3</v>
      </c>
      <c r="J278" s="564">
        <f>SUM(J279:J287)</f>
        <v>14249.1</v>
      </c>
      <c r="K278" s="574">
        <f>SUM(K279:K287)</f>
        <v>18792.099999999999</v>
      </c>
      <c r="L278" s="557">
        <f>SUM(L279:L287)</f>
        <v>19479.5</v>
      </c>
      <c r="M278" s="61"/>
    </row>
    <row r="279" spans="1:49" ht="14.25" customHeight="1" x14ac:dyDescent="0.25">
      <c r="A279" s="1648" t="s">
        <v>16</v>
      </c>
      <c r="B279" s="1649"/>
      <c r="C279" s="1649"/>
      <c r="D279" s="1649"/>
      <c r="E279" s="1649"/>
      <c r="F279" s="1649"/>
      <c r="G279" s="1649"/>
      <c r="H279" s="1650"/>
      <c r="I279" s="40">
        <f>SUMIF(H18:H271,"SB",I18:I271)</f>
        <v>10399.6</v>
      </c>
      <c r="J279" s="316">
        <f>SUMIF(H18:H271,"SB",J18:J271)</f>
        <v>12438</v>
      </c>
      <c r="K279" s="322">
        <f>SUMIF(H18:H271,"SB",K18:K271)</f>
        <v>15391.5</v>
      </c>
      <c r="L279" s="45">
        <f>SUMIF(H18:H271,"SB",L18:L271)</f>
        <v>19043.8</v>
      </c>
      <c r="M279" s="9"/>
      <c r="N279" s="160"/>
      <c r="O279" s="160"/>
      <c r="P279" s="160"/>
      <c r="Q279" s="160"/>
    </row>
    <row r="280" spans="1:49" ht="14.25" customHeight="1" x14ac:dyDescent="0.25">
      <c r="A280" s="1630" t="s">
        <v>17</v>
      </c>
      <c r="B280" s="1631"/>
      <c r="C280" s="1631"/>
      <c r="D280" s="1631"/>
      <c r="E280" s="1631"/>
      <c r="F280" s="1631"/>
      <c r="G280" s="1631"/>
      <c r="H280" s="1632"/>
      <c r="I280" s="44">
        <f>SUMIF(H18:H271,"SB(SP)",I18:I271)</f>
        <v>35.700000000000003</v>
      </c>
      <c r="J280" s="565">
        <f>SUMIF(H18:H271,"SB(SP)",J18:J271)</f>
        <v>35.700000000000003</v>
      </c>
      <c r="K280" s="575">
        <f>SUMIF(H18:H271,"SB(SP)",K18:K271)</f>
        <v>35.700000000000003</v>
      </c>
      <c r="L280" s="558">
        <f>SUMIF(H18:H271,"SB(SP)",L18:L271)</f>
        <v>35.700000000000003</v>
      </c>
      <c r="M280" s="13"/>
    </row>
    <row r="281" spans="1:49" ht="14.25" customHeight="1" x14ac:dyDescent="0.25">
      <c r="A281" s="1645" t="s">
        <v>206</v>
      </c>
      <c r="B281" s="1646"/>
      <c r="C281" s="1646"/>
      <c r="D281" s="1646"/>
      <c r="E281" s="1646"/>
      <c r="F281" s="1646"/>
      <c r="G281" s="1646"/>
      <c r="H281" s="1647"/>
      <c r="I281" s="40">
        <f>SUMIF(H18:H271,"SB(SPI)",I18:I271)</f>
        <v>250</v>
      </c>
      <c r="J281" s="316">
        <f>SUMIF(H18:H271,"SB(SPI)",J18:J271)</f>
        <v>400</v>
      </c>
      <c r="K281" s="322">
        <f>SUMIF(H18:H271,"SB(SPI)",K18:K271)</f>
        <v>400</v>
      </c>
      <c r="L281" s="45">
        <f>SUMIF(H18:H271,"SB(SPI)",L18:L271)</f>
        <v>400</v>
      </c>
      <c r="M281" s="13"/>
    </row>
    <row r="282" spans="1:49" ht="12.75" customHeight="1" x14ac:dyDescent="0.25">
      <c r="A282" s="1630" t="s">
        <v>54</v>
      </c>
      <c r="B282" s="1631"/>
      <c r="C282" s="1631"/>
      <c r="D282" s="1631"/>
      <c r="E282" s="1631"/>
      <c r="F282" s="1631"/>
      <c r="G282" s="1631"/>
      <c r="H282" s="1632"/>
      <c r="I282" s="44">
        <f>SUMIF(H18:H271,"SB(VR)",I18:I271)</f>
        <v>50</v>
      </c>
      <c r="J282" s="565">
        <f>SUMIF(H18:H271,"SB(VR)",J18:J271)</f>
        <v>0</v>
      </c>
      <c r="K282" s="575">
        <f>SUMIF(H18:H271,"SB(VR)",K18:K271)</f>
        <v>0</v>
      </c>
      <c r="L282" s="558">
        <f>SUMIF(H18:H271,"SB(VR)",L18:L271)</f>
        <v>0</v>
      </c>
      <c r="M282" s="11"/>
    </row>
    <row r="283" spans="1:49" x14ac:dyDescent="0.25">
      <c r="A283" s="1630" t="s">
        <v>18</v>
      </c>
      <c r="B283" s="1631"/>
      <c r="C283" s="1631"/>
      <c r="D283" s="1631"/>
      <c r="E283" s="1631"/>
      <c r="F283" s="1631"/>
      <c r="G283" s="1631"/>
      <c r="H283" s="1632"/>
      <c r="I283" s="44">
        <f>SUMIF(H18:H271,"SB(P)",I18:I271)</f>
        <v>1837</v>
      </c>
      <c r="J283" s="565">
        <f>SUMIF(H18:H271,"SB(P)",J18:J271)</f>
        <v>0</v>
      </c>
      <c r="K283" s="575">
        <f>SUMIF(H18:H271,"SB(P)",K18:K271)</f>
        <v>2964.9</v>
      </c>
      <c r="L283" s="558">
        <f>SUMIF(H18:H271,"SB(P)",L18:L271)</f>
        <v>0</v>
      </c>
      <c r="M283" s="11"/>
    </row>
    <row r="284" spans="1:49" x14ac:dyDescent="0.25">
      <c r="A284" s="1630" t="s">
        <v>208</v>
      </c>
      <c r="B284" s="1631"/>
      <c r="C284" s="1631"/>
      <c r="D284" s="1631"/>
      <c r="E284" s="1631"/>
      <c r="F284" s="1631"/>
      <c r="G284" s="1631"/>
      <c r="H284" s="1632"/>
      <c r="I284" s="44">
        <f>SUMIF(H18:H271,"SB(K)",I18:I271)</f>
        <v>112</v>
      </c>
      <c r="J284" s="565">
        <f>SUMIF(H18:H271,"SB(K)",J18:J271)</f>
        <v>0</v>
      </c>
      <c r="K284" s="575">
        <f>SUMIF(H18:H271,"SB(K)",K18:K271)</f>
        <v>0</v>
      </c>
      <c r="L284" s="558">
        <f>SUMIF(H18:H271,"SB(K)",L18:L271)</f>
        <v>0</v>
      </c>
      <c r="M284" s="11"/>
    </row>
    <row r="285" spans="1:49" x14ac:dyDescent="0.25">
      <c r="A285" s="1630" t="s">
        <v>68</v>
      </c>
      <c r="B285" s="1631"/>
      <c r="C285" s="1631"/>
      <c r="D285" s="1631"/>
      <c r="E285" s="1631"/>
      <c r="F285" s="1631"/>
      <c r="G285" s="1631"/>
      <c r="H285" s="1632"/>
      <c r="I285" s="44">
        <f>SUMIF(H18:H271,"SB(VB)",I18:I271)</f>
        <v>266</v>
      </c>
      <c r="J285" s="565">
        <f>SUMIF(H18:H271,"SB(VB)",J18:J271)</f>
        <v>118.8</v>
      </c>
      <c r="K285" s="575">
        <f>SUMIF(H18:H271,"SB(VB)",K18:K271)</f>
        <v>0</v>
      </c>
      <c r="L285" s="558">
        <f>SUMIF(H18:H271,"SB(VB)",L18:L271)</f>
        <v>0</v>
      </c>
    </row>
    <row r="286" spans="1:49" x14ac:dyDescent="0.25">
      <c r="A286" s="1645" t="s">
        <v>106</v>
      </c>
      <c r="B286" s="1646"/>
      <c r="C286" s="1646"/>
      <c r="D286" s="1646"/>
      <c r="E286" s="1646"/>
      <c r="F286" s="1646"/>
      <c r="G286" s="1646"/>
      <c r="H286" s="1647"/>
      <c r="I286" s="44">
        <f>SUMIF(H18:H271,"SB(KPP)",I18:I271)</f>
        <v>0</v>
      </c>
      <c r="J286" s="565">
        <f>SUMIF(H18:H271,"SB(KPP)",J18:J271)</f>
        <v>200</v>
      </c>
      <c r="K286" s="575">
        <f>SUMIF(H18:H271,"SB(KPP)",K18:K271)</f>
        <v>0</v>
      </c>
      <c r="L286" s="558">
        <f>SUMIF(H18:H271,"SB(KPP)",L18:L271)</f>
        <v>0</v>
      </c>
      <c r="M286" s="25"/>
      <c r="N286" s="136"/>
      <c r="O286" s="136"/>
      <c r="P286" s="136"/>
      <c r="Q286" s="136"/>
    </row>
    <row r="287" spans="1:49" ht="14.25" customHeight="1" x14ac:dyDescent="0.25">
      <c r="A287" s="1594" t="s">
        <v>201</v>
      </c>
      <c r="B287" s="1595"/>
      <c r="C287" s="1595"/>
      <c r="D287" s="1595"/>
      <c r="E287" s="1595"/>
      <c r="F287" s="1595"/>
      <c r="G287" s="1595"/>
      <c r="H287" s="1596"/>
      <c r="I287" s="44">
        <f>SUMIF(H18:H271,"SB(ES)",I18:I271)</f>
        <v>3014</v>
      </c>
      <c r="J287" s="565">
        <f>SUMIF(H18:H271,"SB(ES)",J18:J271)</f>
        <v>1056.5999999999999</v>
      </c>
      <c r="K287" s="575">
        <f>SUMIF(H18:H271,"SB(ES)",K18:K271)</f>
        <v>0</v>
      </c>
      <c r="L287" s="558">
        <f>SUMIF(H18:H271,"SB(ES)",L18:L271)</f>
        <v>0</v>
      </c>
    </row>
    <row r="288" spans="1:49" ht="14.25" customHeight="1" x14ac:dyDescent="0.25">
      <c r="A288" s="1639" t="s">
        <v>49</v>
      </c>
      <c r="B288" s="1640"/>
      <c r="C288" s="1640"/>
      <c r="D288" s="1640"/>
      <c r="E288" s="1640"/>
      <c r="F288" s="1640"/>
      <c r="G288" s="1640"/>
      <c r="H288" s="1641"/>
      <c r="I288" s="57">
        <f>SUMIF(H18:H271,"SB(L)",I18:I271)</f>
        <v>1039.5</v>
      </c>
      <c r="J288" s="566">
        <f>SUMIF(H18:H271,"SB(L)",J18:J271)</f>
        <v>4429.6000000000004</v>
      </c>
      <c r="K288" s="576">
        <f>SUMIF(H18:H271,"SB(L)",K18:K271)</f>
        <v>0</v>
      </c>
      <c r="L288" s="559">
        <f>SUMIF(H18:H271,"SB(L)",L18:L271)</f>
        <v>0</v>
      </c>
    </row>
    <row r="289" spans="1:17" x14ac:dyDescent="0.25">
      <c r="A289" s="1639" t="s">
        <v>66</v>
      </c>
      <c r="B289" s="1640"/>
      <c r="C289" s="1640"/>
      <c r="D289" s="1640"/>
      <c r="E289" s="1640"/>
      <c r="F289" s="1640"/>
      <c r="G289" s="1640"/>
      <c r="H289" s="1641"/>
      <c r="I289" s="37">
        <f>SUMIF(H18:H271,"SB(SPL)",I18:I271)</f>
        <v>2.7</v>
      </c>
      <c r="J289" s="567">
        <f>SUMIF(H18:H271,"SB(SPL)",J18:J271)</f>
        <v>2.9</v>
      </c>
      <c r="K289" s="577">
        <f>SUMIF(H18:H271,"SB(SPL)",K18:K271)</f>
        <v>0</v>
      </c>
      <c r="L289" s="560">
        <f>SUMIF(H18:H271,"SB(SPL)",L18:L271)</f>
        <v>0</v>
      </c>
    </row>
    <row r="290" spans="1:17" ht="13.4" customHeight="1" x14ac:dyDescent="0.25">
      <c r="A290" s="1639" t="s">
        <v>200</v>
      </c>
      <c r="B290" s="1640"/>
      <c r="C290" s="1640"/>
      <c r="D290" s="1640"/>
      <c r="E290" s="1640"/>
      <c r="F290" s="1640"/>
      <c r="G290" s="1640"/>
      <c r="H290" s="1641"/>
      <c r="I290" s="37">
        <f>SUMIF(H18:H271,"SB(VBL)",I18:I271)</f>
        <v>112.3</v>
      </c>
      <c r="J290" s="567">
        <f>SUMIF(H18:H271,"SB(VBL)",J18:J271)</f>
        <v>88.7</v>
      </c>
      <c r="K290" s="577">
        <f>SUMIF(H18:H271,"SB(VBL)",K18:K271)</f>
        <v>0</v>
      </c>
      <c r="L290" s="560">
        <f>SUMIF(H18:H271,"SB(VBL)",L18:L271)</f>
        <v>0</v>
      </c>
    </row>
    <row r="291" spans="1:17" ht="13.4" customHeight="1" x14ac:dyDescent="0.25">
      <c r="A291" s="1639" t="s">
        <v>199</v>
      </c>
      <c r="B291" s="1640"/>
      <c r="C291" s="1640"/>
      <c r="D291" s="1640"/>
      <c r="E291" s="1640"/>
      <c r="F291" s="1640"/>
      <c r="G291" s="1640"/>
      <c r="H291" s="1641"/>
      <c r="I291" s="37">
        <f>SUMIF(H18:H271,"SB(ESL)",I18:I271)</f>
        <v>1475.6</v>
      </c>
      <c r="J291" s="567">
        <f>SUMIF(H18:H271,"SB(ESL)",J18:J271)</f>
        <v>1003.1</v>
      </c>
      <c r="K291" s="577">
        <f>SUMIF(H18:H271,"SB(ESL)",K18:K271)</f>
        <v>0</v>
      </c>
      <c r="L291" s="560">
        <f>SUMIF(H18:H271,"SB(ESL)",L18:L271)</f>
        <v>0</v>
      </c>
    </row>
    <row r="292" spans="1:17" ht="13.4" customHeight="1" x14ac:dyDescent="0.25">
      <c r="A292" s="1639" t="s">
        <v>315</v>
      </c>
      <c r="B292" s="1640"/>
      <c r="C292" s="1640"/>
      <c r="D292" s="1640"/>
      <c r="E292" s="1640"/>
      <c r="F292" s="1640"/>
      <c r="G292" s="1640"/>
      <c r="H292" s="1641"/>
      <c r="I292" s="37">
        <f>SUMIF(H19:H272,"SB(SPIL)",I19:I272)</f>
        <v>0</v>
      </c>
      <c r="J292" s="1005">
        <f>SUMIF(H18:H271,"SB(SPIL)",J18:J271)</f>
        <v>594.79999999999995</v>
      </c>
      <c r="K292" s="1007">
        <f>SUMIF(H18:H271,"SB(SPIL)",K18:K271)</f>
        <v>0</v>
      </c>
      <c r="L292" s="1006">
        <f>SUMIF(H18:H271,"SB(SPIL)",L18:L271)</f>
        <v>0</v>
      </c>
    </row>
    <row r="293" spans="1:17" x14ac:dyDescent="0.25">
      <c r="A293" s="1639" t="s">
        <v>69</v>
      </c>
      <c r="B293" s="1640"/>
      <c r="C293" s="1640"/>
      <c r="D293" s="1640"/>
      <c r="E293" s="1640"/>
      <c r="F293" s="1640"/>
      <c r="G293" s="1640"/>
      <c r="H293" s="1641"/>
      <c r="I293" s="37">
        <f>SUMIF(H18:H271,"SB(ŽPL)",I18:I271)</f>
        <v>0</v>
      </c>
      <c r="J293" s="567">
        <f>SUMIF(H18:H271,"SB(ŽPL)",J18:J271)</f>
        <v>0</v>
      </c>
      <c r="K293" s="577">
        <f>SUMIF(H18:H271,"SB(ŽPL)",K18:K271)</f>
        <v>0</v>
      </c>
      <c r="L293" s="560">
        <f>SUMIF(H18:H271,"SB(ŽPL)",L18:L271)</f>
        <v>0</v>
      </c>
    </row>
    <row r="294" spans="1:17" ht="12" customHeight="1" x14ac:dyDescent="0.25">
      <c r="A294" s="1639" t="s">
        <v>67</v>
      </c>
      <c r="B294" s="1640"/>
      <c r="C294" s="1640"/>
      <c r="D294" s="1640"/>
      <c r="E294" s="1640"/>
      <c r="F294" s="1640"/>
      <c r="G294" s="1640"/>
      <c r="H294" s="1641"/>
      <c r="I294" s="57">
        <f>SUMIF(H18:H271,"SB(VRL)",I18:I271)</f>
        <v>0</v>
      </c>
      <c r="J294" s="566">
        <f>SUMIF(H18:H271,"SB(VRL)",J18:J271)</f>
        <v>0</v>
      </c>
      <c r="K294" s="576">
        <f>SUMIF(H18:H271,"SB(VRL)",K18:K271)</f>
        <v>0</v>
      </c>
      <c r="L294" s="559">
        <f>SUMIF(H18:H271,"SB(VRL)",L18:L271)</f>
        <v>0</v>
      </c>
    </row>
    <row r="295" spans="1:17" x14ac:dyDescent="0.25">
      <c r="A295" s="1642" t="s">
        <v>13</v>
      </c>
      <c r="B295" s="1643"/>
      <c r="C295" s="1643"/>
      <c r="D295" s="1643"/>
      <c r="E295" s="1643"/>
      <c r="F295" s="1643"/>
      <c r="G295" s="1643"/>
      <c r="H295" s="1644"/>
      <c r="I295" s="76">
        <f>SUM(I296:I299)</f>
        <v>22.9</v>
      </c>
      <c r="J295" s="568">
        <f t="shared" ref="J295:K295" si="4">SUM(J296:J299)</f>
        <v>22.9</v>
      </c>
      <c r="K295" s="578">
        <f t="shared" si="4"/>
        <v>476</v>
      </c>
      <c r="L295" s="561">
        <f t="shared" ref="L295" si="5">SUM(L296:L299)</f>
        <v>2845</v>
      </c>
    </row>
    <row r="296" spans="1:17" x14ac:dyDescent="0.25">
      <c r="A296" s="1804" t="s">
        <v>86</v>
      </c>
      <c r="B296" s="1805"/>
      <c r="C296" s="1805"/>
      <c r="D296" s="1805"/>
      <c r="E296" s="1805"/>
      <c r="F296" s="1805"/>
      <c r="G296" s="1805"/>
      <c r="H296" s="1806"/>
      <c r="I296" s="44">
        <f>SUMIF(H18:H271,"KVJUD",I18:I271)</f>
        <v>0</v>
      </c>
      <c r="J296" s="565">
        <f>SUMIF(H18:H271,"KVJUD",J18:J271)</f>
        <v>0</v>
      </c>
      <c r="K296" s="575">
        <f>SUMIF(H18:H271,"KVJUD",K18:K271)</f>
        <v>0</v>
      </c>
      <c r="L296" s="558">
        <f>SUMIF(H18:H271,"KVJUD",L18:L271)</f>
        <v>0</v>
      </c>
    </row>
    <row r="297" spans="1:17" ht="13.5" customHeight="1" x14ac:dyDescent="0.25">
      <c r="A297" s="1630" t="s">
        <v>20</v>
      </c>
      <c r="B297" s="1631"/>
      <c r="C297" s="1631"/>
      <c r="D297" s="1631"/>
      <c r="E297" s="1631"/>
      <c r="F297" s="1631"/>
      <c r="G297" s="1631"/>
      <c r="H297" s="1632"/>
      <c r="I297" s="44">
        <f>SUMIF(H18:H271,"LRVB",I18:I271)</f>
        <v>0</v>
      </c>
      <c r="J297" s="565">
        <f>SUMIF(H18:H271,"LRVB",J18:J271)</f>
        <v>0</v>
      </c>
      <c r="K297" s="575">
        <f>SUMIF(H18:H271,"LRVB",K18:K271)</f>
        <v>0</v>
      </c>
      <c r="L297" s="558">
        <f>SUMIF(H18:H271,"LRVB",L18:L271)</f>
        <v>0</v>
      </c>
    </row>
    <row r="298" spans="1:17" ht="14.25" customHeight="1" x14ac:dyDescent="0.25">
      <c r="A298" s="1594" t="s">
        <v>19</v>
      </c>
      <c r="B298" s="1595"/>
      <c r="C298" s="1595"/>
      <c r="D298" s="1595"/>
      <c r="E298" s="1595"/>
      <c r="F298" s="1595"/>
      <c r="G298" s="1595"/>
      <c r="H298" s="1596"/>
      <c r="I298" s="36">
        <f>SUMIF(H18:H271,"ES",I18:I271)</f>
        <v>0</v>
      </c>
      <c r="J298" s="569">
        <f>SUMIF(H18:H271,"ES",J18:J271)</f>
        <v>0</v>
      </c>
      <c r="K298" s="579">
        <f>SUMIF(H18:H271,"ES",K18:K271)</f>
        <v>426</v>
      </c>
      <c r="L298" s="562">
        <f>SUMIF(H18:H271,"ES",L18:L271)</f>
        <v>2795</v>
      </c>
    </row>
    <row r="299" spans="1:17" ht="15.75" customHeight="1" x14ac:dyDescent="0.25">
      <c r="A299" s="1630" t="s">
        <v>21</v>
      </c>
      <c r="B299" s="1631"/>
      <c r="C299" s="1631"/>
      <c r="D299" s="1631"/>
      <c r="E299" s="1631"/>
      <c r="F299" s="1631"/>
      <c r="G299" s="1631"/>
      <c r="H299" s="1632"/>
      <c r="I299" s="44">
        <f>SUMIF(H18:H271,"Kt",I18:I271)</f>
        <v>22.9</v>
      </c>
      <c r="J299" s="565">
        <f>SUMIF(H18:H271,"Kt",J18:J271)</f>
        <v>22.9</v>
      </c>
      <c r="K299" s="575">
        <f>SUMIF(H18:H271,"Kt",K18:K271)</f>
        <v>50</v>
      </c>
      <c r="L299" s="558">
        <f>SUMIF(H18:H271,"Kt",L18:L271)</f>
        <v>50</v>
      </c>
    </row>
    <row r="300" spans="1:17" ht="15" customHeight="1" thickBot="1" x14ac:dyDescent="0.3">
      <c r="A300" s="1633" t="s">
        <v>14</v>
      </c>
      <c r="B300" s="1634"/>
      <c r="C300" s="1634"/>
      <c r="D300" s="1634"/>
      <c r="E300" s="1634"/>
      <c r="F300" s="1634"/>
      <c r="G300" s="1634"/>
      <c r="H300" s="1635"/>
      <c r="I300" s="72">
        <f>SUM(I277,I295)</f>
        <v>18617.3</v>
      </c>
      <c r="J300" s="570">
        <f>SUM(J277,J295)</f>
        <v>20391.099999999999</v>
      </c>
      <c r="K300" s="580">
        <f>SUM(K277,K295)</f>
        <v>19268.099999999999</v>
      </c>
      <c r="L300" s="563">
        <f>SUM(L277,L295)</f>
        <v>22324.5</v>
      </c>
      <c r="N300" s="137"/>
      <c r="O300" s="137"/>
      <c r="P300" s="137"/>
      <c r="Q300" s="137"/>
    </row>
    <row r="301" spans="1:17" x14ac:dyDescent="0.25">
      <c r="G301" s="262"/>
      <c r="H301" s="263"/>
      <c r="I301" s="264"/>
      <c r="J301" s="264"/>
      <c r="K301" s="264"/>
      <c r="L301" s="264"/>
      <c r="M301" s="5"/>
      <c r="N301" s="1"/>
      <c r="O301" s="1"/>
      <c r="P301" s="1"/>
      <c r="Q301" s="1"/>
    </row>
    <row r="302" spans="1:17" x14ac:dyDescent="0.25">
      <c r="I302" s="74"/>
      <c r="J302" s="74"/>
      <c r="K302" s="74"/>
      <c r="L302" s="74"/>
      <c r="M302" s="5"/>
      <c r="N302" s="138"/>
      <c r="O302" s="138"/>
      <c r="P302" s="138"/>
      <c r="Q302" s="138"/>
    </row>
    <row r="303" spans="1:17" x14ac:dyDescent="0.25">
      <c r="I303" s="10"/>
      <c r="J303" s="10"/>
      <c r="K303" s="10"/>
      <c r="L303" s="10"/>
    </row>
    <row r="304" spans="1:17" x14ac:dyDescent="0.25">
      <c r="I304" s="10"/>
      <c r="J304" s="10"/>
      <c r="K304" s="10"/>
      <c r="L304" s="10"/>
    </row>
    <row r="305" spans="9:13" x14ac:dyDescent="0.25">
      <c r="I305" s="736"/>
      <c r="J305" s="736"/>
      <c r="K305" s="736"/>
      <c r="L305" s="736"/>
    </row>
    <row r="306" spans="9:13" x14ac:dyDescent="0.25">
      <c r="M306" s="10"/>
    </row>
    <row r="307" spans="9:13" x14ac:dyDescent="0.25">
      <c r="I307" s="10"/>
      <c r="J307" s="10"/>
      <c r="K307" s="10"/>
      <c r="L307" s="10"/>
    </row>
  </sheetData>
  <mergeCells count="256">
    <mergeCell ref="G138:G139"/>
    <mergeCell ref="E128:E129"/>
    <mergeCell ref="E121:E124"/>
    <mergeCell ref="A125:A127"/>
    <mergeCell ref="B125:B127"/>
    <mergeCell ref="D125:D127"/>
    <mergeCell ref="E125:E127"/>
    <mergeCell ref="B157:B158"/>
    <mergeCell ref="C157:C158"/>
    <mergeCell ref="D157:D158"/>
    <mergeCell ref="E157:E158"/>
    <mergeCell ref="A138:A139"/>
    <mergeCell ref="B138:B139"/>
    <mergeCell ref="C138:C139"/>
    <mergeCell ref="D138:D139"/>
    <mergeCell ref="E138:E139"/>
    <mergeCell ref="A140:A141"/>
    <mergeCell ref="B140:B141"/>
    <mergeCell ref="C140:C141"/>
    <mergeCell ref="D140:D141"/>
    <mergeCell ref="E140:E141"/>
    <mergeCell ref="E132:E133"/>
    <mergeCell ref="D106:F106"/>
    <mergeCell ref="A102:A105"/>
    <mergeCell ref="M1:Q1"/>
    <mergeCell ref="A3:Q3"/>
    <mergeCell ref="H8:H10"/>
    <mergeCell ref="I8:I10"/>
    <mergeCell ref="M23:M28"/>
    <mergeCell ref="G25:G28"/>
    <mergeCell ref="E36:E40"/>
    <mergeCell ref="A8:A10"/>
    <mergeCell ref="B8:B10"/>
    <mergeCell ref="C8:C10"/>
    <mergeCell ref="D8:D10"/>
    <mergeCell ref="E8:E10"/>
    <mergeCell ref="M9:M10"/>
    <mergeCell ref="L8:L10"/>
    <mergeCell ref="M8:Q8"/>
    <mergeCell ref="A5:Q5"/>
    <mergeCell ref="A4:Q4"/>
    <mergeCell ref="G18:G19"/>
    <mergeCell ref="G21:G22"/>
    <mergeCell ref="M38:M40"/>
    <mergeCell ref="B102:B105"/>
    <mergeCell ref="C102:C105"/>
    <mergeCell ref="A74:A76"/>
    <mergeCell ref="B74:B76"/>
    <mergeCell ref="C74:C76"/>
    <mergeCell ref="A92:A95"/>
    <mergeCell ref="B92:B95"/>
    <mergeCell ref="C92:C95"/>
    <mergeCell ref="E18:E22"/>
    <mergeCell ref="A68:A70"/>
    <mergeCell ref="B68:B70"/>
    <mergeCell ref="C68:C70"/>
    <mergeCell ref="D68:D70"/>
    <mergeCell ref="D23:D28"/>
    <mergeCell ref="E41:E45"/>
    <mergeCell ref="D46:D49"/>
    <mergeCell ref="E46:E49"/>
    <mergeCell ref="D50:D53"/>
    <mergeCell ref="E50:E53"/>
    <mergeCell ref="E61:E62"/>
    <mergeCell ref="G23:G24"/>
    <mergeCell ref="D31:D35"/>
    <mergeCell ref="E31:E35"/>
    <mergeCell ref="G31:G32"/>
    <mergeCell ref="M31:M32"/>
    <mergeCell ref="F8:F10"/>
    <mergeCell ref="G8:G10"/>
    <mergeCell ref="B13:Q13"/>
    <mergeCell ref="C14:Q14"/>
    <mergeCell ref="J8:J10"/>
    <mergeCell ref="K8:K10"/>
    <mergeCell ref="N9:N10"/>
    <mergeCell ref="G33:G35"/>
    <mergeCell ref="G50:G60"/>
    <mergeCell ref="D102:D105"/>
    <mergeCell ref="E102:E105"/>
    <mergeCell ref="G96:G99"/>
    <mergeCell ref="D74:D76"/>
    <mergeCell ref="E74:E76"/>
    <mergeCell ref="G72:G76"/>
    <mergeCell ref="D92:D95"/>
    <mergeCell ref="E92:E95"/>
    <mergeCell ref="D100:D101"/>
    <mergeCell ref="E96:E99"/>
    <mergeCell ref="G92:G95"/>
    <mergeCell ref="D77:D91"/>
    <mergeCell ref="E77:E80"/>
    <mergeCell ref="F79:F83"/>
    <mergeCell ref="D71:G71"/>
    <mergeCell ref="E72:E73"/>
    <mergeCell ref="E58:E60"/>
    <mergeCell ref="E65:E67"/>
    <mergeCell ref="E68:E70"/>
    <mergeCell ref="G69:G70"/>
    <mergeCell ref="E100:E101"/>
    <mergeCell ref="A285:H285"/>
    <mergeCell ref="A286:H286"/>
    <mergeCell ref="A287:H287"/>
    <mergeCell ref="A288:H288"/>
    <mergeCell ref="A277:H277"/>
    <mergeCell ref="A278:H278"/>
    <mergeCell ref="A159:A160"/>
    <mergeCell ref="B159:B160"/>
    <mergeCell ref="E264:E266"/>
    <mergeCell ref="G264:G266"/>
    <mergeCell ref="E262:E263"/>
    <mergeCell ref="G262:G263"/>
    <mergeCell ref="A232:A233"/>
    <mergeCell ref="B232:B233"/>
    <mergeCell ref="C232:C233"/>
    <mergeCell ref="D232:D233"/>
    <mergeCell ref="E232:E233"/>
    <mergeCell ref="G227:G228"/>
    <mergeCell ref="G232:G233"/>
    <mergeCell ref="A260:A261"/>
    <mergeCell ref="B260:B261"/>
    <mergeCell ref="E234:E239"/>
    <mergeCell ref="G234:G237"/>
    <mergeCell ref="F232:F233"/>
    <mergeCell ref="A299:H299"/>
    <mergeCell ref="A300:H300"/>
    <mergeCell ref="A289:H289"/>
    <mergeCell ref="A290:H290"/>
    <mergeCell ref="A291:H291"/>
    <mergeCell ref="A293:H293"/>
    <mergeCell ref="A294:H294"/>
    <mergeCell ref="A295:H295"/>
    <mergeCell ref="A296:H296"/>
    <mergeCell ref="A297:H297"/>
    <mergeCell ref="A298:H298"/>
    <mergeCell ref="A292:H292"/>
    <mergeCell ref="A283:H283"/>
    <mergeCell ref="A157:A158"/>
    <mergeCell ref="M157:M158"/>
    <mergeCell ref="E247:E248"/>
    <mergeCell ref="A284:H284"/>
    <mergeCell ref="M271:Q271"/>
    <mergeCell ref="M269:Q269"/>
    <mergeCell ref="M270:Q270"/>
    <mergeCell ref="B270:H270"/>
    <mergeCell ref="A272:M272"/>
    <mergeCell ref="A279:H279"/>
    <mergeCell ref="E267:E268"/>
    <mergeCell ref="G267:G268"/>
    <mergeCell ref="C269:H269"/>
    <mergeCell ref="A280:H280"/>
    <mergeCell ref="A281:H281"/>
    <mergeCell ref="A282:H282"/>
    <mergeCell ref="B271:H271"/>
    <mergeCell ref="A275:I275"/>
    <mergeCell ref="A276:H276"/>
    <mergeCell ref="A273:Q273"/>
    <mergeCell ref="C217:Q217"/>
    <mergeCell ref="E193:E195"/>
    <mergeCell ref="G193:G195"/>
    <mergeCell ref="E159:E160"/>
    <mergeCell ref="D177:D182"/>
    <mergeCell ref="D183:D188"/>
    <mergeCell ref="E258:E259"/>
    <mergeCell ref="C260:C261"/>
    <mergeCell ref="E260:E261"/>
    <mergeCell ref="G260:G261"/>
    <mergeCell ref="M262:M263"/>
    <mergeCell ref="E148:E149"/>
    <mergeCell ref="D150:D151"/>
    <mergeCell ref="E150:E151"/>
    <mergeCell ref="D152:D153"/>
    <mergeCell ref="E152:E153"/>
    <mergeCell ref="C190:H190"/>
    <mergeCell ref="E161:E164"/>
    <mergeCell ref="D166:D167"/>
    <mergeCell ref="G159:G161"/>
    <mergeCell ref="C159:C160"/>
    <mergeCell ref="D159:D160"/>
    <mergeCell ref="G177:G178"/>
    <mergeCell ref="G154:G155"/>
    <mergeCell ref="D168:D174"/>
    <mergeCell ref="M234:M235"/>
    <mergeCell ref="F157:F158"/>
    <mergeCell ref="O230:O231"/>
    <mergeCell ref="E225:E227"/>
    <mergeCell ref="G225:G226"/>
    <mergeCell ref="E219:E220"/>
    <mergeCell ref="M198:M199"/>
    <mergeCell ref="M220:M221"/>
    <mergeCell ref="G219:G221"/>
    <mergeCell ref="C216:H216"/>
    <mergeCell ref="E196:E200"/>
    <mergeCell ref="M196:M197"/>
    <mergeCell ref="N230:N231"/>
    <mergeCell ref="M225:M226"/>
    <mergeCell ref="M227:M228"/>
    <mergeCell ref="M230:M231"/>
    <mergeCell ref="M201:M202"/>
    <mergeCell ref="G165:G167"/>
    <mergeCell ref="P7:Q7"/>
    <mergeCell ref="M142:M143"/>
    <mergeCell ref="N142:N143"/>
    <mergeCell ref="G46:G49"/>
    <mergeCell ref="M58:M60"/>
    <mergeCell ref="M54:M57"/>
    <mergeCell ref="O9:Q9"/>
    <mergeCell ref="A11:Q11"/>
    <mergeCell ref="A12:Q12"/>
    <mergeCell ref="E15:E17"/>
    <mergeCell ref="G15:G17"/>
    <mergeCell ref="M15:M17"/>
    <mergeCell ref="M41:M45"/>
    <mergeCell ref="G37:G38"/>
    <mergeCell ref="E23:E28"/>
    <mergeCell ref="E107:E108"/>
    <mergeCell ref="M107:M108"/>
    <mergeCell ref="E109:E114"/>
    <mergeCell ref="M114:M115"/>
    <mergeCell ref="O142:O143"/>
    <mergeCell ref="G107:G115"/>
    <mergeCell ref="G130:G131"/>
    <mergeCell ref="Q142:Q143"/>
    <mergeCell ref="M144:M145"/>
    <mergeCell ref="N144:N145"/>
    <mergeCell ref="O144:O145"/>
    <mergeCell ref="P144:P145"/>
    <mergeCell ref="Q144:Q145"/>
    <mergeCell ref="N157:N158"/>
    <mergeCell ref="P142:P143"/>
    <mergeCell ref="N223:N224"/>
    <mergeCell ref="M223:M224"/>
    <mergeCell ref="O223:O224"/>
    <mergeCell ref="G42:G45"/>
    <mergeCell ref="M50:M51"/>
    <mergeCell ref="O247:O248"/>
    <mergeCell ref="P247:P248"/>
    <mergeCell ref="Q247:Q248"/>
    <mergeCell ref="N247:N248"/>
    <mergeCell ref="M154:M155"/>
    <mergeCell ref="E222:E223"/>
    <mergeCell ref="M257:Q257"/>
    <mergeCell ref="G222:G224"/>
    <mergeCell ref="P230:P231"/>
    <mergeCell ref="Q230:Q231"/>
    <mergeCell ref="M256:Q256"/>
    <mergeCell ref="C256:H256"/>
    <mergeCell ref="C257:H257"/>
    <mergeCell ref="M190:Q190"/>
    <mergeCell ref="C191:Q191"/>
    <mergeCell ref="M216:Q216"/>
    <mergeCell ref="O157:O158"/>
    <mergeCell ref="E154:E155"/>
    <mergeCell ref="P157:P158"/>
    <mergeCell ref="P223:P224"/>
    <mergeCell ref="Q157:Q158"/>
    <mergeCell ref="Q223:Q224"/>
  </mergeCells>
  <printOptions horizontalCentered="1"/>
  <pageMargins left="0.78740157480314965" right="0.39370078740157483" top="0.39370078740157483" bottom="0.39370078740157483" header="0" footer="0"/>
  <pageSetup paperSize="9" scale="51" orientation="portrait" r:id="rId1"/>
  <rowBreaks count="4" manualBreakCount="4">
    <brk id="88" max="16" man="1"/>
    <brk id="147" max="16" man="1"/>
    <brk id="207" max="16" man="1"/>
    <brk id="255" max="16" man="1"/>
  </rowBreaks>
  <ignoredErrors>
    <ignoredError sqref="J156"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6</vt:i4>
      </vt:variant>
    </vt:vector>
  </HeadingPairs>
  <TitlesOfParts>
    <vt:vector size="9" baseType="lpstr">
      <vt:lpstr>7 programa</vt:lpstr>
      <vt:lpstr>Lyginamasis variantas</vt:lpstr>
      <vt:lpstr>Aiškinamoji lentelė</vt:lpstr>
      <vt:lpstr>'7 programa'!Print_Area</vt:lpstr>
      <vt:lpstr>'Aiškinamoji lentelė'!Print_Area</vt:lpstr>
      <vt:lpstr>'Lyginamasis variantas'!Print_Area</vt:lpstr>
      <vt:lpstr>'7 programa'!Print_Titles</vt:lpstr>
      <vt:lpstr>'Aiškinamoji lentelė'!Print_Titles</vt:lpstr>
      <vt:lpstr>'Lyginamasis variantas'!Print_Titles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Inga Mikalauskienė</cp:lastModifiedBy>
  <cp:lastPrinted>2022-10-20T06:05:28Z</cp:lastPrinted>
  <dcterms:created xsi:type="dcterms:W3CDTF">2007-07-27T10:32:34Z</dcterms:created>
  <dcterms:modified xsi:type="dcterms:W3CDTF">2022-10-20T06:05:41Z</dcterms:modified>
</cp:coreProperties>
</file>